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80" windowWidth="15360" windowHeight="9135" tabRatio="831" activeTab="1"/>
  </bookViews>
  <sheets>
    <sheet name="CNMP Plan Inst" sheetId="1" r:id="rId1"/>
    <sheet name="Basic Info" sheetId="2" r:id="rId2"/>
    <sheet name="Solid Manure Inv" sheetId="3" r:id="rId3"/>
    <sheet name="Liquid Waste" sheetId="4" r:id="rId4"/>
    <sheet name="Tables" sheetId="5" state="hidden" r:id="rId5"/>
    <sheet name="Runoff Computation" sheetId="6" r:id="rId6"/>
    <sheet name="590 JS" sheetId="7" r:id="rId7"/>
    <sheet name="land base req" sheetId="8" r:id="rId8"/>
    <sheet name="N leaching" sheetId="9" r:id="rId9"/>
    <sheet name="P index" sheetId="10" r:id="rId10"/>
    <sheet name="590 inst" sheetId="11" r:id="rId11"/>
    <sheet name="Tables2" sheetId="12" state="hidden" r:id="rId12"/>
    <sheet name="Table 1. Climate" sheetId="13" state="hidden" r:id="rId13"/>
    <sheet name="Table 2. Runoff" sheetId="14" state="hidden" r:id="rId14"/>
    <sheet name="Table 3. Volume" sheetId="15" state="hidden" r:id="rId15"/>
  </sheets>
  <externalReferences>
    <externalReference r:id="rId18"/>
  </externalReferences>
  <definedNames>
    <definedName name="_xlnm.Print_Area" localSheetId="3">'Liquid Waste'!$A$1:$N$26</definedName>
    <definedName name="_xlnm.Print_Area" localSheetId="8">'N leaching'!$A$1:$L$19</definedName>
    <definedName name="_xlnm.Print_Area" localSheetId="9">'P index'!$A$1:$L$34</definedName>
    <definedName name="_xlnm.Print_Area" localSheetId="2">'Solid Manure Inv'!$A$1:$N$36</definedName>
    <definedName name="_xlnm.Print_Area" localSheetId="4">'Tables'!$A$1:$F$98</definedName>
    <definedName name="Table1A">'[1]Tables'!$A$5:$A$84</definedName>
    <definedName name="Table2A">'[1]Tables'!$A$92:$A$103</definedName>
    <definedName name="Table3a">'[1]Tables'!$A$111:$A$130</definedName>
    <definedName name="Table5">'[1]Tables'!$A$160:$A$183</definedName>
    <definedName name="Table6b">'[1]Tables'!$A$189:$A$198</definedName>
    <definedName name="Z_5E07A2BD_33F1_4357_820C_421EA165D954_.wvu.Cols" localSheetId="6" hidden="1">'590 JS'!$R:$Z</definedName>
    <definedName name="Z_5E07A2BD_33F1_4357_820C_421EA165D954_.wvu.Cols" localSheetId="1" hidden="1">'Basic Info'!$S:$U</definedName>
    <definedName name="Z_5E07A2BD_33F1_4357_820C_421EA165D954_.wvu.Cols" localSheetId="7" hidden="1">'land base req'!$S:$AA</definedName>
    <definedName name="Z_5E07A2BD_33F1_4357_820C_421EA165D954_.wvu.Cols" localSheetId="3" hidden="1">'Liquid Waste'!$S:$AI</definedName>
    <definedName name="Z_5E07A2BD_33F1_4357_820C_421EA165D954_.wvu.Cols" localSheetId="5" hidden="1">'Runoff Computation'!$S:$AC</definedName>
    <definedName name="Z_5E07A2BD_33F1_4357_820C_421EA165D954_.wvu.Cols" localSheetId="2" hidden="1">'Solid Manure Inv'!$R:$AD</definedName>
    <definedName name="Z_5E07A2BD_33F1_4357_820C_421EA165D954_.wvu.PrintArea" localSheetId="3" hidden="1">'Liquid Waste'!$A$1:$N$26</definedName>
    <definedName name="Z_5E07A2BD_33F1_4357_820C_421EA165D954_.wvu.PrintArea" localSheetId="8" hidden="1">'N leaching'!$A$1:$L$19</definedName>
    <definedName name="Z_5E07A2BD_33F1_4357_820C_421EA165D954_.wvu.PrintArea" localSheetId="9" hidden="1">'P index'!$A$1:$L$34</definedName>
    <definedName name="Z_5E07A2BD_33F1_4357_820C_421EA165D954_.wvu.PrintArea" localSheetId="2" hidden="1">'Solid Manure Inv'!$A$1:$N$36</definedName>
    <definedName name="Z_5E07A2BD_33F1_4357_820C_421EA165D954_.wvu.PrintArea" localSheetId="4" hidden="1">'Tables'!$A$1:$F$98</definedName>
  </definedNames>
  <calcPr fullCalcOnLoad="1"/>
</workbook>
</file>

<file path=xl/sharedStrings.xml><?xml version="1.0" encoding="utf-8"?>
<sst xmlns="http://schemas.openxmlformats.org/spreadsheetml/2006/main" count="2295" uniqueCount="1228">
  <si>
    <r>
      <t>Subtract one point for each of the following BMPs implemented on this field:  Slow release N fertilizer;  Cover crops;  Nitrification inhibitors</t>
    </r>
    <r>
      <rPr>
        <b/>
        <sz val="8"/>
        <rFont val="Arial"/>
        <family val="2"/>
      </rPr>
      <t>*</t>
    </r>
    <r>
      <rPr>
        <sz val="8"/>
        <rFont val="Arial"/>
        <family val="2"/>
      </rPr>
      <t xml:space="preserve">;  Deep rooted crops in rotation;  Deep (4-5 ft) soil sampling to determine sub-soil N credit;  Irrigation Water Management Plan.
</t>
    </r>
  </si>
  <si>
    <r>
      <t xml:space="preserve">This field has a </t>
    </r>
    <r>
      <rPr>
        <b/>
        <sz val="8"/>
        <rFont val="Arial"/>
        <family val="2"/>
      </rPr>
      <t>LOW</t>
    </r>
    <r>
      <rPr>
        <sz val="8"/>
        <rFont val="Arial"/>
        <family val="2"/>
      </rPr>
      <t xml:space="preserve"> risk for nitrogen leaching if management is maintained at the current level.  If there is an underlying aquifer that is shallow (&lt; 20 ft) or used locally as a public drinking water source, increase the risk to </t>
    </r>
    <r>
      <rPr>
        <b/>
        <sz val="8"/>
        <rFont val="Arial"/>
        <family val="2"/>
      </rPr>
      <t>MEDIUM</t>
    </r>
    <r>
      <rPr>
        <sz val="8"/>
        <rFont val="Arial"/>
        <family val="2"/>
      </rPr>
      <t>.</t>
    </r>
  </si>
  <si>
    <r>
      <t xml:space="preserve">This field has a </t>
    </r>
    <r>
      <rPr>
        <b/>
        <sz val="8"/>
        <rFont val="Arial"/>
        <family val="2"/>
      </rPr>
      <t>MEDIUM</t>
    </r>
    <r>
      <rPr>
        <sz val="8"/>
        <rFont val="Arial"/>
        <family val="2"/>
      </rPr>
      <t xml:space="preserve"> risk for nitrogen leaching and some management changes may be needed to decrease risk.  Apply nitrogen at agronomic rates or lower using spring or split in-season applications.  If there is an underlying aquifer that is shallow (&lt; 20 ft) or used locally as a public drinking water source, increase the risk to </t>
    </r>
    <r>
      <rPr>
        <b/>
        <sz val="8"/>
        <rFont val="Arial"/>
        <family val="2"/>
      </rPr>
      <t>HIGH</t>
    </r>
  </si>
  <si>
    <r>
      <t xml:space="preserve">This field has a </t>
    </r>
    <r>
      <rPr>
        <b/>
        <sz val="8"/>
        <rFont val="Arial"/>
        <family val="2"/>
      </rPr>
      <t>HIGH</t>
    </r>
    <r>
      <rPr>
        <sz val="8"/>
        <rFont val="Arial"/>
        <family val="2"/>
      </rPr>
      <t xml:space="preserve"> risk for nitrogen leaching and management changes should be implemented to decrease risk.  Manure should be applied at P agronomic rates.  Apply nitrogen using split in-season applications at or below the agronomic rate.  Changes in irrigation management and/or method may also be necessary. If there is an underlying aquifer that is shallow (&lt; 20 ft) or used locally as a public drinking water source, increase the risk to </t>
    </r>
    <r>
      <rPr>
        <b/>
        <sz val="8"/>
        <rFont val="Arial"/>
        <family val="2"/>
      </rPr>
      <t>VERY</t>
    </r>
    <r>
      <rPr>
        <sz val="8"/>
        <rFont val="Arial"/>
        <family val="2"/>
      </rPr>
      <t xml:space="preserve"> </t>
    </r>
    <r>
      <rPr>
        <b/>
        <sz val="8"/>
        <rFont val="Arial"/>
        <family val="2"/>
      </rPr>
      <t>HIGH</t>
    </r>
    <r>
      <rPr>
        <sz val="8"/>
        <rFont val="Arial"/>
        <family val="2"/>
      </rPr>
      <t>.</t>
    </r>
  </si>
  <si>
    <r>
      <t xml:space="preserve">This field has a </t>
    </r>
    <r>
      <rPr>
        <b/>
        <sz val="8"/>
        <rFont val="Arial"/>
        <family val="2"/>
      </rPr>
      <t>VERY HIGH</t>
    </r>
    <r>
      <rPr>
        <sz val="8"/>
        <rFont val="Arial"/>
        <family val="2"/>
      </rPr>
      <t xml:space="preserve"> risk for nitrogen leaching and management changes are needed to decrease risk.  </t>
    </r>
    <r>
      <rPr>
        <b/>
        <sz val="8"/>
        <rFont val="Arial"/>
        <family val="2"/>
      </rPr>
      <t>Manure applications are NOT recommended</t>
    </r>
    <r>
      <rPr>
        <sz val="8"/>
        <rFont val="Arial"/>
        <family val="2"/>
      </rPr>
      <t>.  Apply nitrogen using split in-season applications at or below the agronomic rate.  Changes in irrigation management and/or method are necessary to protect ground water.  Implement all appropriate BMPs.</t>
    </r>
  </si>
  <si>
    <r>
      <t xml:space="preserve">Gross Score </t>
    </r>
    <r>
      <rPr>
        <sz val="9"/>
        <rFont val="Arial"/>
        <family val="2"/>
      </rPr>
      <t xml:space="preserve"> </t>
    </r>
    <r>
      <rPr>
        <b/>
        <sz val="9"/>
        <rFont val="Arial"/>
        <family val="2"/>
      </rPr>
      <t>(Sum of Factors 1 through 4)</t>
    </r>
  </si>
  <si>
    <r>
      <t xml:space="preserve">Net Score </t>
    </r>
    <r>
      <rPr>
        <sz val="9"/>
        <rFont val="Arial"/>
        <family val="2"/>
      </rPr>
      <t xml:space="preserve"> </t>
    </r>
    <r>
      <rPr>
        <b/>
        <sz val="9"/>
        <rFont val="Arial"/>
        <family val="2"/>
      </rPr>
      <t>(Sum of Factors 1 through 4 less Factor 5, BMP Implementation Credits)</t>
    </r>
  </si>
  <si>
    <r>
      <t xml:space="preserve">This field has a </t>
    </r>
    <r>
      <rPr>
        <b/>
        <sz val="10"/>
        <rFont val="Arial"/>
        <family val="2"/>
      </rPr>
      <t>LOW</t>
    </r>
    <r>
      <rPr>
        <sz val="10"/>
        <rFont val="Arial"/>
        <family val="2"/>
      </rPr>
      <t xml:space="preserve"> potential for off-site P movement if management is maintained at the current level.  Organic nutrient application rates may be calculated according to crop nitrogen requirements.</t>
    </r>
  </si>
  <si>
    <r>
      <t xml:space="preserve">This field has a </t>
    </r>
    <r>
      <rPr>
        <b/>
        <sz val="10"/>
        <rFont val="Arial"/>
        <family val="2"/>
      </rPr>
      <t>MEDIUM</t>
    </r>
    <r>
      <rPr>
        <sz val="10"/>
        <rFont val="Arial"/>
        <family val="2"/>
      </rPr>
      <t xml:space="preserve"> potential for off-site P movement and some management changes may need to be made to support continued long term organic nutrient applications.  Organic nutrient application rates may be calculated according to crop nitrogen requirements.</t>
    </r>
  </si>
  <si>
    <r>
      <t xml:space="preserve">This field has a </t>
    </r>
    <r>
      <rPr>
        <b/>
        <sz val="10"/>
        <rFont val="Arial"/>
        <family val="2"/>
      </rPr>
      <t>HIGH</t>
    </r>
    <r>
      <rPr>
        <sz val="10"/>
        <rFont val="Arial"/>
        <family val="2"/>
      </rPr>
      <t xml:space="preserve"> potential for off-site P movement and management changes should be implemented to decrease risk.  Organic nutrient application rates should be calculated according to crop phosphorus requirements.</t>
    </r>
  </si>
  <si>
    <r>
      <t xml:space="preserve">This field has a </t>
    </r>
    <r>
      <rPr>
        <b/>
        <sz val="10"/>
        <rFont val="Arial"/>
        <family val="2"/>
      </rPr>
      <t>VERY HIGH</t>
    </r>
    <r>
      <rPr>
        <sz val="10"/>
        <rFont val="Arial"/>
        <family val="2"/>
      </rPr>
      <t xml:space="preserve"> potential for off-site P movement and management changes are needed to decrease risk.  Organic nutrients should not be applied to this field.</t>
    </r>
  </si>
  <si>
    <r>
      <t>1.  Runoff Class</t>
    </r>
    <r>
      <rPr>
        <sz val="9"/>
        <rFont val="Arial"/>
        <family val="2"/>
      </rPr>
      <t xml:space="preserve"> (</t>
    </r>
    <r>
      <rPr>
        <sz val="8"/>
        <rFont val="Arial"/>
        <family val="2"/>
      </rPr>
      <t>See Table 1 below</t>
    </r>
    <r>
      <rPr>
        <sz val="9"/>
        <rFont val="Arial"/>
        <family val="2"/>
      </rPr>
      <t>)</t>
    </r>
  </si>
  <si>
    <r>
      <t xml:space="preserve">3.  P Application Rate 
</t>
    </r>
    <r>
      <rPr>
        <sz val="8"/>
        <rFont val="Arial"/>
        <family val="2"/>
      </rPr>
      <t xml:space="preserve">(See Table 3a below) </t>
    </r>
  </si>
  <si>
    <r>
      <t xml:space="preserve">4.  P Application Method 
</t>
    </r>
    <r>
      <rPr>
        <sz val="8"/>
        <rFont val="Arial"/>
        <family val="2"/>
      </rPr>
      <t>(See Table 4 below)</t>
    </r>
    <r>
      <rPr>
        <b/>
        <sz val="8"/>
        <rFont val="Arial"/>
        <family val="2"/>
      </rPr>
      <t xml:space="preserve"> </t>
    </r>
    <r>
      <rPr>
        <sz val="8"/>
        <rFont val="Arial"/>
        <family val="2"/>
      </rPr>
      <t xml:space="preserve"> </t>
    </r>
  </si>
  <si>
    <r>
      <t>2.  Soil Test P</t>
    </r>
    <r>
      <rPr>
        <sz val="9"/>
        <rFont val="Arial"/>
        <family val="2"/>
      </rPr>
      <t xml:space="preserve"> 
</t>
    </r>
    <r>
      <rPr>
        <sz val="8"/>
        <rFont val="Arial"/>
        <family val="2"/>
      </rPr>
      <t>(See Table 2 below</t>
    </r>
    <r>
      <rPr>
        <sz val="9"/>
        <rFont val="Arial"/>
        <family val="2"/>
      </rPr>
      <t>)</t>
    </r>
  </si>
  <si>
    <r>
      <t xml:space="preserve">pounds per acre </t>
    </r>
    <r>
      <rPr>
        <b/>
        <vertAlign val="superscript"/>
        <sz val="9"/>
        <rFont val="Arial"/>
        <family val="2"/>
      </rPr>
      <t>(2)</t>
    </r>
    <r>
      <rPr>
        <sz val="9"/>
        <rFont val="Arial"/>
        <family val="2"/>
      </rPr>
      <t xml:space="preserve">  </t>
    </r>
  </si>
  <si>
    <t>Pounds Removed / 
Unit of Yield</t>
  </si>
  <si>
    <t>Soil Test Recommendation</t>
  </si>
  <si>
    <t>Estimated Crop Removal</t>
  </si>
  <si>
    <t>(a)</t>
  </si>
  <si>
    <t>(b)</t>
  </si>
  <si>
    <t>(c)</t>
  </si>
  <si>
    <t>(d)</t>
  </si>
  <si>
    <t>(e)</t>
  </si>
  <si>
    <t>(f)</t>
  </si>
  <si>
    <t>(g)</t>
  </si>
  <si>
    <t>Animal Type</t>
  </si>
  <si>
    <t>Number</t>
  </si>
  <si>
    <t>Average</t>
  </si>
  <si>
    <t>Weight</t>
  </si>
  <si>
    <t>Animal</t>
  </si>
  <si>
    <t>Units</t>
  </si>
  <si>
    <t>(#)</t>
  </si>
  <si>
    <t>Period</t>
  </si>
  <si>
    <t>Production</t>
  </si>
  <si>
    <t>Daily</t>
  </si>
  <si>
    <t>Annually</t>
  </si>
  <si>
    <t>tons/year</t>
  </si>
  <si>
    <t>(h)</t>
  </si>
  <si>
    <t>Dairy</t>
  </si>
  <si>
    <t>Moisture</t>
  </si>
  <si>
    <t>Content</t>
  </si>
  <si>
    <t>Beef</t>
  </si>
  <si>
    <t>Poultry</t>
  </si>
  <si>
    <t>Sheep</t>
  </si>
  <si>
    <t>(j)</t>
  </si>
  <si>
    <t>(lb./day)</t>
  </si>
  <si>
    <t>Instructions for each Column</t>
  </si>
  <si>
    <t>Unit Waste</t>
  </si>
  <si>
    <t>(# AUs)</t>
  </si>
  <si>
    <t>Confined</t>
  </si>
  <si>
    <t>Total # Animal Units:</t>
  </si>
  <si>
    <t>Prepared by:</t>
  </si>
  <si>
    <t>Livestock</t>
  </si>
  <si>
    <t>Total N</t>
  </si>
  <si>
    <t>(lb/ton)</t>
  </si>
  <si>
    <t>Manure Production</t>
  </si>
  <si>
    <t>Checked by:</t>
  </si>
  <si>
    <t>Nutrients Produced</t>
  </si>
  <si>
    <t>(k)</t>
  </si>
  <si>
    <t>(l)</t>
  </si>
  <si>
    <t>Nutrients, lb/year:</t>
  </si>
  <si>
    <t>(lb/AU-day)</t>
  </si>
  <si>
    <t xml:space="preserve">(b)   Enter the average number of animals for each type on site during the confinement period.  </t>
  </si>
  <si>
    <t>Page 5 of 12</t>
  </si>
  <si>
    <t>Page 1 of 11</t>
  </si>
  <si>
    <t>Page 2 of 11</t>
  </si>
  <si>
    <t>Page 3 of 11</t>
  </si>
  <si>
    <t>Page 4 of 11</t>
  </si>
  <si>
    <t>Page 6 of 11</t>
  </si>
  <si>
    <t>Page 7 of 11</t>
  </si>
  <si>
    <t>Page 8 of 12</t>
  </si>
  <si>
    <t>Page 9 of 11</t>
  </si>
  <si>
    <t>Land Base Requirement * (Complete steps 1, 2a and or 2b, and 3a and or 3b below)</t>
  </si>
  <si>
    <t>Page 10 of 11</t>
  </si>
  <si>
    <t>Page 11 of 11</t>
  </si>
  <si>
    <t>(k)  Estimate the pounds of Nitrogen that can be collected by multiplying the tons of manure collected, (h), by the pounds of Total Nitrogen per ton, (i)</t>
  </si>
  <si>
    <t>Horses</t>
  </si>
  <si>
    <t>Swine</t>
  </si>
  <si>
    <t>Swine Type</t>
  </si>
  <si>
    <t>Manure</t>
  </si>
  <si>
    <t>% at time of spreading</t>
  </si>
  <si>
    <t>Type of Manure</t>
  </si>
  <si>
    <t>%</t>
  </si>
  <si>
    <r>
      <t>K</t>
    </r>
    <r>
      <rPr>
        <b/>
        <vertAlign val="subscript"/>
        <sz val="10"/>
        <rFont val="Arial"/>
        <family val="2"/>
      </rPr>
      <t>2</t>
    </r>
    <r>
      <rPr>
        <b/>
        <sz val="10"/>
        <rFont val="Arial"/>
        <family val="2"/>
      </rPr>
      <t>O</t>
    </r>
  </si>
  <si>
    <r>
      <t>P</t>
    </r>
    <r>
      <rPr>
        <b/>
        <vertAlign val="subscript"/>
        <sz val="10"/>
        <rFont val="Arial"/>
        <family val="2"/>
      </rPr>
      <t>2</t>
    </r>
    <r>
      <rPr>
        <b/>
        <sz val="10"/>
        <rFont val="Arial"/>
        <family val="2"/>
      </rPr>
      <t>O</t>
    </r>
    <r>
      <rPr>
        <b/>
        <vertAlign val="subscript"/>
        <sz val="10"/>
        <rFont val="Arial"/>
        <family val="2"/>
      </rPr>
      <t>5</t>
    </r>
  </si>
  <si>
    <t>Solid Handling Systems</t>
  </si>
  <si>
    <t>Chickens   without litter</t>
  </si>
  <si>
    <t xml:space="preserve">                 with litter</t>
  </si>
  <si>
    <t>Turkeys     without litter</t>
  </si>
  <si>
    <r>
      <t>NH</t>
    </r>
    <r>
      <rPr>
        <b/>
        <vertAlign val="subscript"/>
        <sz val="10"/>
        <rFont val="Arial"/>
        <family val="2"/>
      </rPr>
      <t>4</t>
    </r>
    <r>
      <rPr>
        <b/>
        <sz val="10"/>
        <rFont val="Arial"/>
        <family val="2"/>
      </rPr>
      <t>-N**</t>
    </r>
  </si>
  <si>
    <t>Liquid Handling Systems</t>
  </si>
  <si>
    <t>*  These values are derived from the NRCS Agricultural Waste Management Field Handbook, 1992,</t>
  </si>
  <si>
    <t>** Ammonia fraction will vary significantly over time and among different systems.  Numbers shown are</t>
  </si>
  <si>
    <t>for planning purposes only; manure analysis is needed to accurately determine ammonia fraction.</t>
  </si>
  <si>
    <t>Conversion Factor</t>
  </si>
  <si>
    <t>lb./1,000 gal. X  27.15 = lb./acre-inch</t>
  </si>
  <si>
    <t>and are modified with data collected from Colorado feeding operations when possible.  Nutrient</t>
  </si>
  <si>
    <t>composition of manure will vary with age, breed, feed rations, manure handling method and climate.</t>
  </si>
  <si>
    <t>Material Type</t>
  </si>
  <si>
    <t>Loose</t>
  </si>
  <si>
    <t>Chopped</t>
  </si>
  <si>
    <t>Legume Hay</t>
  </si>
  <si>
    <t>Grass Hay</t>
  </si>
  <si>
    <t>Straw</t>
  </si>
  <si>
    <t>Wood Shavings</t>
  </si>
  <si>
    <t>Sawdust</t>
  </si>
  <si>
    <t>Soil</t>
  </si>
  <si>
    <t>Sand</t>
  </si>
  <si>
    <t>Ground Limestone</t>
  </si>
  <si>
    <t>Waste Production</t>
  </si>
  <si>
    <t>Source(s) of Other Process Wastewater</t>
  </si>
  <si>
    <t>Dairy Milking Center Wastewater</t>
  </si>
  <si>
    <t>**</t>
  </si>
  <si>
    <t>days/year</t>
  </si>
  <si>
    <t>lb/year</t>
  </si>
  <si>
    <t>gallons / day</t>
  </si>
  <si>
    <t>Other Solid Wastes, (bedding, waste feed, etc.)</t>
  </si>
  <si>
    <t>lb/day</t>
  </si>
  <si>
    <t>lb/ton</t>
  </si>
  <si>
    <t>Solid Manure &amp; Nutrient Inventory Worksheet</t>
  </si>
  <si>
    <t>Liquid Manure, Process Wastewater &amp; Nutrient Inventory Worksheet</t>
  </si>
  <si>
    <t xml:space="preserve"> -------------------------- lb./ton --------------------------</t>
  </si>
  <si>
    <t xml:space="preserve"> ---------------------- lb./1,000 gal.--------------------</t>
  </si>
  <si>
    <r>
      <t>Table 3.</t>
    </r>
    <r>
      <rPr>
        <b/>
        <vertAlign val="superscript"/>
        <sz val="11"/>
        <rFont val="Arial"/>
        <family val="2"/>
      </rPr>
      <t>b</t>
    </r>
    <r>
      <rPr>
        <b/>
        <sz val="11"/>
        <rFont val="Arial"/>
        <family val="2"/>
      </rPr>
      <t xml:space="preserve">  Other Solid Waste Conversion Factors</t>
    </r>
  </si>
  <si>
    <t>(a)   List each type of animal confined, such as "Lactating Dairy Cows", see Table 1 for other examples.</t>
  </si>
  <si>
    <t>(d)   Enter the number of 1,000 lb Animal Units computed by multiplying the number of animals, (b,) by their average weight, (c), and dividing by 1,000.</t>
  </si>
  <si>
    <t>lb per cubic foot</t>
  </si>
  <si>
    <t>Multiply material volume in cubic feet/day by this factor to get pounds per day</t>
  </si>
  <si>
    <r>
      <t>Table 2.</t>
    </r>
    <r>
      <rPr>
        <vertAlign val="superscript"/>
        <sz val="11"/>
        <rFont val="Arial"/>
        <family val="2"/>
      </rPr>
      <t>a</t>
    </r>
    <r>
      <rPr>
        <b/>
        <sz val="11"/>
        <rFont val="Arial"/>
        <family val="2"/>
      </rPr>
      <t xml:space="preserve">    Liquid swine manure production, not including other process wastewater or rainfall/runoff. </t>
    </r>
  </si>
  <si>
    <r>
      <t>a</t>
    </r>
    <r>
      <rPr>
        <sz val="10"/>
        <rFont val="Arial"/>
        <family val="0"/>
      </rPr>
      <t xml:space="preserve">  Source: Bulletin 568A, Best Management Practices for Manure Utilization,  CSU Cooperative Extension, Fort Collins, CO.  September 1999.               </t>
    </r>
  </si>
  <si>
    <t>lbs./day/1,000 lbs.of animals</t>
  </si>
  <si>
    <t>Moisture Content</t>
  </si>
  <si>
    <t>TABLE 4.  Approximate nutrient composition of various types of animal manure at the time of land application.*  Annual analysis is required for a CNMP.</t>
  </si>
  <si>
    <t>gal./day/1,000 lbs of animals</t>
  </si>
  <si>
    <r>
      <t>b</t>
    </r>
    <r>
      <rPr>
        <sz val="10"/>
        <rFont val="Arial"/>
        <family val="0"/>
      </rPr>
      <t xml:space="preserve"> Source: NRCS Waste Management Field Handbook, Table 4-3.</t>
    </r>
  </si>
  <si>
    <r>
      <t>TABLE 1.</t>
    </r>
    <r>
      <rPr>
        <vertAlign val="superscript"/>
        <sz val="11"/>
        <rFont val="Arial"/>
        <family val="2"/>
      </rPr>
      <t>a</t>
    </r>
    <r>
      <rPr>
        <b/>
        <sz val="11"/>
        <rFont val="Arial"/>
        <family val="2"/>
      </rPr>
      <t xml:space="preserve">    Solid manure production calculated on a wet weight basis at the time of land application</t>
    </r>
  </si>
  <si>
    <t>(e)   Enter the average number of days each type of animal is confined on the site per year.</t>
  </si>
  <si>
    <t>(f)    Enter the pounds of collectable manure produced per day per 1,000 lb. Animal Unit, see Table 1 for guidelines.</t>
  </si>
  <si>
    <t>(g)   Estimate the amount of manure produced in pounds per day by multiplying the number of animal units, (d), by the unit manure production rate, (f).</t>
  </si>
  <si>
    <t>(h)   Estimate the annual amount of manure produced in tons per year by multiplying the daily rate, (g), by the confinement period, (e), and dividing by 2,000.</t>
  </si>
  <si>
    <t>(i)    Enter the average total Nitrogen content of the manure based on sample analysis, if there is no on site data use the values shown in Table 4.</t>
  </si>
  <si>
    <t>Animal Class</t>
  </si>
  <si>
    <t>Other Waste</t>
  </si>
  <si>
    <t>Legume hay</t>
  </si>
  <si>
    <t>Grass hay</t>
  </si>
  <si>
    <t>Wood shavings</t>
  </si>
  <si>
    <t>Soil Sand</t>
  </si>
  <si>
    <t>Ground limestone</t>
  </si>
  <si>
    <t>Type of</t>
  </si>
  <si>
    <r>
      <t>P</t>
    </r>
    <r>
      <rPr>
        <b/>
        <vertAlign val="subscript"/>
        <sz val="9"/>
        <rFont val="Arial"/>
        <family val="2"/>
      </rPr>
      <t>2</t>
    </r>
    <r>
      <rPr>
        <b/>
        <sz val="9"/>
        <rFont val="Arial"/>
        <family val="2"/>
      </rPr>
      <t>O</t>
    </r>
    <r>
      <rPr>
        <b/>
        <vertAlign val="subscript"/>
        <sz val="9"/>
        <rFont val="Arial"/>
        <family val="2"/>
      </rPr>
      <t>5</t>
    </r>
  </si>
  <si>
    <t>Livestock Type</t>
  </si>
  <si>
    <t>Lactating cow</t>
  </si>
  <si>
    <t>Dry cow</t>
  </si>
  <si>
    <t>Nursing/nursery pig, &lt; 40#</t>
  </si>
  <si>
    <t>Grower, 40-220#</t>
  </si>
  <si>
    <t>Sow, gestating</t>
  </si>
  <si>
    <t>Sow, lactating</t>
  </si>
  <si>
    <t>Boar</t>
  </si>
  <si>
    <t>Heifer</t>
  </si>
  <si>
    <t>Swadust</t>
  </si>
  <si>
    <t>Layer</t>
  </si>
  <si>
    <t>Pullet</t>
  </si>
  <si>
    <t>Broiler</t>
  </si>
  <si>
    <t>Turkey</t>
  </si>
  <si>
    <t>Feeder, 450-750#</t>
  </si>
  <si>
    <t>Cow</t>
  </si>
  <si>
    <t>Veal</t>
  </si>
  <si>
    <t xml:space="preserve">Replacement gilt </t>
  </si>
  <si>
    <r>
      <t>(c)   Enter the average weight of each type of animal, (</t>
    </r>
    <r>
      <rPr>
        <i/>
        <sz val="8"/>
        <rFont val="Arial"/>
        <family val="2"/>
      </rPr>
      <t>example: if calves enter at 500lb and leave at 1,200 lb, the average is (500+1,200)/2 = 850 lb</t>
    </r>
    <r>
      <rPr>
        <sz val="8"/>
        <rFont val="Arial"/>
        <family val="2"/>
      </rPr>
      <t>)</t>
    </r>
  </si>
  <si>
    <r>
      <t>(j)    Enter the average P</t>
    </r>
    <r>
      <rPr>
        <vertAlign val="subscript"/>
        <sz val="8"/>
        <rFont val="Arial"/>
        <family val="2"/>
      </rPr>
      <t>2</t>
    </r>
    <r>
      <rPr>
        <sz val="8"/>
        <rFont val="Arial"/>
        <family val="2"/>
      </rPr>
      <t>O</t>
    </r>
    <r>
      <rPr>
        <vertAlign val="subscript"/>
        <sz val="8"/>
        <rFont val="Arial"/>
        <family val="2"/>
      </rPr>
      <t>5</t>
    </r>
    <r>
      <rPr>
        <sz val="8"/>
        <rFont val="Arial"/>
        <family val="2"/>
      </rPr>
      <t xml:space="preserve"> content of the manure based on your sample analysis, if there is no on site data use the values shown in Table 4.</t>
    </r>
  </si>
  <si>
    <r>
      <t>(l)   Estimate the pounds of P</t>
    </r>
    <r>
      <rPr>
        <vertAlign val="subscript"/>
        <sz val="8"/>
        <rFont val="Arial"/>
        <family val="2"/>
      </rPr>
      <t>2</t>
    </r>
    <r>
      <rPr>
        <sz val="8"/>
        <rFont val="Arial"/>
        <family val="2"/>
      </rPr>
      <t>O</t>
    </r>
    <r>
      <rPr>
        <vertAlign val="subscript"/>
        <sz val="8"/>
        <rFont val="Arial"/>
        <family val="2"/>
      </rPr>
      <t>5</t>
    </r>
    <r>
      <rPr>
        <sz val="8"/>
        <rFont val="Arial"/>
        <family val="2"/>
      </rPr>
      <t xml:space="preserve"> that can be collected by multiplying the tons of manure collected, (h), by the pounds of P</t>
    </r>
    <r>
      <rPr>
        <vertAlign val="subscript"/>
        <sz val="8"/>
        <rFont val="Arial"/>
        <family val="2"/>
      </rPr>
      <t>2</t>
    </r>
    <r>
      <rPr>
        <sz val="8"/>
        <rFont val="Arial"/>
        <family val="2"/>
      </rPr>
      <t>O</t>
    </r>
    <r>
      <rPr>
        <vertAlign val="subscript"/>
        <sz val="8"/>
        <rFont val="Arial"/>
        <family val="2"/>
      </rPr>
      <t>5</t>
    </r>
    <r>
      <rPr>
        <sz val="8"/>
        <rFont val="Arial"/>
        <family val="2"/>
      </rPr>
      <t xml:space="preserve"> per ton, (j)</t>
    </r>
  </si>
  <si>
    <t>Facility Name:</t>
  </si>
  <si>
    <t>Date:</t>
  </si>
  <si>
    <t>Total N -</t>
  </si>
  <si>
    <t>Chickens</t>
  </si>
  <si>
    <t>Turkeys</t>
  </si>
  <si>
    <r>
      <t xml:space="preserve">Manure Test Results </t>
    </r>
    <r>
      <rPr>
        <sz val="9"/>
        <rFont val="Arial"/>
        <family val="2"/>
      </rPr>
      <t>(lbs/ton)</t>
    </r>
  </si>
  <si>
    <t>Waste Storage Facility Volume Approximation Worksheet</t>
  </si>
  <si>
    <t xml:space="preserve">Facility Name: </t>
  </si>
  <si>
    <t>Runoff Volume Computations</t>
  </si>
  <si>
    <t>Average Annual Rainfall:</t>
  </si>
  <si>
    <t>inches</t>
  </si>
  <si>
    <t>25 year-24 hour Rainfall:</t>
  </si>
  <si>
    <r>
      <t xml:space="preserve">Roofed Area </t>
    </r>
    <r>
      <rPr>
        <i/>
        <sz val="9"/>
        <rFont val="Arial"/>
        <family val="2"/>
      </rPr>
      <t>(CN = 100)</t>
    </r>
    <r>
      <rPr>
        <b/>
        <sz val="9"/>
        <rFont val="Arial"/>
        <family val="2"/>
      </rPr>
      <t xml:space="preserve">  (</t>
    </r>
  </si>
  <si>
    <t xml:space="preserve"> +</t>
  </si>
  <si>
    <t xml:space="preserve">)    x  </t>
  </si>
  <si>
    <r>
      <t xml:space="preserve">  / </t>
    </r>
    <r>
      <rPr>
        <sz val="9"/>
        <rFont val="Arial"/>
        <family val="2"/>
      </rPr>
      <t xml:space="preserve">12 </t>
    </r>
    <r>
      <rPr>
        <b/>
        <sz val="9"/>
        <rFont val="Arial"/>
        <family val="2"/>
      </rPr>
      <t xml:space="preserve">  =</t>
    </r>
  </si>
  <si>
    <t>Runoff</t>
  </si>
  <si>
    <t>Annual</t>
  </si>
  <si>
    <t>25yr-24hr</t>
  </si>
  <si>
    <t>Roof Area</t>
  </si>
  <si>
    <t>Runoff Volume</t>
  </si>
  <si>
    <t>Rainfall</t>
  </si>
  <si>
    <t>(sq. ft.)</t>
  </si>
  <si>
    <t>(cubic feet)</t>
  </si>
  <si>
    <r>
      <t xml:space="preserve">Paved Area </t>
    </r>
    <r>
      <rPr>
        <i/>
        <sz val="9"/>
        <rFont val="Arial"/>
        <family val="2"/>
      </rPr>
      <t>(CN = 97)</t>
    </r>
    <r>
      <rPr>
        <b/>
        <sz val="9"/>
        <rFont val="Arial"/>
        <family val="2"/>
      </rPr>
      <t xml:space="preserve">  (</t>
    </r>
  </si>
  <si>
    <t>Area</t>
  </si>
  <si>
    <t>Annual Runoff %:</t>
  </si>
  <si>
    <r>
      <t xml:space="preserve">Earthen Area </t>
    </r>
    <r>
      <rPr>
        <i/>
        <sz val="9"/>
        <rFont val="Arial"/>
        <family val="2"/>
      </rPr>
      <t>(CN = 90</t>
    </r>
    <r>
      <rPr>
        <sz val="9"/>
        <rFont val="Arial"/>
        <family val="2"/>
      </rPr>
      <t>)</t>
    </r>
    <r>
      <rPr>
        <b/>
        <sz val="9"/>
        <rFont val="Arial"/>
        <family val="2"/>
      </rPr>
      <t xml:space="preserve">  (</t>
    </r>
  </si>
  <si>
    <t xml:space="preserve">)   x  </t>
  </si>
  <si>
    <r>
      <t>x</t>
    </r>
    <r>
      <rPr>
        <sz val="9"/>
        <rFont val="Arial"/>
        <family val="2"/>
      </rPr>
      <t xml:space="preserve"> 3,630  </t>
    </r>
    <r>
      <rPr>
        <b/>
        <sz val="9"/>
        <rFont val="Arial"/>
        <family val="2"/>
      </rPr>
      <t>=</t>
    </r>
  </si>
  <si>
    <t>(acres)</t>
  </si>
  <si>
    <t>Design Runoff Volume =</t>
  </si>
  <si>
    <t>Storage Volume Computations</t>
  </si>
  <si>
    <t>Design Runoff Volume, in cubic feet:</t>
  </si>
  <si>
    <t>(from calculations above)</t>
  </si>
  <si>
    <t>Manure Solids Volume, in cubic feet:</t>
  </si>
  <si>
    <t>(Multiply tons/year by 50 cu. ft./ton)</t>
  </si>
  <si>
    <t>Other Solids Volume, in cubic feet:</t>
  </si>
  <si>
    <t>Liquid Manure Volume, in cubic feet:</t>
  </si>
  <si>
    <t>(Divide gal/year by 7.5 gal/cu. ft.)</t>
  </si>
  <si>
    <t>Process Wastewater Volume, in cubic feet:</t>
  </si>
  <si>
    <t>Total Volume Required, in cubic feet:</t>
  </si>
  <si>
    <t>Depth:</t>
  </si>
  <si>
    <t>Width:</t>
  </si>
  <si>
    <t>Length:</t>
  </si>
  <si>
    <t>Volume:</t>
  </si>
  <si>
    <t>Table 1.  COLORADO CLIMATE DATA FOR WASTE MANAGEMENT SYSTEM DESIGN</t>
  </si>
  <si>
    <r>
      <t>Runoff as % of Annual Rainfall</t>
    </r>
    <r>
      <rPr>
        <vertAlign val="superscript"/>
        <sz val="10"/>
        <rFont val="Arial"/>
        <family val="2"/>
      </rPr>
      <t>3</t>
    </r>
  </si>
  <si>
    <t>Average Annual</t>
  </si>
  <si>
    <t>Annual FWS</t>
  </si>
  <si>
    <t>Paved Feedlot</t>
  </si>
  <si>
    <t>Earth Feedlot</t>
  </si>
  <si>
    <t>25 yr - 24 hr</t>
  </si>
  <si>
    <r>
      <t>Precipitation</t>
    </r>
    <r>
      <rPr>
        <vertAlign val="superscript"/>
        <sz val="10"/>
        <rFont val="Arial"/>
        <family val="2"/>
      </rPr>
      <t>1</t>
    </r>
  </si>
  <si>
    <r>
      <t>Evaporation</t>
    </r>
    <r>
      <rPr>
        <vertAlign val="superscript"/>
        <sz val="10"/>
        <rFont val="Arial"/>
        <family val="2"/>
      </rPr>
      <t>2</t>
    </r>
  </si>
  <si>
    <t>CN= 97</t>
  </si>
  <si>
    <t>CN=90</t>
  </si>
  <si>
    <r>
      <t>Precipitaion</t>
    </r>
    <r>
      <rPr>
        <vertAlign val="superscript"/>
        <sz val="10"/>
        <rFont val="Arial"/>
        <family val="2"/>
      </rPr>
      <t>4</t>
    </r>
  </si>
  <si>
    <t>County</t>
  </si>
  <si>
    <t>Climate Station</t>
  </si>
  <si>
    <t>(inches)</t>
  </si>
  <si>
    <t>(% of annual)</t>
  </si>
  <si>
    <t>Adams</t>
  </si>
  <si>
    <t>Alamosa</t>
  </si>
  <si>
    <t>Alamosa WSO AP</t>
  </si>
  <si>
    <t>Great Sand Dunes NP</t>
  </si>
  <si>
    <t>Arapahoe</t>
  </si>
  <si>
    <t>Archuleta</t>
  </si>
  <si>
    <t>Arboles</t>
  </si>
  <si>
    <t>Pagosa Springs</t>
  </si>
  <si>
    <t>Baca</t>
  </si>
  <si>
    <t>Campo</t>
  </si>
  <si>
    <t>Springfield 7WSW</t>
  </si>
  <si>
    <t>Walsh</t>
  </si>
  <si>
    <t>Bent</t>
  </si>
  <si>
    <t>John Martin Dam</t>
  </si>
  <si>
    <t>Las Animas</t>
  </si>
  <si>
    <t>Boulder</t>
  </si>
  <si>
    <t>Allenspark</t>
  </si>
  <si>
    <t>Longmont 2ESE</t>
  </si>
  <si>
    <t>Chaffee</t>
  </si>
  <si>
    <t>Buena Vista</t>
  </si>
  <si>
    <t>Salida 3W</t>
  </si>
  <si>
    <t>Cheyenne</t>
  </si>
  <si>
    <t>Cheyenne Wells</t>
  </si>
  <si>
    <t>Kit Carson</t>
  </si>
  <si>
    <t>Clear Creek</t>
  </si>
  <si>
    <t>Georgetown</t>
  </si>
  <si>
    <t>Conejos</t>
  </si>
  <si>
    <t>Costilla</t>
  </si>
  <si>
    <t>Blanca</t>
  </si>
  <si>
    <t>San Luis</t>
  </si>
  <si>
    <t>Crowley</t>
  </si>
  <si>
    <t>Ordway</t>
  </si>
  <si>
    <t>Custer</t>
  </si>
  <si>
    <t>Westcliffe</t>
  </si>
  <si>
    <t>Delta</t>
  </si>
  <si>
    <t>Cedaredge</t>
  </si>
  <si>
    <t>Denver</t>
  </si>
  <si>
    <t>Denver WSO AP</t>
  </si>
  <si>
    <t>Dolores</t>
  </si>
  <si>
    <t>Rico</t>
  </si>
  <si>
    <t>Douglas</t>
  </si>
  <si>
    <t>Cheesman</t>
  </si>
  <si>
    <t>Eagle</t>
  </si>
  <si>
    <t>Eagle FAA AP</t>
  </si>
  <si>
    <t>El Paso</t>
  </si>
  <si>
    <t>Colorado Springs WSO AP</t>
  </si>
  <si>
    <t>Elbert</t>
  </si>
  <si>
    <t>3.2 - 3.8</t>
  </si>
  <si>
    <t>Freemont</t>
  </si>
  <si>
    <t>Canon City</t>
  </si>
  <si>
    <t>Garfield</t>
  </si>
  <si>
    <t>Glenwood Springs #2</t>
  </si>
  <si>
    <t>Gilpin</t>
  </si>
  <si>
    <t>2.2 - 2.6</t>
  </si>
  <si>
    <t>Grand</t>
  </si>
  <si>
    <t>Fraser</t>
  </si>
  <si>
    <t xml:space="preserve">Grand Lake </t>
  </si>
  <si>
    <t>Green Mountain Dam</t>
  </si>
  <si>
    <t>Hot Sulphur Springs</t>
  </si>
  <si>
    <t>Kremling</t>
  </si>
  <si>
    <t>Williams Fork Dam</t>
  </si>
  <si>
    <t>Winter Park</t>
  </si>
  <si>
    <t>Gunnison</t>
  </si>
  <si>
    <t>Crested Butte</t>
  </si>
  <si>
    <t>Pitkin</t>
  </si>
  <si>
    <t>Taylor Park</t>
  </si>
  <si>
    <t>Huerfano</t>
  </si>
  <si>
    <t>Walsenburg</t>
  </si>
  <si>
    <t>Jackson</t>
  </si>
  <si>
    <t>Walden</t>
  </si>
  <si>
    <t>Jefferson</t>
  </si>
  <si>
    <t>Evergreen</t>
  </si>
  <si>
    <t>Kiowa</t>
  </si>
  <si>
    <t>Eads</t>
  </si>
  <si>
    <t>Burlington</t>
  </si>
  <si>
    <t>Flagler 2NW</t>
  </si>
  <si>
    <t>Stratton</t>
  </si>
  <si>
    <t>La Plata</t>
  </si>
  <si>
    <t>Durango</t>
  </si>
  <si>
    <t>Fort Lewis</t>
  </si>
  <si>
    <t>Ignacio</t>
  </si>
  <si>
    <t>Valecito Dam</t>
  </si>
  <si>
    <t>Lake</t>
  </si>
  <si>
    <t>Climax</t>
  </si>
  <si>
    <t>Leadville 2SW</t>
  </si>
  <si>
    <t>Larimer</t>
  </si>
  <si>
    <t>Estes Park</t>
  </si>
  <si>
    <t>Fort Collins</t>
  </si>
  <si>
    <t>Branson</t>
  </si>
  <si>
    <t>Delhi</t>
  </si>
  <si>
    <t>Trinidad</t>
  </si>
  <si>
    <t>Lincoln</t>
  </si>
  <si>
    <t>Arriba</t>
  </si>
  <si>
    <t>Genoa</t>
  </si>
  <si>
    <t>Karval</t>
  </si>
  <si>
    <t>Limon</t>
  </si>
  <si>
    <t>Logan</t>
  </si>
  <si>
    <t>Sterling</t>
  </si>
  <si>
    <t>Mesa</t>
  </si>
  <si>
    <t>Colbran</t>
  </si>
  <si>
    <t>Fruita 1W</t>
  </si>
  <si>
    <t>Gateway 1SE</t>
  </si>
  <si>
    <t>Grand Junction</t>
  </si>
  <si>
    <t>Palisade</t>
  </si>
  <si>
    <t>Mineral</t>
  </si>
  <si>
    <t>Wolf Creek Pass</t>
  </si>
  <si>
    <t>Moffat</t>
  </si>
  <si>
    <t>Craig</t>
  </si>
  <si>
    <t>Dinosaur Ntl Monument</t>
  </si>
  <si>
    <t>Greystone</t>
  </si>
  <si>
    <t>Maybell</t>
  </si>
  <si>
    <t>Sunbeam</t>
  </si>
  <si>
    <t>Montezuma</t>
  </si>
  <si>
    <t>Cortez</t>
  </si>
  <si>
    <t>Mesa Verde NP</t>
  </si>
  <si>
    <t>Montrose</t>
  </si>
  <si>
    <t>Cimmaron 3S</t>
  </si>
  <si>
    <t>Uravan</t>
  </si>
  <si>
    <t>Morgan</t>
  </si>
  <si>
    <t>Fort Morgan</t>
  </si>
  <si>
    <t>Wiggins 7SW</t>
  </si>
  <si>
    <t>Otero</t>
  </si>
  <si>
    <t>La Junta</t>
  </si>
  <si>
    <t>Rocky Ford 2SE</t>
  </si>
  <si>
    <t>Ouray</t>
  </si>
  <si>
    <t>Park</t>
  </si>
  <si>
    <t>Antero Reservoir</t>
  </si>
  <si>
    <t>Bailey</t>
  </si>
  <si>
    <t>Grant</t>
  </si>
  <si>
    <t>Phillips</t>
  </si>
  <si>
    <t>Holyoke</t>
  </si>
  <si>
    <t>Aspen</t>
  </si>
  <si>
    <t>Prowers</t>
  </si>
  <si>
    <t>Holly</t>
  </si>
  <si>
    <t>Lamar</t>
  </si>
  <si>
    <t>Pueblo</t>
  </si>
  <si>
    <t>Rye</t>
  </si>
  <si>
    <t>Rio Blanco</t>
  </si>
  <si>
    <t>Meeker 2</t>
  </si>
  <si>
    <t>Rangely 1E</t>
  </si>
  <si>
    <t>Rio Grande</t>
  </si>
  <si>
    <t>Del Norte</t>
  </si>
  <si>
    <t>Monte Vista</t>
  </si>
  <si>
    <t>Routt</t>
  </si>
  <si>
    <t>Hayden</t>
  </si>
  <si>
    <t>Steamboat Springs</t>
  </si>
  <si>
    <t>Yampa</t>
  </si>
  <si>
    <t>Saguache</t>
  </si>
  <si>
    <t>Cochepta Creek</t>
  </si>
  <si>
    <t>San Miguel</t>
  </si>
  <si>
    <t>Norwood</t>
  </si>
  <si>
    <t>Sedgwick</t>
  </si>
  <si>
    <t>3.8 - 4.2</t>
  </si>
  <si>
    <t>Summit</t>
  </si>
  <si>
    <t>Breckenridge</t>
  </si>
  <si>
    <t>Dillion 1E</t>
  </si>
  <si>
    <t>Teller</t>
  </si>
  <si>
    <t>Cripple Creek</t>
  </si>
  <si>
    <t>Washington</t>
  </si>
  <si>
    <t>Akron 4e</t>
  </si>
  <si>
    <t>Weld</t>
  </si>
  <si>
    <t>Greeley UNC</t>
  </si>
  <si>
    <t>New Raymer</t>
  </si>
  <si>
    <t>Nunn</t>
  </si>
  <si>
    <t>Yuma</t>
  </si>
  <si>
    <t>Bonny Lake</t>
  </si>
  <si>
    <t>References:</t>
  </si>
  <si>
    <r>
      <t>1</t>
    </r>
    <r>
      <rPr>
        <sz val="10"/>
        <rFont val="Arial"/>
        <family val="2"/>
      </rPr>
      <t xml:space="preserve">  Temperature and Precipitation Station (TAPS) Data File, USDA NRCS Water and Climate Center,</t>
    </r>
  </si>
  <si>
    <t xml:space="preserve">    Portland, OR.  Http://www.wcc.nrcs.usda.gov</t>
  </si>
  <si>
    <r>
      <t>2</t>
    </r>
    <r>
      <rPr>
        <sz val="10"/>
        <rFont val="Arial"/>
        <family val="2"/>
      </rPr>
      <t xml:space="preserve">  NOAA Technical Report NWS 33, Evaporation Atlas for the 48 Contiguous United States, 1982.</t>
    </r>
  </si>
  <si>
    <r>
      <t>3</t>
    </r>
    <r>
      <rPr>
        <sz val="10"/>
        <rFont val="Arial"/>
        <family val="2"/>
      </rPr>
      <t xml:space="preserve">  USDA NRCS Agricultural Waste Management Field Handbook, Chapter 10, Figures 10C-1 &amp; 10C-2.</t>
    </r>
  </si>
  <si>
    <r>
      <t>4</t>
    </r>
    <r>
      <rPr>
        <sz val="10"/>
        <rFont val="Arial"/>
        <family val="2"/>
      </rPr>
      <t xml:space="preserve">  NOAA Atlas II, Volume 3 - Colorado</t>
    </r>
  </si>
  <si>
    <t>jea  11/00</t>
  </si>
  <si>
    <t>Table 2.  RAINFALL vs. RUNOFF for Single Storms on Paved &amp; Unpaved  Feedlots</t>
  </si>
  <si>
    <t>Runoff for Paved Surface Feedlots, Curve Number:</t>
  </si>
  <si>
    <t>Runoff for Earth Surfaced Feedlots, Curve Number:</t>
  </si>
  <si>
    <r>
      <t>tenths</t>
    </r>
    <r>
      <rPr>
        <b/>
        <sz val="10"/>
        <rFont val="Arial"/>
        <family val="2"/>
      </rPr>
      <t>\</t>
    </r>
    <r>
      <rPr>
        <b/>
        <vertAlign val="superscript"/>
        <sz val="10"/>
        <rFont val="Arial"/>
        <family val="2"/>
      </rPr>
      <t>Inches</t>
    </r>
  </si>
  <si>
    <t>NOTE: These runoff values do not apply to multiple day events or seasonal average rainfall amounts</t>
  </si>
  <si>
    <t>where:</t>
  </si>
  <si>
    <t xml:space="preserve">  q = Runoff Depth, inches</t>
  </si>
  <si>
    <t xml:space="preserve">  P = Rainfall Depth, inches</t>
  </si>
  <si>
    <t>CN = Runoff Curve Number</t>
  </si>
  <si>
    <t>Table 3.  Volume of Retangular Ponds for given width, length &amp; depth</t>
  </si>
  <si>
    <t>Foot Depth</t>
  </si>
  <si>
    <t>T O  P    L  E  N  G  T  H,    F  T.</t>
  </si>
  <si>
    <t>: 1 Inside Slope</t>
  </si>
  <si>
    <t>T.</t>
  </si>
  <si>
    <t>F</t>
  </si>
  <si>
    <t>,</t>
  </si>
  <si>
    <t>H</t>
  </si>
  <si>
    <t>T</t>
  </si>
  <si>
    <t>D</t>
  </si>
  <si>
    <t>I</t>
  </si>
  <si>
    <t>W</t>
  </si>
  <si>
    <t>P</t>
  </si>
  <si>
    <t>O</t>
  </si>
  <si>
    <t>14-16</t>
  </si>
  <si>
    <t>13-40</t>
  </si>
  <si>
    <t>14-20</t>
  </si>
  <si>
    <t>14-18</t>
  </si>
  <si>
    <t>16-36</t>
  </si>
  <si>
    <t>16-18</t>
  </si>
  <si>
    <t>25 yr 24 hr</t>
  </si>
  <si>
    <t>Avg Precip</t>
  </si>
  <si>
    <t>Original Numbers</t>
  </si>
  <si>
    <t>Climate Station:</t>
  </si>
  <si>
    <t>County:</t>
  </si>
  <si>
    <t>Counties</t>
  </si>
  <si>
    <t>Byers 5ENE</t>
  </si>
  <si>
    <t>Grand Lake</t>
  </si>
  <si>
    <t>Dinosaur Ntl Monumont</t>
  </si>
  <si>
    <t>Dillon 1E</t>
  </si>
  <si>
    <t>Feeder, 750-1100#, HF</t>
  </si>
  <si>
    <t>Feeder, 750-1100#, HE</t>
  </si>
  <si>
    <t>USDA Natural Resources Conservation Service</t>
  </si>
  <si>
    <t>Prepared By:</t>
  </si>
  <si>
    <t>I.</t>
  </si>
  <si>
    <t>BASIC DATA</t>
  </si>
  <si>
    <t>A.</t>
  </si>
  <si>
    <t>Contacts</t>
  </si>
  <si>
    <t>Name of Operator:</t>
  </si>
  <si>
    <t>Principal Contact:</t>
  </si>
  <si>
    <t>Address:</t>
  </si>
  <si>
    <t>City:</t>
  </si>
  <si>
    <t>State:</t>
  </si>
  <si>
    <t>Zip:</t>
  </si>
  <si>
    <t>Telephone Number:</t>
  </si>
  <si>
    <t>Email:</t>
  </si>
  <si>
    <t>B.</t>
  </si>
  <si>
    <t>C.</t>
  </si>
  <si>
    <t>Waste Management Data</t>
  </si>
  <si>
    <t>Basic Info Page:</t>
  </si>
  <si>
    <t>Cells in this workbook that are colored yellow require data entry, light yellow cells are protected cells with formulas, and green cells contain drop downs that you need to select from.  A number of the drop downs require other fields to be populated prior to the drop down becoming populated.</t>
  </si>
  <si>
    <t>Facility Name, Prepared by, and Date are automatically populated from data on Basic Info page.</t>
  </si>
  <si>
    <t>If there is other solid wastes, select from the drop downs in that section of the form.  You will need to add any nutrient compostion for the solid wastes because of the extreme variability.</t>
  </si>
  <si>
    <t>Select a livestock type.  This will then populate the drop downs that are below in the main body of the form.  You will need to add the number of each livestock type along with an average weight and the number of days confined per year.  The system will then calculate the total manure produced along with the estimated nutrient content.</t>
  </si>
  <si>
    <t>Liquid Waste Page:</t>
  </si>
  <si>
    <t>Solid Manure Inv Page:</t>
  </si>
  <si>
    <t>This page may be skipped unless you are planning for a dairy or a swine confinement facility.</t>
  </si>
  <si>
    <t>If you are filling this page out, the top is similar to the previous page except that the Liquid Waste Storage System will not populate until you have selected a livestock type.  Once you hve selected the livestock type you must select a storage system to properly automatically select book values for the waste.</t>
  </si>
  <si>
    <t>Select a livestock type.  This will then populate the drop downs that are below in the main body of the form.  If planning for a dairy facility skip to other process wastewater after selecting  the livestock type.  You will need to add the number of each livestock type along with an average weight and the number of days confined per year.  The system will then calculate the total manure produced along with the estimated nutrient content.</t>
  </si>
  <si>
    <t>Only dairy will need to fill in the Other Process Wastewater section.  Again due to the variability in the nutrient values of wastewater you will need to populate accordingly.</t>
  </si>
  <si>
    <t>The system will automatically calculate the total waste produced and nutrient values.</t>
  </si>
  <si>
    <t>Runoff Computation Page:</t>
  </si>
  <si>
    <t>This page will automatically calculate and populate after you select a county and climate station.</t>
  </si>
  <si>
    <t>If errors show up or #NA there was an error in data entry from previous pages.  Check you data to verify validity and that the page calculated properly.</t>
  </si>
  <si>
    <r>
      <t xml:space="preserve">With all data correct, the system will select an approximate size for a runoff storage facility.  </t>
    </r>
    <r>
      <rPr>
        <b/>
        <sz val="10"/>
        <rFont val="Arial"/>
        <family val="2"/>
      </rPr>
      <t>Please note the total volume selected is slightly less than the calculated need.</t>
    </r>
    <r>
      <rPr>
        <sz val="10"/>
        <rFont val="Arial"/>
        <family val="0"/>
      </rPr>
      <t xml:space="preserve">  If the difference is too great, adjust the numbers in the cells identified just below to find an appropriate size for the volume.</t>
    </r>
  </si>
  <si>
    <t>590 JS Page:</t>
  </si>
  <si>
    <t>You will need to select the Planned Crop and input a Yield Goal along with the previous crop and yield.  Identify if the field(s) are irrigated, what the soil survey area is, soil map unit, slope, etc.</t>
  </si>
  <si>
    <t>If soil test information is available enter that information where designated.</t>
  </si>
  <si>
    <t>If a previous legume crop was grown and you must enter the necessary information to receive credit in the crop budget.</t>
  </si>
  <si>
    <t>If manure had been previously applied, identify the type and rate.  The system will calculate the mineralization to be used later in the workbook.</t>
  </si>
  <si>
    <r>
      <t xml:space="preserve">There is a </t>
    </r>
    <r>
      <rPr>
        <b/>
        <sz val="10"/>
        <rFont val="Arial"/>
        <family val="2"/>
      </rPr>
      <t xml:space="preserve">Checkout </t>
    </r>
    <r>
      <rPr>
        <sz val="10"/>
        <rFont val="Arial"/>
        <family val="2"/>
      </rPr>
      <t>page</t>
    </r>
    <r>
      <rPr>
        <sz val="10"/>
        <rFont val="Arial"/>
        <family val="0"/>
      </rPr>
      <t xml:space="preserve"> that will need to be completed manually, except parts of the title area, when the practice has been applied..</t>
    </r>
  </si>
  <si>
    <r>
      <t>Complete the remaining sections per the</t>
    </r>
    <r>
      <rPr>
        <b/>
        <sz val="10"/>
        <rFont val="Arial"/>
        <family val="2"/>
      </rPr>
      <t xml:space="preserve"> 590 Inst</t>
    </r>
    <r>
      <rPr>
        <sz val="10"/>
        <rFont val="Arial"/>
        <family val="0"/>
      </rPr>
      <t xml:space="preserve"> page.  You will also need to identify the legume and manure credits under the Nutrient Credits.  The system has been calculating the nutrient balance throughout this process and now is when you can determine if you have enough acreage to apply the waste on.</t>
    </r>
  </si>
  <si>
    <r>
      <t xml:space="preserve">This page is basically the </t>
    </r>
    <r>
      <rPr>
        <b/>
        <sz val="10"/>
        <rFont val="Arial"/>
        <family val="2"/>
      </rPr>
      <t>590 Nutrient Management Job Sheet</t>
    </r>
    <r>
      <rPr>
        <sz val="10"/>
        <rFont val="Arial"/>
        <family val="0"/>
      </rPr>
      <t xml:space="preserve"> with some slight changes to allow it to function with the previously calculated data.</t>
    </r>
  </si>
  <si>
    <r>
      <t xml:space="preserve">Under the crop nutrient requirements identify the </t>
    </r>
    <r>
      <rPr>
        <b/>
        <sz val="10"/>
        <rFont val="Arial"/>
        <family val="2"/>
      </rPr>
      <t>Method of Determining Needs</t>
    </r>
    <r>
      <rPr>
        <sz val="10"/>
        <rFont val="Arial"/>
        <family val="0"/>
      </rPr>
      <t>.  This is necessary for the worksheet to function properly.  If soil test recommendation is available enter it in the proper fields.</t>
    </r>
  </si>
  <si>
    <r>
      <t xml:space="preserve">Complete the environmental assessments per </t>
    </r>
    <r>
      <rPr>
        <b/>
        <sz val="10"/>
        <rFont val="Arial"/>
        <family val="2"/>
      </rPr>
      <t>590 Inst</t>
    </r>
    <r>
      <rPr>
        <sz val="10"/>
        <rFont val="Arial"/>
        <family val="0"/>
      </rPr>
      <t xml:space="preserve"> page.  That data will be brought forward so that you can deterimine application basis </t>
    </r>
    <r>
      <rPr>
        <i/>
        <sz val="10"/>
        <rFont val="Arial"/>
        <family val="2"/>
      </rPr>
      <t>(nitrogen or phosphorus</t>
    </r>
    <r>
      <rPr>
        <sz val="10"/>
        <rFont val="Arial"/>
        <family val="0"/>
      </rPr>
      <t>).</t>
    </r>
  </si>
  <si>
    <t>Yellow</t>
  </si>
  <si>
    <t>Light Yellow</t>
  </si>
  <si>
    <t>Green</t>
  </si>
  <si>
    <t>How many times per year is manure removed/collected?</t>
  </si>
  <si>
    <t>Is waste stored on site before disposal?</t>
  </si>
  <si>
    <t>If yes, describe how, where, and how long?</t>
  </si>
  <si>
    <t>Describe existing handling equipment?</t>
  </si>
  <si>
    <t>Describe the frequency for cleaning lots, lanes, feed bunk areas, etc., or frequency and volume of flushing holding pits, gutters, parlor and equipment, etc.</t>
  </si>
  <si>
    <t>How is storm runoff currently handled?</t>
  </si>
  <si>
    <t>Are dead animals currently disposed of on site?</t>
  </si>
  <si>
    <t>If yes, how?</t>
  </si>
  <si>
    <t>Are there local zoning or other regulations that will affect waste management at this facility?</t>
  </si>
  <si>
    <t>If yes, explain?</t>
  </si>
  <si>
    <t>CNMP Planning Tool</t>
  </si>
  <si>
    <r>
      <t>(</t>
    </r>
    <r>
      <rPr>
        <i/>
        <sz val="9"/>
        <rFont val="Arial"/>
        <family val="2"/>
      </rPr>
      <t>See AWMFH Chapter 2</t>
    </r>
    <r>
      <rPr>
        <sz val="9"/>
        <rFont val="Arial"/>
        <family val="2"/>
      </rPr>
      <t>)</t>
    </r>
  </si>
  <si>
    <t>Yes</t>
  </si>
  <si>
    <t>No</t>
  </si>
  <si>
    <t>liquid</t>
  </si>
  <si>
    <t>solid</t>
  </si>
  <si>
    <t>Name of Operation/Facility:</t>
  </si>
  <si>
    <t>AZ</t>
  </si>
  <si>
    <t>CO</t>
  </si>
  <si>
    <t>KS</t>
  </si>
  <si>
    <t>NE</t>
  </si>
  <si>
    <t>NM</t>
  </si>
  <si>
    <t>OK</t>
  </si>
  <si>
    <t>UT</t>
  </si>
  <si>
    <t>WY</t>
  </si>
  <si>
    <t>Roof Runoff Area</t>
  </si>
  <si>
    <t>Paved Runoff Area</t>
  </si>
  <si>
    <t>Earthen Runoff Area</t>
  </si>
  <si>
    <t>sq. ft.</t>
  </si>
  <si>
    <t>acres</t>
  </si>
  <si>
    <r>
      <t xml:space="preserve">Book Analysis </t>
    </r>
    <r>
      <rPr>
        <sz val="8"/>
        <rFont val="Arial"/>
        <family val="2"/>
      </rPr>
      <t>(</t>
    </r>
    <r>
      <rPr>
        <i/>
        <sz val="8"/>
        <rFont val="Arial"/>
        <family val="2"/>
      </rPr>
      <t>est.</t>
    </r>
    <r>
      <rPr>
        <sz val="8"/>
        <rFont val="Arial"/>
        <family val="2"/>
      </rPr>
      <t>)</t>
    </r>
  </si>
  <si>
    <t>Other Sources</t>
  </si>
  <si>
    <t>Milkhouse</t>
  </si>
  <si>
    <t>Milkhouse &amp; Parlor</t>
  </si>
  <si>
    <t>Milkhouse, Parlor &amp; Holding Area</t>
  </si>
  <si>
    <t>Storage Pond</t>
  </si>
  <si>
    <t>Feedlot Runoff Pond</t>
  </si>
  <si>
    <t>feedlot runoff pond</t>
  </si>
  <si>
    <t>Storage pond</t>
  </si>
  <si>
    <t>Storage System</t>
  </si>
  <si>
    <t>Nursing/nursery pig, &lt;40#</t>
  </si>
  <si>
    <t>No.</t>
  </si>
  <si>
    <t>1-stage anaerobic</t>
  </si>
  <si>
    <t>2-stage anaerobic</t>
  </si>
  <si>
    <t>Replacement gilt</t>
  </si>
  <si>
    <t>ANIMAL</t>
  </si>
  <si>
    <t>Gal/Day</t>
  </si>
  <si>
    <t>Cow, 1400#</t>
  </si>
  <si>
    <t>Cow, 1000#</t>
  </si>
  <si>
    <t>Feeder, 750#</t>
  </si>
  <si>
    <t>Feeder, 500#</t>
  </si>
  <si>
    <t>Cow, 1250#</t>
  </si>
  <si>
    <t>Calf, 250#</t>
  </si>
  <si>
    <t>Heifer, 750#</t>
  </si>
  <si>
    <t>1250#</t>
  </si>
  <si>
    <t>1000#</t>
  </si>
  <si>
    <t>750#</t>
  </si>
  <si>
    <t>500#</t>
  </si>
  <si>
    <t>1400#</t>
  </si>
  <si>
    <t>250#</t>
  </si>
  <si>
    <t>150#</t>
  </si>
  <si>
    <t>Manure Produced, tons/yr:</t>
  </si>
  <si>
    <t>Building pit</t>
  </si>
  <si>
    <t>Checked By:</t>
  </si>
  <si>
    <t>Liquid Waste Storage System:</t>
  </si>
  <si>
    <t>Waste Volume, 1,000 Gal./yr:</t>
  </si>
  <si>
    <t>Volume</t>
  </si>
  <si>
    <t>Depth</t>
  </si>
  <si>
    <t>Width</t>
  </si>
  <si>
    <t>Length</t>
  </si>
  <si>
    <t>Name</t>
  </si>
  <si>
    <t>Date</t>
  </si>
  <si>
    <r>
      <t>1.</t>
    </r>
    <r>
      <rPr>
        <sz val="8"/>
        <rFont val="Arial"/>
        <family val="2"/>
      </rPr>
      <t xml:space="preserve">  To estimate </t>
    </r>
    <r>
      <rPr>
        <b/>
        <sz val="8"/>
        <rFont val="Arial"/>
        <family val="2"/>
      </rPr>
      <t>nutrient removal</t>
    </r>
    <r>
      <rPr>
        <sz val="8"/>
        <rFont val="Arial"/>
        <family val="2"/>
      </rPr>
      <t>, select the crop(s) in the rotation that will receive manure, and enter the corresponding yield goal(s).  A realistic yield goal is a 5 year average for the field plus 5 % for exceptional growing conditions.</t>
    </r>
  </si>
  <si>
    <t>Crop</t>
  </si>
  <si>
    <t>Yield Goal</t>
  </si>
  <si>
    <t>Harvest Unit</t>
  </si>
  <si>
    <t>Pounds per Unit</t>
  </si>
  <si>
    <t>Harvest DM %</t>
  </si>
  <si>
    <t>Estimated Nutrient Removal lb/ac</t>
  </si>
  <si>
    <t>N</t>
  </si>
  <si>
    <r>
      <t>2a.</t>
    </r>
    <r>
      <rPr>
        <sz val="8"/>
        <rFont val="Arial"/>
        <family val="2"/>
      </rPr>
      <t xml:space="preserve">  To estimate </t>
    </r>
    <r>
      <rPr>
        <b/>
        <sz val="8"/>
        <rFont val="Arial"/>
        <family val="2"/>
      </rPr>
      <t>solid manure production</t>
    </r>
    <r>
      <rPr>
        <sz val="8"/>
        <rFont val="Arial"/>
        <family val="2"/>
      </rPr>
      <t>, select the animal type and enter the number of animals, days on feed and incoming and outgoing weights</t>
    </r>
    <r>
      <rPr>
        <b/>
        <sz val="8"/>
        <rFont val="Arial"/>
        <family val="2"/>
      </rPr>
      <t xml:space="preserve">  </t>
    </r>
  </si>
  <si>
    <t>No. of Animals</t>
  </si>
  <si>
    <t>Days on feed</t>
  </si>
  <si>
    <t>Incoming weight</t>
  </si>
  <si>
    <t>Outgoing weight</t>
  </si>
  <si>
    <t>Average weight</t>
  </si>
  <si>
    <t>Annual Production
tons/yr</t>
  </si>
  <si>
    <r>
      <t>2b</t>
    </r>
    <r>
      <rPr>
        <sz val="8"/>
        <rFont val="Arial"/>
        <family val="2"/>
      </rPr>
      <t xml:space="preserve">.  To estimate </t>
    </r>
    <r>
      <rPr>
        <b/>
        <sz val="8"/>
        <rFont val="Arial"/>
        <family val="2"/>
      </rPr>
      <t>liquid manure production</t>
    </r>
    <r>
      <rPr>
        <sz val="8"/>
        <rFont val="Arial"/>
        <family val="2"/>
      </rPr>
      <t xml:space="preserve">, select the animal type and enter the number of animals, days on feed and incoming and outgoing weights  </t>
    </r>
    <r>
      <rPr>
        <b/>
        <sz val="8"/>
        <rFont val="Arial"/>
        <family val="2"/>
      </rPr>
      <t xml:space="preserve"> </t>
    </r>
  </si>
  <si>
    <t>Annual Production
1,000 gal/yr</t>
  </si>
  <si>
    <t>Annual Production</t>
  </si>
  <si>
    <t>Unit</t>
  </si>
  <si>
    <t>Annual Nutrient Production lb/yr</t>
  </si>
  <si>
    <t>N based</t>
  </si>
  <si>
    <t>P based</t>
  </si>
  <si>
    <t>Laboratory</t>
  </si>
  <si>
    <r>
      <t xml:space="preserve">*   Do not use this worksheet to determine agronomic rates of application.  
</t>
    </r>
    <r>
      <rPr>
        <b/>
        <vertAlign val="superscript"/>
        <sz val="8"/>
        <rFont val="Arial"/>
        <family val="2"/>
      </rPr>
      <t>(1)</t>
    </r>
    <r>
      <rPr>
        <sz val="8"/>
        <rFont val="Arial"/>
        <family val="2"/>
      </rPr>
      <t xml:space="preserve">  P = P</t>
    </r>
    <r>
      <rPr>
        <vertAlign val="subscript"/>
        <sz val="8"/>
        <rFont val="Arial"/>
        <family val="2"/>
      </rPr>
      <t>2</t>
    </r>
    <r>
      <rPr>
        <sz val="8"/>
        <rFont val="Arial"/>
        <family val="2"/>
      </rPr>
      <t>O</t>
    </r>
    <r>
      <rPr>
        <vertAlign val="subscript"/>
        <sz val="8"/>
        <rFont val="Arial"/>
        <family val="2"/>
      </rPr>
      <t>5</t>
    </r>
    <r>
      <rPr>
        <sz val="8"/>
        <rFont val="Arial"/>
        <family val="2"/>
      </rPr>
      <t xml:space="preserve"> x 0.437  </t>
    </r>
    <r>
      <rPr>
        <b/>
        <vertAlign val="superscript"/>
        <sz val="8"/>
        <rFont val="Arial"/>
        <family val="2"/>
      </rPr>
      <t>(2)</t>
    </r>
    <r>
      <rPr>
        <sz val="8"/>
        <rFont val="Arial"/>
        <family val="2"/>
      </rPr>
      <t xml:space="preserve">  Pounds per 1,000 gallons x 27.15 = pounds per acre inch</t>
    </r>
  </si>
  <si>
    <t>Field ID</t>
  </si>
  <si>
    <t>Factor\Risk</t>
  </si>
  <si>
    <t>Low (1)</t>
  </si>
  <si>
    <t>Medium (2)</t>
  </si>
  <si>
    <t>High (3)</t>
  </si>
  <si>
    <t>Very High (4)</t>
  </si>
  <si>
    <t>Score</t>
  </si>
  <si>
    <t>Very Slow, Slow and Moderately Slow</t>
  </si>
  <si>
    <t>Moderate</t>
  </si>
  <si>
    <t>Moderately Rapid</t>
  </si>
  <si>
    <t>Rapid and Very Rapid</t>
  </si>
  <si>
    <t xml:space="preserve">High 
&gt; 85 % </t>
  </si>
  <si>
    <t>Moderate 
60 – 85 %</t>
  </si>
  <si>
    <t>Moderately Low
35 – 60 %</t>
  </si>
  <si>
    <t>Low 
&lt; 35 %</t>
  </si>
  <si>
    <t>Total N application rate below agronomic rate</t>
  </si>
  <si>
    <t>Total N application rate equal to agronomic rate</t>
  </si>
  <si>
    <t>Total N application rate 1 to 50 pounds per acre above agronomic rate</t>
  </si>
  <si>
    <t>Total N application rate greater than 50 pounds per acre above agronomic rate</t>
  </si>
  <si>
    <t>Applied at P agronomic rate</t>
  </si>
  <si>
    <t>Applied at N agronomic rate</t>
  </si>
  <si>
    <t>Applied above N agronomic rate</t>
  </si>
  <si>
    <t>Days Confined</t>
  </si>
  <si>
    <t>Animal Type:</t>
  </si>
  <si>
    <r>
      <t>P</t>
    </r>
    <r>
      <rPr>
        <b/>
        <vertAlign val="subscript"/>
        <sz val="8"/>
        <rFont val="Arial"/>
        <family val="2"/>
      </rPr>
      <t>2</t>
    </r>
    <r>
      <rPr>
        <b/>
        <sz val="8"/>
        <rFont val="Arial"/>
        <family val="2"/>
      </rPr>
      <t>O</t>
    </r>
    <r>
      <rPr>
        <b/>
        <vertAlign val="subscript"/>
        <sz val="8"/>
        <rFont val="Arial"/>
        <family val="2"/>
      </rPr>
      <t>5</t>
    </r>
    <r>
      <rPr>
        <b/>
        <sz val="8"/>
        <rFont val="Arial"/>
        <family val="2"/>
      </rPr>
      <t xml:space="preserve"> -</t>
    </r>
  </si>
  <si>
    <r>
      <t>K</t>
    </r>
    <r>
      <rPr>
        <b/>
        <vertAlign val="subscript"/>
        <sz val="8"/>
        <rFont val="Arial"/>
        <family val="2"/>
      </rPr>
      <t>2</t>
    </r>
    <r>
      <rPr>
        <b/>
        <sz val="8"/>
        <rFont val="Arial"/>
        <family val="2"/>
      </rPr>
      <t>O -</t>
    </r>
  </si>
  <si>
    <r>
      <t>3a</t>
    </r>
    <r>
      <rPr>
        <sz val="8"/>
        <rFont val="Arial"/>
        <family val="2"/>
      </rPr>
      <t>. To estimate land base requirement, calculate total nutrient production of N and P from solid and liquid wastes and divide by crop nutrient requirements.</t>
    </r>
  </si>
  <si>
    <t>Land base requirement (acres)</t>
  </si>
  <si>
    <t>solid manure production</t>
  </si>
  <si>
    <t>liquid manure production</t>
  </si>
  <si>
    <t>Total Nutrient Production in lbs:</t>
  </si>
  <si>
    <t/>
  </si>
  <si>
    <t>Applied above N agronomic rate more than one consecutive year</t>
  </si>
  <si>
    <t>In season split application
(2 or more splits)</t>
  </si>
  <si>
    <t>Any nitrogen application 0 to 3 months before crop planting</t>
  </si>
  <si>
    <t>Any nitrogen application 3 to 5 months before crop planting</t>
  </si>
  <si>
    <t>Any nitrogen application more than 5 months before crop planting</t>
  </si>
  <si>
    <t>Gross Score  (Sum of Factors 1 through 4)</t>
  </si>
  <si>
    <t>5. Best Management Practice (BMP) Implementation Credits</t>
  </si>
  <si>
    <t>Net Score  (Sum of Factors 1 through 4 less Factor 5, BMP Implementation Credits)</t>
  </si>
  <si>
    <t>* BMP credit not applicable for fall applications on soils with rapid or very rapid permeabilities</t>
  </si>
  <si>
    <t>Net Score</t>
  </si>
  <si>
    <t>Risk Interpretations</t>
  </si>
  <si>
    <t>&lt; 8</t>
  </si>
  <si>
    <t>8 to 11</t>
  </si>
  <si>
    <t>12 to 15</t>
  </si>
  <si>
    <t>Colorado Nitrogen Leaching Index Risk Assessment</t>
  </si>
  <si>
    <t>(Version 2.0)</t>
  </si>
  <si>
    <r>
      <t>James L. Sharkoff</t>
    </r>
    <r>
      <rPr>
        <b/>
        <vertAlign val="superscript"/>
        <sz val="10"/>
        <rFont val="Times New Roman"/>
        <family val="1"/>
      </rPr>
      <t>1</t>
    </r>
    <r>
      <rPr>
        <b/>
        <sz val="10"/>
        <rFont val="Times New Roman"/>
        <family val="1"/>
      </rPr>
      <t>, Reagan M. Waskom</t>
    </r>
    <r>
      <rPr>
        <b/>
        <vertAlign val="superscript"/>
        <sz val="10"/>
        <rFont val="Times New Roman"/>
        <family val="1"/>
      </rPr>
      <t>2</t>
    </r>
    <r>
      <rPr>
        <b/>
        <sz val="10"/>
        <rFont val="Times New Roman"/>
        <family val="1"/>
      </rPr>
      <t xml:space="preserve"> and Troy A. Bauder</t>
    </r>
    <r>
      <rPr>
        <b/>
        <vertAlign val="superscript"/>
        <sz val="10"/>
        <rFont val="Times New Roman"/>
        <family val="1"/>
      </rPr>
      <t xml:space="preserve">2 </t>
    </r>
  </si>
  <si>
    <t>If available, enter the manure nutrient test results in the identified fields.  If none the system will select appropriate book values.</t>
  </si>
  <si>
    <r>
      <t xml:space="preserve">The </t>
    </r>
    <r>
      <rPr>
        <b/>
        <sz val="10"/>
        <rFont val="Arial"/>
        <family val="2"/>
      </rPr>
      <t>C.  Waste Management Data</t>
    </r>
    <r>
      <rPr>
        <sz val="10"/>
        <rFont val="Arial"/>
        <family val="0"/>
      </rPr>
      <t xml:space="preserve"> is needed information for development of a full CNMP.  Most of this information is found on the ENG-651.  For this </t>
    </r>
    <r>
      <rPr>
        <b/>
        <sz val="10"/>
        <rFont val="Arial"/>
        <family val="2"/>
      </rPr>
      <t>Planning Tool</t>
    </r>
    <r>
      <rPr>
        <sz val="10"/>
        <rFont val="Arial"/>
        <family val="0"/>
      </rPr>
      <t xml:space="preserve"> to fully function, i.e.,Runoff Computations, you must fill in the </t>
    </r>
    <r>
      <rPr>
        <b/>
        <sz val="10"/>
        <rFont val="Arial"/>
        <family val="2"/>
      </rPr>
      <t>Waste Form?</t>
    </r>
    <r>
      <rPr>
        <sz val="10"/>
        <rFont val="Arial"/>
        <family val="0"/>
      </rPr>
      <t xml:space="preserve"> and the three runoff areas in this section.</t>
    </r>
  </si>
  <si>
    <t>Waste Form?</t>
  </si>
  <si>
    <r>
      <t xml:space="preserve">Attach a conservation plan map along with completing section </t>
    </r>
    <r>
      <rPr>
        <b/>
        <sz val="10"/>
        <rFont val="Arial"/>
        <family val="2"/>
      </rPr>
      <t>B.  Facility Description</t>
    </r>
    <r>
      <rPr>
        <sz val="10"/>
        <rFont val="Arial"/>
        <family val="0"/>
      </rPr>
      <t>.  This will provide required information for completion of the CNMP.</t>
    </r>
  </si>
  <si>
    <r>
      <t xml:space="preserve">Information provided under </t>
    </r>
    <r>
      <rPr>
        <b/>
        <sz val="10"/>
        <rFont val="Arial"/>
        <family val="2"/>
      </rPr>
      <t>A.  Contacts</t>
    </r>
    <r>
      <rPr>
        <sz val="10"/>
        <rFont val="Arial"/>
        <family val="0"/>
      </rPr>
      <t xml:space="preserve"> is used to automatically populate locked cells with title information on subsequent pages.  </t>
    </r>
  </si>
  <si>
    <t>The Colorado Nitrogen Leaching Index is a qualitative field assessment tool developed to rank the relative potential for nitrogen leaching from agricultural fields.  It can provide planners, producers and consultants a way to identify fields where the risk of nitrogen leaching may be high.</t>
  </si>
  <si>
    <t>The Colorado Nitrogen Leaching Index is not designed to quantify nitrogen losses from agricultural fields.  Rather, it is a planning tool for developing alternatives for the land user to minimize the potential for nitrogen leaching below the crop root zone.</t>
  </si>
  <si>
    <t>A Preliminary Nitrogen Leaching Risk Screening Tool is included below to make an initial determination as to whether or not a Leaching Risk Assessment should be completed for an individual field or crop rotation.</t>
  </si>
  <si>
    <t>Preliminary Nitrogen Leaching Risk Screening Tool</t>
  </si>
  <si>
    <t>Will commercial nitrogen fertilizer, animal manure, effluent or other organic nutrients be applied to this field?</t>
  </si>
  <si>
    <t>A Colorado Nitrogen Leaching Index Risk Assessment is not required for this field.</t>
  </si>
  <si>
    <r>
      <t xml:space="preserve">No  </t>
    </r>
    <r>
      <rPr>
        <b/>
        <sz val="10"/>
        <rFont val="Wingdings"/>
        <family val="0"/>
      </rPr>
      <t>è</t>
    </r>
  </si>
  <si>
    <r>
      <t xml:space="preserve">Yes
</t>
    </r>
    <r>
      <rPr>
        <b/>
        <sz val="10"/>
        <rFont val="Wingdings"/>
        <family val="0"/>
      </rPr>
      <t>ê</t>
    </r>
  </si>
  <si>
    <t>Is the field irrigated, sub-irrigated, or is the average annual precipitation greater than 18 inches?</t>
  </si>
  <si>
    <t>Manure Type</t>
  </si>
  <si>
    <t>Plant #</t>
  </si>
  <si>
    <t>Complete a Colorado Nitrogen Leaching Index Risk Assessment for this field.</t>
  </si>
  <si>
    <r>
      <t>1</t>
    </r>
    <r>
      <rPr>
        <sz val="9"/>
        <rFont val="Times New Roman"/>
        <family val="1"/>
      </rPr>
      <t xml:space="preserve"> State Conservation Agronomist, USDA, Natural Resources Conservation Service, Lakewood, CO  </t>
    </r>
  </si>
  <si>
    <r>
      <t xml:space="preserve">2 </t>
    </r>
    <r>
      <rPr>
        <sz val="9"/>
        <rFont val="Times New Roman"/>
        <family val="1"/>
      </rPr>
      <t>Extension Water Resources and Water Quality Specialists, respectively, Colorado State University, Ft. Collins, CO</t>
    </r>
  </si>
  <si>
    <t>Procedures for Making an Assessment</t>
  </si>
  <si>
    <t>The Colorado Nitrogen Leaching Index consists of four site and management Risk Factors that can affect the potential for nitrogen leaching below the crop root zone.  In order to complete an assessment, the relative risk associated with each of these four factors must be rated.  The rating scale ranges from Low (1), to Medium (2), to High (3), to Very High (4).  Instructions for rating each Risk Factor are provided below.  The rating process requires a field-specific knowledge of soil permeability, irrigation efficiency, climate, ground water surface elevation, nitrogen and manure/effluent application rates and application timing.  Once the Risk Factors have been rated, add the values together and compare the sum with the Risk Interpretations to determine the relative risk for nitrogen leaching below the crop root zone.  Implementation of certain Best Management Practices may also be considered to mitigate or decrease the relative risk potential.</t>
  </si>
  <si>
    <r>
      <t>Factor 1.  Soil Permeability Class</t>
    </r>
    <r>
      <rPr>
        <sz val="10"/>
        <rFont val="Times New Roman"/>
        <family val="1"/>
      </rPr>
      <t xml:space="preserve"> - The soil properties that affect permeability are distribution of pore sizes and pore shapes.  Permeability classes for specific soils can be found in the soil survey publication for your area.  Contact your local Natural Resources Conservation Service Field Office for soils information.  Soil permeability class must be determined first and then the associated risk can be determined from Table 1.</t>
    </r>
  </si>
  <si>
    <t>Table 1. Soil Permeability Class Risk</t>
  </si>
  <si>
    <t>Very Slow, Slow and Moderately Slow
(&lt;0.6 in/hr)
(&lt;4.0 m/sec)
Sandy clay loam, Clay loam, Silty clay loam, Sandy clay, Silty clay, Clay</t>
  </si>
  <si>
    <t>Moderate
(0.6-2.0 in/hr)
(4.0-14.0 m/sec)
Very fine sandy loam, Loam, Silt loam, Silt</t>
  </si>
  <si>
    <t>Moderately Rapid 
(2.0-6.0 in/hr) 
(14.0-42.0 m/sec) 
Coarse sandy loam, Sandy loam, Fine sandy loam</t>
  </si>
  <si>
    <t>Rapid and Very Rapid 
(&gt; 6.0 in/hr) 
(&gt;42.0 m/sec) 
Coarse sand, Sand, Fine sand, Very fine sand, Loamy coarse sand, Loamy sand, Loamy fine sand, Loamy very fine sand</t>
  </si>
  <si>
    <r>
      <t>Factor 2.  Irrigation Application Efficiency</t>
    </r>
    <r>
      <rPr>
        <sz val="9"/>
        <rFont val="Times New Roman"/>
        <family val="1"/>
      </rPr>
      <t xml:space="preserve"> - Irrigation application efficiency is the ratio of the average depth of irrigation water infiltrated and stored in the crop root zone to the average depth of irrigation water applied, expressed as a percentage.  Application efficiencies will vary depending upon management, system design and site conditions.  If measured efficiencies are not available, select the appropriate risk category based upon a best estimate.  Use the Medium (2) risk category for non-irrigated fields that receive greater than 18 inches average annual precipitation and the High (3) risk category for sub-irrigated fields.</t>
    </r>
  </si>
  <si>
    <t>Table 2. Irrigation Application Efficiency Risk</t>
  </si>
  <si>
    <r>
      <t xml:space="preserve">High Efficiency </t>
    </r>
    <r>
      <rPr>
        <sz val="9"/>
        <rFont val="Arial"/>
        <family val="2"/>
      </rPr>
      <t xml:space="preserve">
&gt; 85 %</t>
    </r>
  </si>
  <si>
    <t>Moderate Efficiency 
61 - 85%</t>
  </si>
  <si>
    <t>Moderate - Low Efficiency
35 – 60 %</t>
  </si>
  <si>
    <t>Low Efficiency
&lt; 35 %</t>
  </si>
  <si>
    <t>Drip, Micro irrigation, LEPA, Low pressure center pivots</t>
  </si>
  <si>
    <t>Furrow with surge, Sprinkler, Center pivot, Side roll/hand move, Non-irrigated w/ &gt; 18 inches average annual precipitation</t>
  </si>
  <si>
    <t>Border, Furrow and Sub-irrigated</t>
  </si>
  <si>
    <t>Flood</t>
  </si>
  <si>
    <r>
      <t>Factor 3.  Nitrogen Application Rate</t>
    </r>
    <r>
      <rPr>
        <sz val="9"/>
        <rFont val="Times New Roman"/>
        <family val="1"/>
      </rPr>
      <t xml:space="preserve"> - Agronomic rates are field-specific estimates of crop needs for the current growing season that include an accounting of all N and P available to the crop before manure and or fertilizer application.  Use CSU Cooperative Extension publications or the Colorado Nutrient Management, 590 Job Sheet to calculate field specific agronomic rates.</t>
    </r>
  </si>
  <si>
    <t>If commercial fertilizer N will be applied to the field with or without manure, use Risk Factor Table 3a and add the available manure N applied to the fertilizer N applied.  Use Risk Factor Table 3b if only manure and or effluent and no commercial N fertilizer will be applied.  See Table 3c for approximate nutrient composition of selected types of manure at time of application.  See Table 3d to estimate the amount of organic N available to the crop from applied manure and or effluent.</t>
  </si>
  <si>
    <r>
      <t xml:space="preserve">Table 3a.  Nitrogen Application Rate Risk  </t>
    </r>
    <r>
      <rPr>
        <sz val="9"/>
        <rFont val="Times New Roman"/>
        <family val="1"/>
      </rPr>
      <t>(Commercial N fertilizer with or without manure)</t>
    </r>
  </si>
  <si>
    <t>Total N application below agronomic rate</t>
  </si>
  <si>
    <t>Total N application 1 to 50 pounds per acre above agronomic rate</t>
  </si>
  <si>
    <t>Total N application greater than 50 pounds per acre above agronomic rate</t>
  </si>
  <si>
    <r>
      <t xml:space="preserve">Table 3b.  Manure/Effluent Application Rate Risk  </t>
    </r>
    <r>
      <rPr>
        <sz val="9"/>
        <rFont val="Times New Roman"/>
        <family val="1"/>
      </rPr>
      <t>(No Commercial N fertilizer)</t>
    </r>
  </si>
  <si>
    <t>Table 3c.  Approximate Nutrient Content of Selected Types of Manure at Time of Application</t>
  </si>
  <si>
    <t>Manure Source</t>
  </si>
  <si>
    <t>% of Organic N Available</t>
  </si>
  <si>
    <t>1st year</t>
  </si>
  <si>
    <t>2nd year</t>
  </si>
  <si>
    <t>3rd year</t>
  </si>
  <si>
    <t>Beef, dairy cattle</t>
  </si>
  <si>
    <t>solid (without bedding)</t>
  </si>
  <si>
    <t>30-40</t>
  </si>
  <si>
    <t>10-15</t>
  </si>
  <si>
    <t>5-10</t>
  </si>
  <si>
    <t>liquid (anaerobic)</t>
  </si>
  <si>
    <t>25-35</t>
  </si>
  <si>
    <t>2-7</t>
  </si>
  <si>
    <t>45-55</t>
  </si>
  <si>
    <t>3-8</t>
  </si>
  <si>
    <t>35-45</t>
  </si>
  <si>
    <t>4-9</t>
  </si>
  <si>
    <t>20-30</t>
  </si>
  <si>
    <t xml:space="preserve">Horse </t>
  </si>
  <si>
    <t>solid (with bedding)</t>
  </si>
  <si>
    <t>15-25</t>
  </si>
  <si>
    <t>solid (without litter)</t>
  </si>
  <si>
    <t xml:space="preserve">Source: Best Management Practices for Manure Utilization, CSU Cooperative Extension Bulletin 568A, 1999. </t>
  </si>
  <si>
    <r>
      <t xml:space="preserve">Factor 4.  Nitrogen Application Timing - </t>
    </r>
    <r>
      <rPr>
        <sz val="9"/>
        <rFont val="Times New Roman"/>
        <family val="1"/>
      </rPr>
      <t>Nitrogen applications split throughout the growing season have a lower potential for leaching below the crop root zone than applications made before crop planting.</t>
    </r>
  </si>
  <si>
    <r>
      <t xml:space="preserve">Table 4. </t>
    </r>
    <r>
      <rPr>
        <sz val="9"/>
        <rFont val="Times New Roman"/>
        <family val="1"/>
      </rPr>
      <t xml:space="preserve"> </t>
    </r>
    <r>
      <rPr>
        <b/>
        <sz val="9"/>
        <rFont val="Times New Roman"/>
        <family val="1"/>
      </rPr>
      <t>Nitrogen Application Timing</t>
    </r>
    <r>
      <rPr>
        <sz val="9"/>
        <rFont val="Times New Roman"/>
        <family val="1"/>
      </rPr>
      <t xml:space="preserve"> </t>
    </r>
    <r>
      <rPr>
        <b/>
        <sz val="9"/>
        <rFont val="Times New Roman"/>
        <family val="1"/>
      </rPr>
      <t>Risk</t>
    </r>
  </si>
  <si>
    <t>In season split applications
(2 or more splits)</t>
  </si>
  <si>
    <r>
      <t xml:space="preserve">Factor 5. Best Management Practice (BMP) Implementation Credits - </t>
    </r>
    <r>
      <rPr>
        <sz val="9"/>
        <rFont val="Times New Roman"/>
        <family val="1"/>
      </rPr>
      <t>Specific BMPs may be applied to decrease the relative potential for nitrogen leaching.  To take a BMP credit, subtract one point from the gross score for each of the following BMPs implemented on-site.</t>
    </r>
    <r>
      <rPr>
        <b/>
        <sz val="9"/>
        <rFont val="Times New Roman"/>
        <family val="1"/>
      </rPr>
      <t xml:space="preserve">  </t>
    </r>
  </si>
  <si>
    <r>
      <t>·</t>
    </r>
    <r>
      <rPr>
        <sz val="9"/>
        <rFont val="Times New Roman"/>
        <family val="1"/>
      </rPr>
      <t xml:space="preserve">         Use of slow release commercial N fertilizers such as sulfur coated urea or urea formaldehyde; </t>
    </r>
  </si>
  <si>
    <r>
      <t>·</t>
    </r>
    <r>
      <rPr>
        <sz val="9"/>
        <rFont val="Times New Roman"/>
        <family val="1"/>
      </rPr>
      <t>         Use of cover crops</t>
    </r>
    <r>
      <rPr>
        <b/>
        <sz val="9"/>
        <rFont val="Times New Roman"/>
        <family val="1"/>
      </rPr>
      <t xml:space="preserve"> </t>
    </r>
    <r>
      <rPr>
        <sz val="9"/>
        <rFont val="Times New Roman"/>
        <family val="1"/>
      </rPr>
      <t>planted after harvest or crop failure to utilize excess nutrients;</t>
    </r>
  </si>
  <si>
    <r>
      <t>·</t>
    </r>
    <r>
      <rPr>
        <sz val="9"/>
        <rFont val="Times New Roman"/>
        <family val="1"/>
      </rPr>
      <t>         Use of nitrification inhibitors to delay the conversion of NH</t>
    </r>
    <r>
      <rPr>
        <vertAlign val="subscript"/>
        <sz val="9"/>
        <rFont val="Times New Roman"/>
        <family val="1"/>
      </rPr>
      <t>4</t>
    </r>
    <r>
      <rPr>
        <sz val="9"/>
        <rFont val="Times New Roman"/>
        <family val="1"/>
      </rPr>
      <t xml:space="preserve"> to NO</t>
    </r>
    <r>
      <rPr>
        <vertAlign val="subscript"/>
        <sz val="9"/>
        <rFont val="Times New Roman"/>
        <family val="1"/>
      </rPr>
      <t>3</t>
    </r>
    <r>
      <rPr>
        <sz val="9"/>
        <rFont val="Times New Roman"/>
        <family val="1"/>
      </rPr>
      <t xml:space="preserve"> (BMP credit not applicable for fall applications on soils with rapid or very rapid permeabilities);</t>
    </r>
  </si>
  <si>
    <r>
      <t>·</t>
    </r>
    <r>
      <rPr>
        <sz val="9"/>
        <rFont val="Times New Roman"/>
        <family val="1"/>
      </rPr>
      <t>         Use of deep rooted crops, such as alfalfa, in the rotation;</t>
    </r>
  </si>
  <si>
    <r>
      <t>·</t>
    </r>
    <r>
      <rPr>
        <sz val="9"/>
        <rFont val="Times New Roman"/>
        <family val="1"/>
      </rPr>
      <t>         Use of deep (4-5 ft) soil sampling to determine sub-soil nitrogen credit; or,</t>
    </r>
  </si>
  <si>
    <r>
      <t>·</t>
    </r>
    <r>
      <rPr>
        <sz val="9"/>
        <rFont val="Times New Roman"/>
        <family val="1"/>
      </rPr>
      <t>         Implementation of an Irrigation Water Management Plan that meets NRCS (Code 449) criteria.</t>
    </r>
  </si>
  <si>
    <t>Low</t>
  </si>
  <si>
    <t>Medium</t>
  </si>
  <si>
    <t>High</t>
  </si>
  <si>
    <t>Very High</t>
  </si>
  <si>
    <t>&lt; 30</t>
  </si>
  <si>
    <t>30-90</t>
  </si>
  <si>
    <t>91-150</t>
  </si>
  <si>
    <t>&gt; 150</t>
  </si>
  <si>
    <t>None Applied, Injected or Subsurface Application Deeper Than 2 inches</t>
  </si>
  <si>
    <t>Spring Applied and Incorporated within 2 weeks, or Sprinkler Applied</t>
  </si>
  <si>
    <t>Fall/Winter Applied and Incorporated within 2 weeks</t>
  </si>
  <si>
    <t>Surface Applied with No Incorporation, or Fall/Winter Applied with Spring Incorporation</t>
  </si>
  <si>
    <t>5. BMP Implementation Credits</t>
  </si>
  <si>
    <t>Subtract one point for each of the following BMPs implemented on this site.  Contour Buffer Strips,  Cover Crops,  Filter Strips,  Furrow Diking,  Grassed Waterways,  Linear Polyacrylamide,  Terraces,  or  Residue Management</t>
  </si>
  <si>
    <t>Colorado Phosphorus Index Risk Assessment</t>
  </si>
  <si>
    <t>(Version 3.0)</t>
  </si>
  <si>
    <r>
      <t>James L. Sharkoff</t>
    </r>
    <r>
      <rPr>
        <b/>
        <vertAlign val="superscript"/>
        <sz val="10"/>
        <rFont val="Times New Roman"/>
        <family val="1"/>
      </rPr>
      <t>1</t>
    </r>
    <r>
      <rPr>
        <b/>
        <sz val="10"/>
        <rFont val="Times New Roman"/>
        <family val="1"/>
      </rPr>
      <t>, Reagan M. Waskom</t>
    </r>
    <r>
      <rPr>
        <b/>
        <vertAlign val="superscript"/>
        <sz val="10"/>
        <rFont val="Times New Roman"/>
        <family val="1"/>
      </rPr>
      <t>2</t>
    </r>
    <r>
      <rPr>
        <b/>
        <sz val="10"/>
        <rFont val="Times New Roman"/>
        <family val="1"/>
      </rPr>
      <t>, and Jessica G. Davis</t>
    </r>
    <r>
      <rPr>
        <b/>
        <vertAlign val="superscript"/>
        <sz val="10"/>
        <rFont val="Times New Roman"/>
        <family val="1"/>
      </rPr>
      <t>2</t>
    </r>
  </si>
  <si>
    <t>The Colorado Phosphorus Index is a field risk assessment tool designed to determine whether land application rates for manure and other organic nutrients should be based on nitrogen or phosphorus, or whether land application should be avoided.  It is intended to provide planners, producers and consultants a way to rank the relative potential for phosphorus movement and identify fields where the risk of phosphorus losses may be high.</t>
  </si>
  <si>
    <t>The Colorado Phosphorus Index is patterned after the phosphorus index proposed by Lemunyon and Gilbert (1993), and has been modified for use in Colorado.  The modifications are based on the equivalent of 38 site years of irrigation tailwater phosphorus concentration data collected in the Arkansas, South Platte and Uncompahgre River Basins of Colorado during the 1998 and 1999 growing seasons.</t>
  </si>
  <si>
    <t>The Colorado Phosphorus Index is not designed to quantify phosphorus concentrations in runoff or irrigation tailwater.  Rather, it is a planning tool to develop alternatives for the landuser to minimize the potential for phosphorus losses from agricultural fields.</t>
  </si>
  <si>
    <t>A Preliminary Phosphorus Risk Screening Tool is provided below to make an initial determination as to whether or not a Colorado Phosphorus Index Risk Assessment needs to be completed for an individual field or crop rotation.</t>
  </si>
  <si>
    <t>Preliminary Phosphorus Risk Screening Tool</t>
  </si>
  <si>
    <t>Will animal manure or other organic nutrients be applied to this field?</t>
  </si>
  <si>
    <t>A Colorado Phosphorus Index Risk Assessment is not required for this field.</t>
  </si>
  <si>
    <t>Is soil test P greater than:10 ppm AB-DTPA;  30 ppm Bray P1;40 ppm Mehlich 3, or;  20 ppm Olsen (NaHCO3)?</t>
  </si>
  <si>
    <t>A Colorado Phosphorus Index Risk Assessment is not required for this field.  Base organic nutrient application rates on crop nitrogen requirements.</t>
  </si>
  <si>
    <t>Can storm water runoff or irrigation tailwater reach a surface water body? (Continuous or intermittent stream, irrigation ditch, lake, or wetland, etc.)</t>
  </si>
  <si>
    <t>Complete a Colorado Phosphorus Index Risk Assessment for this field.</t>
  </si>
  <si>
    <r>
      <t xml:space="preserve">2 </t>
    </r>
    <r>
      <rPr>
        <sz val="9"/>
        <rFont val="Times New Roman"/>
        <family val="1"/>
      </rPr>
      <t>Water Quality Specialist and Environmental Soil Scientist, respectively, Colorado State University, Ft. Collins, CO</t>
    </r>
  </si>
  <si>
    <t>1,000 gal/yr</t>
  </si>
  <si>
    <t xml:space="preserve"> Other Wastewater, 1,000 Gal./yr:</t>
  </si>
  <si>
    <t>lbs/1000 gal</t>
  </si>
  <si>
    <r>
      <t xml:space="preserve">Wastewater Test Results </t>
    </r>
    <r>
      <rPr>
        <sz val="9"/>
        <rFont val="Arial"/>
        <family val="0"/>
      </rPr>
      <t>(</t>
    </r>
    <r>
      <rPr>
        <sz val="8.5"/>
        <rFont val="Arial"/>
        <family val="2"/>
      </rPr>
      <t>lbs/1000 gal</t>
    </r>
    <r>
      <rPr>
        <sz val="9"/>
        <rFont val="Arial"/>
        <family val="0"/>
      </rPr>
      <t>)</t>
    </r>
  </si>
  <si>
    <t>The Colorado Phosphorus Index consists of four site and management Risk Factors that can affect the potential for the movement of phosphorus off-site.  In order to complete an assessment the relative risk associated with each of these four Factors must be rated.  The rating scale goes from Low (1), to Medium (2), to High (3), to Very High (4).  Instructions for rating each Risk Factor are provided below.  The rating process will require a field-specific knowledge of soils and slopes, soil test phosphorus levels, crop rotation and yield history, phosphorus application history and phosphorus application methods.  Once the Risk Factors are rated, add the values together and compare the sum with the Risk Interpretations to determine the relative potential for the movement of phosphorus off-site.  Implementation of certain Best Management Practices may also be considered in order to mitigate or decrease the relative risk potential.</t>
  </si>
  <si>
    <t>Colorado Phosphorus Index Risk Factors</t>
  </si>
  <si>
    <r>
      <t>P</t>
    </r>
    <r>
      <rPr>
        <b/>
        <vertAlign val="subscript"/>
        <sz val="9"/>
        <rFont val="Arial"/>
        <family val="2"/>
      </rPr>
      <t>2</t>
    </r>
    <r>
      <rPr>
        <b/>
        <sz val="9"/>
        <rFont val="Arial"/>
        <family val="2"/>
      </rPr>
      <t>O</t>
    </r>
    <r>
      <rPr>
        <b/>
        <vertAlign val="subscript"/>
        <sz val="9"/>
        <rFont val="Arial"/>
        <family val="2"/>
      </rPr>
      <t xml:space="preserve">5 </t>
    </r>
    <r>
      <rPr>
        <b/>
        <sz val="9"/>
        <rFont val="Arial"/>
        <family val="2"/>
      </rPr>
      <t>-</t>
    </r>
  </si>
  <si>
    <r>
      <t>P</t>
    </r>
    <r>
      <rPr>
        <b/>
        <vertAlign val="subscript"/>
        <sz val="8.5"/>
        <rFont val="Arial"/>
        <family val="2"/>
      </rPr>
      <t>2</t>
    </r>
    <r>
      <rPr>
        <b/>
        <sz val="8.5"/>
        <rFont val="Arial"/>
        <family val="2"/>
      </rPr>
      <t>O</t>
    </r>
    <r>
      <rPr>
        <b/>
        <vertAlign val="subscript"/>
        <sz val="8.5"/>
        <rFont val="Arial"/>
        <family val="2"/>
      </rPr>
      <t>5</t>
    </r>
  </si>
  <si>
    <r>
      <t>K</t>
    </r>
    <r>
      <rPr>
        <b/>
        <vertAlign val="subscript"/>
        <sz val="8"/>
        <rFont val="Arial"/>
        <family val="2"/>
      </rPr>
      <t>2</t>
    </r>
    <r>
      <rPr>
        <b/>
        <sz val="8"/>
        <rFont val="Arial"/>
        <family val="2"/>
      </rPr>
      <t>0</t>
    </r>
  </si>
  <si>
    <t>(m)</t>
  </si>
  <si>
    <t>(n)</t>
  </si>
  <si>
    <r>
      <t>K</t>
    </r>
    <r>
      <rPr>
        <b/>
        <vertAlign val="subscript"/>
        <sz val="8.5"/>
        <rFont val="Arial"/>
        <family val="2"/>
      </rPr>
      <t>2</t>
    </r>
    <r>
      <rPr>
        <b/>
        <sz val="8.5"/>
        <rFont val="Arial"/>
        <family val="2"/>
      </rPr>
      <t>O</t>
    </r>
  </si>
  <si>
    <r>
      <t>K</t>
    </r>
    <r>
      <rPr>
        <b/>
        <vertAlign val="subscript"/>
        <sz val="9"/>
        <rFont val="Arial"/>
        <family val="2"/>
      </rPr>
      <t>2</t>
    </r>
    <r>
      <rPr>
        <b/>
        <sz val="9"/>
        <rFont val="Arial"/>
        <family val="2"/>
      </rPr>
      <t>O -</t>
    </r>
  </si>
  <si>
    <t>(days/yr)</t>
  </si>
  <si>
    <t>tons/yr</t>
  </si>
  <si>
    <t>(lb/yr)</t>
  </si>
  <si>
    <t>Other Solid Wastes, tons/yr:</t>
  </si>
  <si>
    <t>(lbs)</t>
  </si>
  <si>
    <r>
      <t xml:space="preserve">Book Analysis </t>
    </r>
    <r>
      <rPr>
        <i/>
        <sz val="8.5"/>
        <rFont val="Arial"/>
        <family val="2"/>
      </rPr>
      <t>(est.)</t>
    </r>
  </si>
  <si>
    <r>
      <t>P</t>
    </r>
    <r>
      <rPr>
        <b/>
        <vertAlign val="subscript"/>
        <sz val="9"/>
        <rFont val="Arial"/>
        <family val="0"/>
      </rPr>
      <t>2</t>
    </r>
    <r>
      <rPr>
        <b/>
        <sz val="9"/>
        <rFont val="Arial"/>
        <family val="0"/>
      </rPr>
      <t>O</t>
    </r>
    <r>
      <rPr>
        <b/>
        <vertAlign val="subscript"/>
        <sz val="9"/>
        <rFont val="Arial"/>
        <family val="0"/>
      </rPr>
      <t xml:space="preserve">5 </t>
    </r>
    <r>
      <rPr>
        <b/>
        <sz val="9"/>
        <rFont val="Arial"/>
        <family val="0"/>
      </rPr>
      <t>-</t>
    </r>
  </si>
  <si>
    <r>
      <t>K</t>
    </r>
    <r>
      <rPr>
        <b/>
        <vertAlign val="subscript"/>
        <sz val="9"/>
        <rFont val="Arial"/>
        <family val="2"/>
      </rPr>
      <t>2</t>
    </r>
    <r>
      <rPr>
        <b/>
        <sz val="9"/>
        <rFont val="Arial"/>
        <family val="2"/>
      </rPr>
      <t>O</t>
    </r>
  </si>
  <si>
    <t>lb/1000gal</t>
  </si>
  <si>
    <t>1000 gal/yr</t>
  </si>
  <si>
    <t>gal/day</t>
  </si>
  <si>
    <t>gal/AU-day</t>
  </si>
  <si>
    <t>days/yr</t>
  </si>
  <si>
    <t># AUs</t>
  </si>
  <si>
    <t>lbs</t>
  </si>
  <si>
    <t>#</t>
  </si>
  <si>
    <t>lb/yr</t>
  </si>
  <si>
    <t>Residual N from previous manure applications, Year -</t>
  </si>
  <si>
    <t>Method of Determining Needs:</t>
  </si>
  <si>
    <t>If soil test, enter -&gt;</t>
  </si>
  <si>
    <t>Crop Planned</t>
  </si>
  <si>
    <r>
      <t xml:space="preserve">Legume N Credit from Previous Crop </t>
    </r>
    <r>
      <rPr>
        <b/>
        <vertAlign val="superscript"/>
        <sz val="9"/>
        <rFont val="Arial"/>
        <family val="2"/>
      </rPr>
      <t>(1)</t>
    </r>
  </si>
  <si>
    <t xml:space="preserve">Third Year Alfalfa </t>
  </si>
  <si>
    <r>
      <t>Plants        / ft</t>
    </r>
    <r>
      <rPr>
        <vertAlign val="superscript"/>
        <sz val="8"/>
        <rFont val="Arial"/>
        <family val="2"/>
      </rPr>
      <t>2</t>
    </r>
    <r>
      <rPr>
        <sz val="8"/>
        <rFont val="Arial"/>
        <family val="2"/>
      </rPr>
      <t xml:space="preserve"> </t>
    </r>
  </si>
  <si>
    <r>
      <t>(1)</t>
    </r>
    <r>
      <rPr>
        <sz val="7.5"/>
        <rFont val="Arial"/>
        <family val="2"/>
      </rPr>
      <t xml:space="preserve"> For forage legumes other than Alfalfa such as clover or trefoil, use 80 % of the credit for Alfalfa.  For soybeans or dry beans, credit 1 pound of N per bushel harvested the previous year, to a maximum of 40.</t>
    </r>
  </si>
  <si>
    <r>
      <t xml:space="preserve">(2) </t>
    </r>
    <r>
      <rPr>
        <sz val="7.5"/>
        <rFont val="Arial"/>
        <family val="2"/>
      </rPr>
      <t>Pounds per 1,000 gallons x 27.15 = pounds per acre-inch</t>
    </r>
    <r>
      <rPr>
        <vertAlign val="superscript"/>
        <sz val="7.5"/>
        <rFont val="Arial"/>
        <family val="2"/>
      </rPr>
      <t xml:space="preserve">   (3)</t>
    </r>
    <r>
      <rPr>
        <sz val="7.5"/>
        <rFont val="Arial"/>
        <family val="2"/>
      </rPr>
      <t xml:space="preserve"> Manure applied annually    </t>
    </r>
    <r>
      <rPr>
        <vertAlign val="superscript"/>
        <sz val="7.5"/>
        <rFont val="Arial"/>
        <family val="2"/>
      </rPr>
      <t>(4)</t>
    </r>
    <r>
      <rPr>
        <sz val="7.5"/>
        <rFont val="Arial"/>
        <family val="2"/>
      </rPr>
      <t xml:space="preserve"> Manure applied once in 2 or more years       </t>
    </r>
  </si>
  <si>
    <r>
      <t>Irrigation Water NO</t>
    </r>
    <r>
      <rPr>
        <b/>
        <vertAlign val="subscript"/>
        <sz val="9"/>
        <rFont val="Arial"/>
        <family val="2"/>
      </rPr>
      <t>3</t>
    </r>
    <r>
      <rPr>
        <b/>
        <sz val="9"/>
        <rFont val="Arial"/>
        <family val="2"/>
      </rPr>
      <t>-N Credit</t>
    </r>
  </si>
  <si>
    <t>Nutrient Credits Summary</t>
  </si>
  <si>
    <r>
      <t>(5)</t>
    </r>
    <r>
      <rPr>
        <sz val="7.5"/>
        <rFont val="Arial"/>
        <family val="2"/>
      </rPr>
      <t xml:space="preserve"> Estimated acre inches to be applied prior to anthesis  </t>
    </r>
    <r>
      <rPr>
        <b/>
        <vertAlign val="superscript"/>
        <sz val="7.5"/>
        <rFont val="Arial"/>
        <family val="2"/>
      </rPr>
      <t xml:space="preserve">(6) </t>
    </r>
    <r>
      <rPr>
        <b/>
        <sz val="7.5"/>
        <rFont val="Arial"/>
        <family val="2"/>
      </rPr>
      <t xml:space="preserve"> </t>
    </r>
    <r>
      <rPr>
        <sz val="7.5"/>
        <rFont val="Arial"/>
        <family val="2"/>
      </rPr>
      <t>Irrigation water nitrate [NO</t>
    </r>
    <r>
      <rPr>
        <vertAlign val="subscript"/>
        <sz val="7.5"/>
        <rFont val="Arial"/>
        <family val="2"/>
      </rPr>
      <t>3</t>
    </r>
    <r>
      <rPr>
        <sz val="7.5"/>
        <rFont val="Arial"/>
        <family val="2"/>
      </rPr>
      <t>-N] concentration</t>
    </r>
  </si>
  <si>
    <t>P2O5</t>
  </si>
  <si>
    <t>K3O</t>
  </si>
  <si>
    <t>1 year</t>
  </si>
  <si>
    <t>2 years</t>
  </si>
  <si>
    <t>Legume N credit from previous crop, Stand Years</t>
  </si>
  <si>
    <t>3+ years</t>
  </si>
  <si>
    <r>
      <t>Factor 1.  Runoff Class</t>
    </r>
    <r>
      <rPr>
        <sz val="10"/>
        <rFont val="Times New Roman"/>
        <family val="1"/>
      </rPr>
      <t xml:space="preserve"> – Runoff Class is based on field slope and the least permeable soil layer in the top three feet of the soil profile.  Permeability classes for specific soils can be found in the Soil Survey publication for your area.  Contact your local Natural Resources Conservation Service Field Office for soils information.  Soil permeability class and field slope must be determined first, and then the runoff class risk can be determined from Table 1.</t>
    </r>
  </si>
  <si>
    <t>Table 1.  Runoff Class Risk</t>
  </si>
  <si>
    <t>Soil Permeability Class</t>
  </si>
  <si>
    <r>
      <t xml:space="preserve">Very Rapid
(&gt; 20.0 in/hr)  
(&gt;141.14 </t>
    </r>
    <r>
      <rPr>
        <sz val="9"/>
        <rFont val="Symbol"/>
        <family val="1"/>
      </rPr>
      <t>m</t>
    </r>
    <r>
      <rPr>
        <sz val="9"/>
        <rFont val="Times New Roman"/>
        <family val="1"/>
      </rPr>
      <t>m/sec)</t>
    </r>
  </si>
  <si>
    <r>
      <t xml:space="preserve">Rapid and Moderately Rapid  (2.0-20.0 in/hr)    (14.11-141.14 </t>
    </r>
    <r>
      <rPr>
        <sz val="9"/>
        <rFont val="Symbol"/>
        <family val="1"/>
      </rPr>
      <t>m</t>
    </r>
    <r>
      <rPr>
        <sz val="9"/>
        <rFont val="Times New Roman"/>
        <family val="1"/>
      </rPr>
      <t>m/sec)</t>
    </r>
  </si>
  <si>
    <r>
      <t xml:space="preserve">Moderate and Moderately Slow  </t>
    </r>
    <r>
      <rPr>
        <sz val="8"/>
        <rFont val="Times New Roman"/>
        <family val="1"/>
      </rPr>
      <t xml:space="preserve">(0.2-2.0 in/hr)
</t>
    </r>
    <r>
      <rPr>
        <sz val="9"/>
        <rFont val="Times New Roman"/>
        <family val="1"/>
      </rPr>
      <t xml:space="preserve">(1.41-14.11 </t>
    </r>
    <r>
      <rPr>
        <sz val="9"/>
        <rFont val="Arial Narrow"/>
        <family val="2"/>
      </rPr>
      <t>µ</t>
    </r>
    <r>
      <rPr>
        <sz val="9"/>
        <rFont val="Times New Roman"/>
        <family val="1"/>
      </rPr>
      <t>m/sec)</t>
    </r>
    <r>
      <rPr>
        <sz val="8"/>
        <rFont val="Times New Roman"/>
        <family val="1"/>
      </rPr>
      <t xml:space="preserve"> </t>
    </r>
    <r>
      <rPr>
        <sz val="10"/>
        <rFont val="Times New Roman"/>
        <family val="1"/>
      </rPr>
      <t xml:space="preserve"> </t>
    </r>
  </si>
  <si>
    <r>
      <t xml:space="preserve">Slow
(0.06-0.2 in/hr)  
(0.42-1.41 </t>
    </r>
    <r>
      <rPr>
        <sz val="9"/>
        <rFont val="Symbol"/>
        <family val="1"/>
      </rPr>
      <t>m</t>
    </r>
    <r>
      <rPr>
        <sz val="9"/>
        <rFont val="Times New Roman"/>
        <family val="1"/>
      </rPr>
      <t>m/sec)</t>
    </r>
  </si>
  <si>
    <r>
      <t xml:space="preserve">Very Slow 
(&lt; 0.06 in/hr) 
(&lt; 0.42 </t>
    </r>
    <r>
      <rPr>
        <sz val="9"/>
        <rFont val="Symbol"/>
        <family val="1"/>
      </rPr>
      <t>m</t>
    </r>
    <r>
      <rPr>
        <sz val="9"/>
        <rFont val="Times New Roman"/>
        <family val="1"/>
      </rPr>
      <t xml:space="preserve">m/sec) </t>
    </r>
  </si>
  <si>
    <t>Slope %</t>
  </si>
  <si>
    <t>Runoff Class Risk</t>
  </si>
  <si>
    <t>Depressions</t>
  </si>
  <si>
    <t>0-1 %</t>
  </si>
  <si>
    <t>1-5 %</t>
  </si>
  <si>
    <t>5-10 %</t>
  </si>
  <si>
    <t>10-20 %</t>
  </si>
  <si>
    <t>&gt; 20 %</t>
  </si>
  <si>
    <r>
      <t>Factor 2.  Soil Test Phosphorus</t>
    </r>
    <r>
      <rPr>
        <sz val="10"/>
        <rFont val="Times New Roman"/>
        <family val="1"/>
      </rPr>
      <t xml:space="preserve"> – Bray P1 soil tests are used for acidic, or low pH soils.  Olsen and AB-DTPA soil tests are used for soils with a pH greater than 7.0 that contain calcium carbonate.  Mehlich 3 soil tests have been used for both low and high pH soils.  Phosphorus soil test samples should be taken from the top 2 to 3 inches for continuous no-till cropland, hayland and pastures, and from the top 8 to 12 inches for tilled cropland.  </t>
    </r>
  </si>
  <si>
    <t>Table 2.  Soil Test Phosphorus Risk</t>
  </si>
  <si>
    <t>Soil Test Extraction</t>
  </si>
  <si>
    <t>AB-DTPA</t>
  </si>
  <si>
    <t>&lt; 10 ppm</t>
  </si>
  <si>
    <t>10-20 ppm</t>
  </si>
  <si>
    <t>21-40 ppm</t>
  </si>
  <si>
    <t>&gt; 40 ppm</t>
  </si>
  <si>
    <t>Bray P1</t>
  </si>
  <si>
    <t>&lt; 30 ppm</t>
  </si>
  <si>
    <t>30-60 ppm</t>
  </si>
  <si>
    <t>61-120 ppm</t>
  </si>
  <si>
    <t>&gt; 120 ppm</t>
  </si>
  <si>
    <t>Mehlich 3</t>
  </si>
  <si>
    <t>&lt; 40 ppm</t>
  </si>
  <si>
    <t>40-100 ppm</t>
  </si>
  <si>
    <t>101-200 ppm</t>
  </si>
  <si>
    <t>&gt; 200 ppm</t>
  </si>
  <si>
    <r>
      <t>Olsen (NaHCO</t>
    </r>
    <r>
      <rPr>
        <vertAlign val="subscript"/>
        <sz val="9"/>
        <rFont val="Times New Roman"/>
        <family val="1"/>
      </rPr>
      <t>3</t>
    </r>
    <r>
      <rPr>
        <sz val="9"/>
        <rFont val="Times New Roman"/>
        <family val="1"/>
      </rPr>
      <t>)</t>
    </r>
  </si>
  <si>
    <t>&lt; 20 ppm</t>
  </si>
  <si>
    <t>20-40 ppm</t>
  </si>
  <si>
    <t>41-80 ppm</t>
  </si>
  <si>
    <t>&gt; 80 ppm</t>
  </si>
  <si>
    <r>
      <t>Factor 3.  Phosphorus Application Rate</t>
    </r>
    <r>
      <rPr>
        <sz val="10"/>
        <rFont val="Times New Roman"/>
        <family val="1"/>
      </rPr>
      <t xml:space="preserve"> – The Phosphorus Application Rate is the amount of phosphorus (P</t>
    </r>
    <r>
      <rPr>
        <vertAlign val="subscript"/>
        <sz val="10"/>
        <rFont val="Times New Roman"/>
        <family val="1"/>
      </rPr>
      <t>2</t>
    </r>
    <r>
      <rPr>
        <sz val="10"/>
        <rFont val="Times New Roman"/>
        <family val="1"/>
      </rPr>
      <t>O</t>
    </r>
    <r>
      <rPr>
        <vertAlign val="subscript"/>
        <sz val="10"/>
        <rFont val="Times New Roman"/>
        <family val="1"/>
      </rPr>
      <t>5</t>
    </r>
    <r>
      <rPr>
        <sz val="10"/>
        <rFont val="Times New Roman"/>
        <family val="1"/>
      </rPr>
      <t>) annually applied (or average annual application rate calculated for the current crop rotation) to the field in pounds per acre from both inorganic and organic sources.  Calculate the pounds per acre of phosphorus annually applied from organic sources from tons or gallons per acre applied and the estimated nutrient content from manure tests or book values.  See Table 3b for examples of acceptable book values.</t>
    </r>
  </si>
  <si>
    <t>Table 3a.  Phosphorus Application Rate Risk</t>
  </si>
  <si>
    <r>
      <t>Rate (lb P</t>
    </r>
    <r>
      <rPr>
        <vertAlign val="subscript"/>
        <sz val="9"/>
        <rFont val="Times New Roman"/>
        <family val="1"/>
      </rPr>
      <t>2</t>
    </r>
    <r>
      <rPr>
        <sz val="9"/>
        <rFont val="Times New Roman"/>
        <family val="1"/>
      </rPr>
      <t>O</t>
    </r>
    <r>
      <rPr>
        <vertAlign val="subscript"/>
        <sz val="9"/>
        <rFont val="Times New Roman"/>
        <family val="1"/>
      </rPr>
      <t>5</t>
    </r>
    <r>
      <rPr>
        <sz val="9"/>
        <rFont val="Times New Roman"/>
        <family val="1"/>
      </rPr>
      <t>/ac)</t>
    </r>
  </si>
  <si>
    <r>
      <t>Table 3b.  Approximate Nutrient Composition of Selected Types of Manure at Time of Application</t>
    </r>
    <r>
      <rPr>
        <b/>
        <vertAlign val="superscript"/>
        <sz val="10"/>
        <rFont val="Times New Roman"/>
        <family val="1"/>
      </rPr>
      <t>1</t>
    </r>
  </si>
  <si>
    <t>Moisture Content %</t>
  </si>
  <si>
    <r>
      <t>NH</t>
    </r>
    <r>
      <rPr>
        <b/>
        <vertAlign val="subscript"/>
        <sz val="9"/>
        <rFont val="Times New Roman"/>
        <family val="1"/>
      </rPr>
      <t>4</t>
    </r>
    <r>
      <rPr>
        <b/>
        <sz val="9"/>
        <rFont val="Times New Roman"/>
        <family val="1"/>
      </rPr>
      <t>-N</t>
    </r>
  </si>
  <si>
    <r>
      <t>P</t>
    </r>
    <r>
      <rPr>
        <b/>
        <vertAlign val="subscript"/>
        <sz val="9"/>
        <rFont val="Times New Roman"/>
        <family val="1"/>
      </rPr>
      <t>2</t>
    </r>
    <r>
      <rPr>
        <b/>
        <sz val="9"/>
        <rFont val="Times New Roman"/>
        <family val="1"/>
      </rPr>
      <t>O</t>
    </r>
    <r>
      <rPr>
        <b/>
        <vertAlign val="subscript"/>
        <sz val="9"/>
        <rFont val="Times New Roman"/>
        <family val="1"/>
      </rPr>
      <t>5</t>
    </r>
  </si>
  <si>
    <r>
      <t>K</t>
    </r>
    <r>
      <rPr>
        <b/>
        <vertAlign val="subscript"/>
        <sz val="9"/>
        <rFont val="Times New Roman"/>
        <family val="1"/>
      </rPr>
      <t>2</t>
    </r>
    <r>
      <rPr>
        <b/>
        <sz val="9"/>
        <rFont val="Times New Roman"/>
        <family val="1"/>
      </rPr>
      <t>O</t>
    </r>
  </si>
  <si>
    <t>Pounds per Ton</t>
  </si>
  <si>
    <t>Dairy Cattle</t>
  </si>
  <si>
    <t>Chicken w/o litter</t>
  </si>
  <si>
    <t>Turkey w/o litter</t>
  </si>
  <si>
    <t>Horse w/o bedding</t>
  </si>
  <si>
    <r>
      <t>1</t>
    </r>
    <r>
      <rPr>
        <sz val="10"/>
        <rFont val="Times New Roman"/>
        <family val="1"/>
      </rPr>
      <t xml:space="preserve">  These values are derived from the USDA, SCS, Agricultural Waste Management Field Handbook (1992), and modified with data collected from Colorado feeding operations when possible.  Nutrient composition of manure will vary with age, breed, feed rations, and manure handling practices.</t>
    </r>
  </si>
  <si>
    <r>
      <t>Factor 4.  Phosphorus Application Method</t>
    </r>
    <r>
      <rPr>
        <sz val="10"/>
        <rFont val="Times New Roman"/>
        <family val="1"/>
      </rPr>
      <t xml:space="preserve"> – The manner in which phosphorus is applied to the soil and the amount of time it is exposed on the soil surface impacts potential phosphorus losses.  Incorporation implies that the phosphorus is incorporated into the soil a minimum of two inches.  The categories of increasing severity, Low to Very High, depict the longer surface exposure time between phosphorus application, incorporation, and crop utilization.  Effluent applied through a sprinkler at a rate that does not exceed the infiltration rate of the soil is considered a Medium risk.</t>
    </r>
  </si>
  <si>
    <t>Table 4.  Phosphorus Application Method Risk</t>
  </si>
  <si>
    <t>Application Method</t>
  </si>
  <si>
    <t>None Applied, Injected or Subsurface Applied</t>
  </si>
  <si>
    <t>Approximate Design Dimensions -- Based on 3:1 Slopes</t>
  </si>
  <si>
    <r>
      <t>Facility Description</t>
    </r>
    <r>
      <rPr>
        <sz val="10"/>
        <rFont val="Arial"/>
        <family val="0"/>
      </rPr>
      <t xml:space="preserve"> (</t>
    </r>
    <r>
      <rPr>
        <sz val="8"/>
        <rFont val="Arial"/>
        <family val="2"/>
      </rPr>
      <t>give a brief description of the facilities, any special problems &amp; management objectives</t>
    </r>
    <r>
      <rPr>
        <sz val="10"/>
        <rFont val="Arial"/>
        <family val="0"/>
      </rPr>
      <t xml:space="preserve">) </t>
    </r>
  </si>
  <si>
    <t>Attach Conservation Plan Map</t>
  </si>
  <si>
    <t>To customize design dimensions, enter appropriate numbers for each measurement below -</t>
  </si>
  <si>
    <t>System will automatically calculate available volume -</t>
  </si>
  <si>
    <t>in feet</t>
  </si>
  <si>
    <r>
      <t>Factor 5. Best Management Practice (BMP) Implementation Credits</t>
    </r>
    <r>
      <rPr>
        <sz val="10"/>
        <rFont val="Times New Roman"/>
        <family val="1"/>
      </rPr>
      <t xml:space="preserve"> – Specific BMPs may be implemented to decrease the relative potential for off-site P movement.  To take a BMP credit, subtract one point from the gross score for each of the following BMPs implemented on-site.</t>
    </r>
  </si>
  <si>
    <r>
      <t>¨</t>
    </r>
    <r>
      <rPr>
        <sz val="7"/>
        <rFont val="Times New Roman"/>
        <family val="1"/>
      </rPr>
      <t xml:space="preserve">       </t>
    </r>
    <r>
      <rPr>
        <b/>
        <sz val="10"/>
        <rFont val="Times New Roman"/>
        <family val="1"/>
      </rPr>
      <t>Contour Buffer Strips</t>
    </r>
    <r>
      <rPr>
        <sz val="10"/>
        <rFont val="Times New Roman"/>
        <family val="1"/>
      </rPr>
      <t xml:space="preserve"> may be alternated with wider cultivated strips to slow runoff and trap sediment.</t>
    </r>
  </si>
  <si>
    <r>
      <t>¨</t>
    </r>
    <r>
      <rPr>
        <sz val="7"/>
        <rFont val="Times New Roman"/>
        <family val="1"/>
      </rPr>
      <t xml:space="preserve">       </t>
    </r>
    <r>
      <rPr>
        <b/>
        <sz val="10"/>
        <rFont val="Times New Roman"/>
        <family val="1"/>
      </rPr>
      <t xml:space="preserve">Cover Crops </t>
    </r>
    <r>
      <rPr>
        <sz val="10"/>
        <rFont val="Times New Roman"/>
        <family val="1"/>
      </rPr>
      <t>may be planted after harvest or crop failure to decrease erosion and use excess nutrients applied to the field.</t>
    </r>
  </si>
  <si>
    <r>
      <t>¨</t>
    </r>
    <r>
      <rPr>
        <sz val="7"/>
        <rFont val="Times New Roman"/>
        <family val="1"/>
      </rPr>
      <t xml:space="preserve">       </t>
    </r>
    <r>
      <rPr>
        <b/>
        <sz val="10"/>
        <rFont val="Times New Roman"/>
        <family val="1"/>
      </rPr>
      <t xml:space="preserve">Filter Strips </t>
    </r>
    <r>
      <rPr>
        <sz val="10"/>
        <rFont val="Times New Roman"/>
        <family val="1"/>
      </rPr>
      <t>may be planted on the down gradient side of the field to decrease the potential to transport phosphorus off-site.</t>
    </r>
  </si>
  <si>
    <r>
      <t>¨</t>
    </r>
    <r>
      <rPr>
        <sz val="7"/>
        <rFont val="Times New Roman"/>
        <family val="1"/>
      </rPr>
      <t xml:space="preserve">       </t>
    </r>
    <r>
      <rPr>
        <b/>
        <sz val="10"/>
        <rFont val="Times New Roman"/>
        <family val="1"/>
      </rPr>
      <t xml:space="preserve">Furrow Diking </t>
    </r>
    <r>
      <rPr>
        <sz val="10"/>
        <rFont val="Times New Roman"/>
        <family val="1"/>
      </rPr>
      <t>may be used to create depressions in the soil surface to decrease runoff and erosion.</t>
    </r>
  </si>
  <si>
    <r>
      <t>¨</t>
    </r>
    <r>
      <rPr>
        <sz val="7"/>
        <rFont val="Times New Roman"/>
        <family val="1"/>
      </rPr>
      <t xml:space="preserve">       </t>
    </r>
    <r>
      <rPr>
        <b/>
        <sz val="10"/>
        <rFont val="Times New Roman"/>
        <family val="1"/>
      </rPr>
      <t xml:space="preserve">Grassed Waterways </t>
    </r>
    <r>
      <rPr>
        <sz val="10"/>
        <rFont val="Times New Roman"/>
        <family val="1"/>
      </rPr>
      <t>may be installed to convey runoff and decrease erosion.</t>
    </r>
  </si>
  <si>
    <r>
      <t>¨</t>
    </r>
    <r>
      <rPr>
        <sz val="7"/>
        <rFont val="Times New Roman"/>
        <family val="1"/>
      </rPr>
      <t xml:space="preserve">       </t>
    </r>
    <r>
      <rPr>
        <b/>
        <sz val="10"/>
        <rFont val="Times New Roman"/>
        <family val="1"/>
      </rPr>
      <t xml:space="preserve">Linear Polyacrylamide </t>
    </r>
    <r>
      <rPr>
        <sz val="10"/>
        <rFont val="Times New Roman"/>
        <family val="1"/>
      </rPr>
      <t>or PAM, may be used with flood irrigated systems to decrease irrigation-induced erosion and the potential to transport phosphorus off-site.</t>
    </r>
  </si>
  <si>
    <r>
      <t>¨</t>
    </r>
    <r>
      <rPr>
        <sz val="7"/>
        <rFont val="Times New Roman"/>
        <family val="1"/>
      </rPr>
      <t xml:space="preserve">       </t>
    </r>
    <r>
      <rPr>
        <b/>
        <sz val="10"/>
        <rFont val="Times New Roman"/>
        <family val="1"/>
      </rPr>
      <t xml:space="preserve">Residue Management </t>
    </r>
    <r>
      <rPr>
        <sz val="10"/>
        <rFont val="Times New Roman"/>
        <family val="1"/>
      </rPr>
      <t>practices may be used to increase residue cover and decrease erosion.</t>
    </r>
  </si>
  <si>
    <r>
      <t>¨</t>
    </r>
    <r>
      <rPr>
        <sz val="7"/>
        <rFont val="Times New Roman"/>
        <family val="1"/>
      </rPr>
      <t xml:space="preserve">       </t>
    </r>
    <r>
      <rPr>
        <b/>
        <sz val="10"/>
        <rFont val="Times New Roman"/>
        <family val="1"/>
      </rPr>
      <t xml:space="preserve">Terraces </t>
    </r>
    <r>
      <rPr>
        <sz val="10"/>
        <rFont val="Times New Roman"/>
        <family val="1"/>
      </rPr>
      <t>may be constructed across slope to decrease erosion and sediment content in runoff water.</t>
    </r>
  </si>
  <si>
    <r>
      <t xml:space="preserve">     </t>
    </r>
    <r>
      <rPr>
        <b/>
        <sz val="26"/>
        <color indexed="18"/>
        <rFont val="Times New Roman"/>
        <family val="1"/>
      </rPr>
      <t>NRCS</t>
    </r>
  </si>
  <si>
    <r>
      <t>Nutrient Management</t>
    </r>
    <r>
      <rPr>
        <b/>
        <sz val="16"/>
        <rFont val="Times New Roman"/>
        <family val="1"/>
      </rPr>
      <t xml:space="preserve"> </t>
    </r>
  </si>
  <si>
    <t>Natural Resources Conservation Service</t>
  </si>
  <si>
    <t>Conservation Practice Job Sheet</t>
  </si>
  <si>
    <t>Site Information</t>
  </si>
  <si>
    <t>Address</t>
  </si>
  <si>
    <t>Acres</t>
  </si>
  <si>
    <t>Irrigated</t>
  </si>
  <si>
    <t>Year</t>
  </si>
  <si>
    <t>Soil Survey Area</t>
  </si>
  <si>
    <t>Planned Crop</t>
  </si>
  <si>
    <t>Soil Map Unit</t>
  </si>
  <si>
    <t>Slope</t>
  </si>
  <si>
    <t>Phone</t>
  </si>
  <si>
    <t>Previous Crop</t>
  </si>
  <si>
    <t>Permeability</t>
  </si>
  <si>
    <t>Email</t>
  </si>
  <si>
    <t>Previous Yield</t>
  </si>
  <si>
    <t>Crop Rotation</t>
  </si>
  <si>
    <t>Purpose (check all that apply)</t>
  </si>
  <si>
    <t>Soil Test Information (enter below or attach a copy of the current soil test report for this field)</t>
  </si>
  <si>
    <t>Analysis Date</t>
  </si>
  <si>
    <t>P Extraction Method</t>
  </si>
  <si>
    <t>(check one)</t>
  </si>
  <si>
    <t xml:space="preserve"> Bray P1</t>
  </si>
  <si>
    <r>
      <t>NaHCO</t>
    </r>
    <r>
      <rPr>
        <b/>
        <vertAlign val="subscript"/>
        <sz val="8"/>
        <rFont val="Arial"/>
        <family val="2"/>
      </rPr>
      <t>3</t>
    </r>
    <r>
      <rPr>
        <b/>
        <sz val="8"/>
        <rFont val="Arial"/>
        <family val="2"/>
      </rPr>
      <t xml:space="preserve"> (Olsen)</t>
    </r>
  </si>
  <si>
    <t>Sample ID</t>
  </si>
  <si>
    <t>Depth (inches)</t>
  </si>
  <si>
    <t>pH</t>
  </si>
  <si>
    <t>OM %</t>
  </si>
  <si>
    <r>
      <t>EC
(dS m</t>
    </r>
    <r>
      <rPr>
        <b/>
        <vertAlign val="superscript"/>
        <sz val="8"/>
        <rFont val="Arial"/>
        <family val="2"/>
      </rPr>
      <t>-1</t>
    </r>
    <r>
      <rPr>
        <b/>
        <sz val="8"/>
        <rFont val="Arial"/>
        <family val="2"/>
      </rPr>
      <t>)</t>
    </r>
  </si>
  <si>
    <t>------------------------------     parts per million     ------------------------------</t>
  </si>
  <si>
    <r>
      <t>NO</t>
    </r>
    <r>
      <rPr>
        <b/>
        <vertAlign val="subscript"/>
        <sz val="8"/>
        <rFont val="Arial"/>
        <family val="2"/>
      </rPr>
      <t xml:space="preserve">3 </t>
    </r>
    <r>
      <rPr>
        <b/>
        <sz val="8"/>
        <rFont val="Arial"/>
        <family val="2"/>
      </rPr>
      <t>- N</t>
    </r>
  </si>
  <si>
    <r>
      <t>NH</t>
    </r>
    <r>
      <rPr>
        <b/>
        <vertAlign val="subscript"/>
        <sz val="8"/>
        <rFont val="Arial"/>
        <family val="2"/>
      </rPr>
      <t xml:space="preserve">4 </t>
    </r>
    <r>
      <rPr>
        <b/>
        <sz val="8"/>
        <rFont val="Arial"/>
        <family val="2"/>
      </rPr>
      <t>- N</t>
    </r>
  </si>
  <si>
    <t>K</t>
  </si>
  <si>
    <t>Zn</t>
  </si>
  <si>
    <t>Fe</t>
  </si>
  <si>
    <t>S</t>
  </si>
  <si>
    <t>Crop Nutrient Requirement, Nutrient Credits and Planned Nutrient Applications</t>
  </si>
  <si>
    <t xml:space="preserve">Crop Nutrient Requirement </t>
  </si>
  <si>
    <t xml:space="preserve">      -    -    -    -     -    -    -    -    -    -    -    pounds per acre    -     -    -    -    -    -    -    -    -    -    -     </t>
  </si>
  <si>
    <r>
      <t>P</t>
    </r>
    <r>
      <rPr>
        <b/>
        <vertAlign val="subscript"/>
        <sz val="8"/>
        <rFont val="Arial"/>
        <family val="2"/>
      </rPr>
      <t>2</t>
    </r>
    <r>
      <rPr>
        <b/>
        <sz val="8"/>
        <rFont val="Arial"/>
        <family val="2"/>
      </rPr>
      <t>O</t>
    </r>
    <r>
      <rPr>
        <b/>
        <vertAlign val="subscript"/>
        <sz val="8"/>
        <rFont val="Arial"/>
        <family val="2"/>
      </rPr>
      <t>5</t>
    </r>
  </si>
  <si>
    <r>
      <t>K</t>
    </r>
    <r>
      <rPr>
        <b/>
        <vertAlign val="subscript"/>
        <sz val="8"/>
        <rFont val="Arial"/>
        <family val="2"/>
      </rPr>
      <t>2</t>
    </r>
    <r>
      <rPr>
        <b/>
        <sz val="8"/>
        <rFont val="Arial"/>
        <family val="2"/>
      </rPr>
      <t>O</t>
    </r>
  </si>
  <si>
    <t>Soil organic matter mineralization</t>
  </si>
  <si>
    <r>
      <t>Irrigation Water NO</t>
    </r>
    <r>
      <rPr>
        <vertAlign val="subscript"/>
        <sz val="8"/>
        <rFont val="Arial"/>
        <family val="2"/>
      </rPr>
      <t>3</t>
    </r>
    <r>
      <rPr>
        <sz val="8"/>
        <rFont val="Arial"/>
        <family val="2"/>
      </rPr>
      <t>-N</t>
    </r>
  </si>
  <si>
    <t>Other</t>
  </si>
  <si>
    <t xml:space="preserve">Planned Nutrient Applications - Source/Amount </t>
  </si>
  <si>
    <t>Preplant</t>
  </si>
  <si>
    <t>Planting/Starter</t>
  </si>
  <si>
    <t>Sidedress</t>
  </si>
  <si>
    <t>Irrigation</t>
  </si>
  <si>
    <t xml:space="preserve">Available Nutrients </t>
  </si>
  <si>
    <t>Nutrient Balance</t>
  </si>
  <si>
    <t>Field Number</t>
  </si>
  <si>
    <t>Yield</t>
  </si>
  <si>
    <t>Harvest
Unit</t>
  </si>
  <si>
    <t>Pounds
per Unit</t>
  </si>
  <si>
    <t>Harvest
DM %</t>
  </si>
  <si>
    <t>Mean Concentration %</t>
  </si>
  <si>
    <t>Nutrient Removal lb/ac.</t>
  </si>
  <si>
    <r>
      <t>P</t>
    </r>
    <r>
      <rPr>
        <vertAlign val="subscript"/>
        <sz val="8"/>
        <rFont val="Arial"/>
        <family val="2"/>
      </rPr>
      <t>2</t>
    </r>
    <r>
      <rPr>
        <sz val="8"/>
        <rFont val="Arial"/>
        <family val="2"/>
      </rPr>
      <t>O</t>
    </r>
    <r>
      <rPr>
        <vertAlign val="subscript"/>
        <sz val="8"/>
        <rFont val="Arial"/>
        <family val="2"/>
      </rPr>
      <t>5</t>
    </r>
  </si>
  <si>
    <r>
      <t>K</t>
    </r>
    <r>
      <rPr>
        <vertAlign val="subscript"/>
        <sz val="8"/>
        <rFont val="Arial"/>
        <family val="2"/>
      </rPr>
      <t>2</t>
    </r>
    <r>
      <rPr>
        <sz val="8"/>
        <rFont val="Arial"/>
        <family val="2"/>
      </rPr>
      <t>O</t>
    </r>
  </si>
  <si>
    <t xml:space="preserve">pounds N per acre </t>
  </si>
  <si>
    <t>New Seeding Alfalfa</t>
  </si>
  <si>
    <t>First Year Alfalfa</t>
  </si>
  <si>
    <t>Second Year Alfalfa</t>
  </si>
  <si>
    <t>Approximate Manure Nutrient Composition and Mineralization</t>
  </si>
  <si>
    <t>Application rate</t>
  </si>
  <si>
    <t>N, yr 1</t>
  </si>
  <si>
    <t>N, yr 2</t>
  </si>
  <si>
    <t>N, yr 3</t>
  </si>
  <si>
    <r>
      <t>P</t>
    </r>
    <r>
      <rPr>
        <vertAlign val="subscript"/>
        <sz val="8"/>
        <rFont val="Arial"/>
        <family val="2"/>
      </rPr>
      <t>2</t>
    </r>
    <r>
      <rPr>
        <sz val="8"/>
        <rFont val="Arial"/>
        <family val="2"/>
      </rPr>
      <t>O</t>
    </r>
    <r>
      <rPr>
        <vertAlign val="subscript"/>
        <sz val="8"/>
        <rFont val="Arial"/>
        <family val="2"/>
      </rPr>
      <t>5</t>
    </r>
    <r>
      <rPr>
        <sz val="8"/>
        <rFont val="Arial"/>
        <family val="2"/>
      </rPr>
      <t xml:space="preserve"> </t>
    </r>
    <r>
      <rPr>
        <vertAlign val="superscript"/>
        <sz val="8"/>
        <rFont val="Arial"/>
        <family val="2"/>
      </rPr>
      <t>(3</t>
    </r>
    <r>
      <rPr>
        <b/>
        <vertAlign val="superscript"/>
        <sz val="8"/>
        <rFont val="Arial"/>
        <family val="2"/>
      </rPr>
      <t>)</t>
    </r>
    <r>
      <rPr>
        <sz val="8"/>
        <rFont val="Arial"/>
        <family val="2"/>
      </rPr>
      <t xml:space="preserve"> </t>
    </r>
  </si>
  <si>
    <r>
      <t>P</t>
    </r>
    <r>
      <rPr>
        <vertAlign val="subscript"/>
        <sz val="8"/>
        <rFont val="Arial"/>
        <family val="2"/>
      </rPr>
      <t>2</t>
    </r>
    <r>
      <rPr>
        <sz val="8"/>
        <rFont val="Arial"/>
        <family val="2"/>
      </rPr>
      <t>O</t>
    </r>
    <r>
      <rPr>
        <vertAlign val="subscript"/>
        <sz val="8"/>
        <rFont val="Arial"/>
        <family val="2"/>
      </rPr>
      <t>5</t>
    </r>
    <r>
      <rPr>
        <sz val="8"/>
        <rFont val="Arial"/>
        <family val="2"/>
      </rPr>
      <t xml:space="preserve"> </t>
    </r>
    <r>
      <rPr>
        <vertAlign val="superscript"/>
        <sz val="8"/>
        <rFont val="Arial"/>
        <family val="2"/>
      </rPr>
      <t>(4)</t>
    </r>
  </si>
  <si>
    <t>/acre</t>
  </si>
  <si>
    <r>
      <t xml:space="preserve">Application amount </t>
    </r>
    <r>
      <rPr>
        <b/>
        <vertAlign val="superscript"/>
        <sz val="8"/>
        <rFont val="Arial"/>
        <family val="2"/>
      </rPr>
      <t>(5)</t>
    </r>
  </si>
  <si>
    <r>
      <t>[NO</t>
    </r>
    <r>
      <rPr>
        <vertAlign val="subscript"/>
        <sz val="8"/>
        <rFont val="Arial"/>
        <family val="2"/>
      </rPr>
      <t>3</t>
    </r>
    <r>
      <rPr>
        <sz val="8"/>
        <rFont val="Arial"/>
        <family val="2"/>
      </rPr>
      <t xml:space="preserve">-N] </t>
    </r>
    <r>
      <rPr>
        <b/>
        <vertAlign val="superscript"/>
        <sz val="8"/>
        <rFont val="Arial"/>
        <family val="2"/>
      </rPr>
      <t>(6)</t>
    </r>
    <r>
      <rPr>
        <sz val="8"/>
        <rFont val="Arial"/>
        <family val="2"/>
      </rPr>
      <t xml:space="preserve"> </t>
    </r>
  </si>
  <si>
    <t>parts per million</t>
  </si>
  <si>
    <r>
      <t>NO</t>
    </r>
    <r>
      <rPr>
        <vertAlign val="subscript"/>
        <sz val="8"/>
        <rFont val="Arial"/>
        <family val="2"/>
      </rPr>
      <t>3</t>
    </r>
    <r>
      <rPr>
        <sz val="8"/>
        <rFont val="Arial"/>
        <family val="2"/>
      </rPr>
      <t>-N Credit</t>
    </r>
  </si>
  <si>
    <t>lb/ac</t>
  </si>
  <si>
    <t xml:space="preserve">Environmental Risk Assessments </t>
  </si>
  <si>
    <t>1) Will manure or organic by-products be applied to this field during the crop rotation?</t>
  </si>
  <si>
    <t>2) Is this Nutrient Management Plan a component of a Comprehensive Nutrient Management Plan?</t>
  </si>
  <si>
    <t>3) Is the field located in a hydrologic unit area designated as being impaired for nutrients?</t>
  </si>
  <si>
    <t xml:space="preserve">4) Is an aquifer located below the field that is shallow (&lt; 20 ft), or used as a public drinking water source? </t>
  </si>
  <si>
    <t>Land Base Requirement (acres) for manure or organic by-products applications</t>
  </si>
  <si>
    <t>Nitrogen based</t>
  </si>
  <si>
    <t>Phosphorus based</t>
  </si>
  <si>
    <t>Colorado Phosphorus Index Risk Rating</t>
  </si>
  <si>
    <t>Colorado Nitrogen Leaching Index Risk Rating</t>
  </si>
  <si>
    <t>Recommendations (attach additional sheets as necessary)</t>
  </si>
  <si>
    <t>Certification</t>
  </si>
  <si>
    <r>
      <t>Owner / Operator / Producer</t>
    </r>
    <r>
      <rPr>
        <sz val="8"/>
        <rFont val="Arial"/>
        <family val="2"/>
      </rPr>
      <t xml:space="preserve"> - I have reviewed this plan including the operation, maintenance and recordkeeping requirements, and agree to follow the recommendations as stated.</t>
    </r>
  </si>
  <si>
    <t>Signature</t>
  </si>
  <si>
    <r>
      <t>Nutrient Management Specialist</t>
    </r>
    <r>
      <rPr>
        <sz val="8"/>
        <rFont val="Arial"/>
        <family val="2"/>
      </rPr>
      <t xml:space="preserve"> - I approve this plan as written, and certify that it meets applicable NRCS nutrient management criteria for the stated purpose. </t>
    </r>
  </si>
  <si>
    <t>Certifying Organization / Number</t>
  </si>
  <si>
    <t xml:space="preserve">Checkout </t>
  </si>
  <si>
    <t>Planting Date</t>
  </si>
  <si>
    <t>Crop planted</t>
  </si>
  <si>
    <t>Actual Yield</t>
  </si>
  <si>
    <t>Harvest Date</t>
  </si>
  <si>
    <t>Nutrients Applied</t>
  </si>
  <si>
    <t xml:space="preserve">     -    -    -    -     -    -    -    -    -    -    -    pounds per acre    -     -    -    -    -    -    -    -    -    -    -     </t>
  </si>
  <si>
    <t>Amount</t>
  </si>
  <si>
    <t>Source</t>
  </si>
  <si>
    <t>Sum of Nutrients Applied</t>
  </si>
  <si>
    <t xml:space="preserve">Planned Nutrient Application Amounts (from page 1) </t>
  </si>
  <si>
    <t>Planned Application minus Sum of Nutrients Applied</t>
  </si>
  <si>
    <t>Comments (explain differences between planned and applied nutrient amounts)</t>
  </si>
  <si>
    <t>Nutrient Management Plan Checklist</t>
  </si>
  <si>
    <t>Extent of Nutrient Management acres planned and applied:</t>
  </si>
  <si>
    <t>The next periodic review of this plan is scheduled for:</t>
  </si>
  <si>
    <t>Planning, implementation, and operation and maintenance records will be maintained by:</t>
  </si>
  <si>
    <r>
      <t>District Conservationist</t>
    </r>
    <r>
      <rPr>
        <sz val="8"/>
        <rFont val="Arial"/>
        <family val="2"/>
      </rPr>
      <t xml:space="preserve"> - This plan as applied, meets the Colorado NRCS Nutrient Management Criteria for the stated purpose and complies with all applicable permits, laws and regulations.</t>
    </r>
    <r>
      <rPr>
        <sz val="9"/>
        <rFont val="Arial"/>
        <family val="2"/>
      </rPr>
      <t xml:space="preserve"> </t>
    </r>
  </si>
  <si>
    <t>Operation, Maintenance and Recordkeeping</t>
  </si>
  <si>
    <t>The owner / client / producer is responsible for recordkeeping and safe operation and maintenance of this practice including all equipment.</t>
  </si>
  <si>
    <t>1.</t>
  </si>
  <si>
    <t>Schedule periodic plan reviews to determine if adjustments or modifications are needed.  As a minimum, review plans with each soil test cycle.</t>
  </si>
  <si>
    <t>2.</t>
  </si>
  <si>
    <t>Additional manure sampling and analysis is required to establish an average nutrient content when significant changes in animal numbers and or feed management occur.</t>
  </si>
  <si>
    <t>3.</t>
  </si>
  <si>
    <t xml:space="preserve">Protect fertilizer and organic by-product storage facilities from weather and accidental spillage. </t>
  </si>
  <si>
    <t>4.</t>
  </si>
  <si>
    <t>Calibrate application equipment to ensure uniform distribution of material at planned rates.</t>
  </si>
  <si>
    <t>5.</t>
  </si>
  <si>
    <t>Document the actual rates of nutrient applications.  When actual nutrient application rates differ from planned application rates, records will indicate the reasons for the differences.</t>
  </si>
  <si>
    <t>6.</t>
  </si>
  <si>
    <t>Maintain records to document plan implementation.  Records will include the following as appropriate.</t>
  </si>
  <si>
    <t>a.</t>
  </si>
  <si>
    <t>Soil, plant, water, manure and organic by-product analyses used for nutrient application recommendations.</t>
  </si>
  <si>
    <t>b.</t>
  </si>
  <si>
    <t>Quantities, analyses and sources of nutrients applied.</t>
  </si>
  <si>
    <t>c.</t>
  </si>
  <si>
    <t>Dates and methods of nutrient applications.</t>
  </si>
  <si>
    <t>d.</t>
  </si>
  <si>
    <t>Weather and soil moisture conditions at the time of nutrient applications including lapsed time to incorporation, precipitation or irrigation events.</t>
  </si>
  <si>
    <t>e.</t>
  </si>
  <si>
    <t>Crops planted, planting and harvest dates, yields and amounts of crop residues removed from the field.</t>
  </si>
  <si>
    <t>f.</t>
  </si>
  <si>
    <t>Plan review dates, name of reviewer, and recommended changes resulting from the review.</t>
  </si>
  <si>
    <t>7.</t>
  </si>
  <si>
    <t>Maintain records for a minimum of 5 years, or for a period longer than 5 years if required by other Federal, State or local regulations, or program or contract requirements.</t>
  </si>
  <si>
    <t>8.</t>
  </si>
  <si>
    <t>Protect workers from and avoid unnecessary contact with plant nutrient sources.  Use additional caution when handling ammoniacal nutrient sources, and when working with organic wastes stored in unventilated enclosures.</t>
  </si>
  <si>
    <t>9.</t>
  </si>
  <si>
    <t>Utilize materials generated from cleaning nutrient application equipment in an environmentally safe manner.  Collect and store excess nutrient materials, or field apply as appropriate.</t>
  </si>
  <si>
    <t>10.</t>
  </si>
  <si>
    <t>Recycle nutrient containers in accordance with State or local guidelines or regulations.</t>
  </si>
  <si>
    <t>Periodic Plan Review (additional recommendations)</t>
  </si>
  <si>
    <r>
      <t>Nutrient Management Specialist</t>
    </r>
    <r>
      <rPr>
        <sz val="9"/>
        <rFont val="Arial"/>
        <family val="2"/>
      </rPr>
      <t xml:space="preserve"> - I reviewed this plan and provided the additional recommendations listed above.</t>
    </r>
  </si>
  <si>
    <t>A completed Colorado Nutrient Management 590 Job Sheet is required for each field or management unit, for each year nutrient management is planned and applied.  The Colorado 590 Job Sheet is written into this Excel workbook.  The workbook includes worksheets for the Job Sheet, Land Base Requirement and Nitrogen and Phosphorus Risk Assessment indices.</t>
  </si>
  <si>
    <t xml:space="preserve">Enter user defined information in the light grey boxes.  The light green boxes are pull-down menus for selecting crops, plant densities for legume credits, and types of manure.  The light yellow boxes return text and computations based on user defined information and drop-down menu selections.
</t>
  </si>
  <si>
    <t>Job Sheet</t>
  </si>
  <si>
    <t xml:space="preserve">Enter producer and site information and check the planned purpose for applying the practice.  </t>
  </si>
  <si>
    <t>Enter current soil test information for the field, or attach a copy of the current soil test analysis.</t>
  </si>
  <si>
    <t xml:space="preserve">Enter the Crop Nutrient Requirement, appropriate Nutrient Credits and Planned Nutrient Applications, and check whether your recommendation is based on a soil test or estimated crop removal.  </t>
  </si>
  <si>
    <t xml:space="preserve">When manure or organic by-products are included as nutrient sources, complete a Land Base Requirement Worksheet, and Environmental Risk Assessment worksheets for nitrogen leaching and phosphorus runoff, as necessary.  </t>
  </si>
  <si>
    <t xml:space="preserve">Provide site-specific recommendations to implement the practice, then print a copy of the Job Sheet for producer and nutrient management specialist signatures.  </t>
  </si>
  <si>
    <t>Check Out</t>
  </si>
  <si>
    <t>A Check out page is included in the Job Sheet.</t>
  </si>
  <si>
    <t>Enter the amount of nutrients applied per acre from all sources including dates, amounts and sources.</t>
  </si>
  <si>
    <t xml:space="preserve">Enter the acres of nutrient management planned and applied, date of the next scheduled periodic plan review and indicate who will maintain the planning and implementation records.  </t>
  </si>
  <si>
    <t>Print a copy of the Job Sheet for District Conservationist approval, and maintain a signed copy for record keeping purposes.</t>
  </si>
  <si>
    <t>An Operation, Maintenance and Recordkeeping page is included in the Job Sheet as a guide, and to record additional recommendations resulting from periodic plan reviews.</t>
  </si>
  <si>
    <t>Land Base Requirement</t>
  </si>
  <si>
    <t>Select the crop(s) in the rotation that will receive manure and enter the yield goal.</t>
  </si>
  <si>
    <t>Select the animal type(s) and enter number of animals, days on feed and incoming and outgoing weights for solid manure in 2a and for liquid manure in 2b, to calculate the annual production in tons or 1,0000 gallons per year.</t>
  </si>
  <si>
    <t xml:space="preserve">Select the type(s) of manure from 2a and or 2b in 3a to calculate the annual nutrient production and land base requirement based on table values, or enter the laboratory analysis information in 3b to calculate the annual nutrient production and land base requirement based on laboratory results.  Results copy to the Job Sheet automatically. </t>
  </si>
  <si>
    <t>Environmental Risk Assessments for Nitrogen and Phosphorus Transport</t>
  </si>
  <si>
    <t xml:space="preserve">Factor instructions are included in risk assessment worksheets.  Results copy to the Job Sheet automatically. </t>
  </si>
  <si>
    <t>Aerial site photos or field maps, and a soils map of the site.</t>
  </si>
  <si>
    <t>Location of designated sensitive areas or resource, and associated restrictions.</t>
  </si>
  <si>
    <t>Current and/or planned plant production sequience or crop rotation.</t>
  </si>
  <si>
    <t>Results of soil, water, manure or organic by-product sample analysis.</t>
  </si>
  <si>
    <t>Results of plant tissue analysis when used for nutrient management.</t>
  </si>
  <si>
    <t>Realistic yield goals for the crops.</t>
  </si>
  <si>
    <t>Complete nutrient budget for N, P, and K for the crop rotation or sequence.</t>
  </si>
  <si>
    <t>Listing and quantification of all nutrient sources.</t>
  </si>
  <si>
    <t>CMU specific recommended nutrient application rates, timing, form, and method of application and incorporation.</t>
  </si>
  <si>
    <t>Guidance for implementation, operation, maintenance, and recordkeeping.</t>
  </si>
  <si>
    <t>To budget and supply nutrients for plant production.</t>
  </si>
  <si>
    <t>To properly utilize manure or organic by-products as a plant nutrient source.</t>
  </si>
  <si>
    <t>To minimize agricultural nonpoint source pollution of surface and groundwater resources.</t>
  </si>
  <si>
    <t>To maintain or improve the physical, chemical and biological condition of the soil.</t>
  </si>
  <si>
    <r>
      <t>To protect air quality by reducing nitrogen emmissions (NH</t>
    </r>
    <r>
      <rPr>
        <vertAlign val="subscript"/>
        <sz val="8"/>
        <rFont val="Arial"/>
        <family val="2"/>
      </rPr>
      <t>3</t>
    </r>
    <r>
      <rPr>
        <sz val="8"/>
        <rFont val="Arial"/>
        <family val="2"/>
      </rPr>
      <t xml:space="preserve"> and NO</t>
    </r>
    <r>
      <rPr>
        <vertAlign val="subscript"/>
        <sz val="8"/>
        <rFont val="Arial"/>
        <family val="2"/>
      </rPr>
      <t>x</t>
    </r>
    <r>
      <rPr>
        <sz val="8"/>
        <rFont val="Arial"/>
        <family val="2"/>
      </rPr>
      <t>) and the formation of atmospheric particulates.</t>
    </r>
  </si>
  <si>
    <r>
      <t>Lime (CaCO</t>
    </r>
    <r>
      <rPr>
        <b/>
        <vertAlign val="subscript"/>
        <sz val="8"/>
        <rFont val="Arial"/>
        <family val="2"/>
      </rPr>
      <t>3</t>
    </r>
    <r>
      <rPr>
        <b/>
        <sz val="8"/>
        <rFont val="Arial"/>
        <family val="2"/>
      </rPr>
      <t>)</t>
    </r>
  </si>
  <si>
    <t>INSTRUCTIONS</t>
  </si>
  <si>
    <t>City</t>
  </si>
  <si>
    <t>State</t>
  </si>
  <si>
    <t>Zip</t>
  </si>
  <si>
    <t>Table 1.  Average Crop Nutrient Concentrations</t>
  </si>
  <si>
    <t xml:space="preserve">Yield per acre </t>
  </si>
  <si>
    <t>Pounds 
per Unit</t>
  </si>
  <si>
    <t>Harvest 
DM %</t>
  </si>
  <si>
    <t>Mean nutrient concentration
 % Dry Weight</t>
  </si>
  <si>
    <t>Alfalfa, green chop</t>
  </si>
  <si>
    <t>ton</t>
  </si>
  <si>
    <t>Alfalfa, hay</t>
  </si>
  <si>
    <t>Alfalfa-Smooth Brome, hay</t>
  </si>
  <si>
    <t>Alfalfa-Timothy, hay</t>
  </si>
  <si>
    <t>Alsike clover, hay</t>
  </si>
  <si>
    <t>Apples</t>
  </si>
  <si>
    <t>bu</t>
  </si>
  <si>
    <t>Barley, grain</t>
  </si>
  <si>
    <t>Barley, hay</t>
  </si>
  <si>
    <t>Barley, straw</t>
  </si>
  <si>
    <t>Bean, dry</t>
  </si>
  <si>
    <t xml:space="preserve">Bean, snap </t>
  </si>
  <si>
    <t xml:space="preserve">Beet, sugar </t>
  </si>
  <si>
    <t>Beet, table</t>
  </si>
  <si>
    <t>Beet, tops</t>
  </si>
  <si>
    <t>Bluegrass, Kentucky, hay</t>
  </si>
  <si>
    <t>Bluestem, Big, hay</t>
  </si>
  <si>
    <t>Bluestem, Little, hay</t>
  </si>
  <si>
    <t>Bromegrass, Smooth, hay</t>
  </si>
  <si>
    <t>Cabbage</t>
  </si>
  <si>
    <t>cwt</t>
  </si>
  <si>
    <t>Canola, seed</t>
  </si>
  <si>
    <t>Canola, straw</t>
  </si>
  <si>
    <t>Cantaloupe</t>
  </si>
  <si>
    <t>Carrot</t>
  </si>
  <si>
    <t>Celery</t>
  </si>
  <si>
    <t>Clover, Red, hay</t>
  </si>
  <si>
    <t>Corn, grain</t>
  </si>
  <si>
    <t xml:space="preserve">Corn, silage </t>
  </si>
  <si>
    <t>Corn, stover</t>
  </si>
  <si>
    <t xml:space="preserve">Corn, sweet </t>
  </si>
  <si>
    <t>Cucumber</t>
  </si>
  <si>
    <t>Flax, seed</t>
  </si>
  <si>
    <t>Flax, straw</t>
  </si>
  <si>
    <t>Grapes</t>
  </si>
  <si>
    <t>Indiangrass, hay</t>
  </si>
  <si>
    <t>Lespedeza, hay</t>
  </si>
  <si>
    <t>Lettuce, head</t>
  </si>
  <si>
    <t>Millet, Proso</t>
  </si>
  <si>
    <t>Oat, grain</t>
  </si>
  <si>
    <t>Oat, hay</t>
  </si>
  <si>
    <t>Oat, silage</t>
  </si>
  <si>
    <t>Oat, straw</t>
  </si>
  <si>
    <t>Onion</t>
  </si>
  <si>
    <t>Orchardgrass, hay</t>
  </si>
  <si>
    <t>Peaches</t>
  </si>
  <si>
    <t>Peas</t>
  </si>
  <si>
    <t xml:space="preserve">Pepper, bell </t>
  </si>
  <si>
    <t>Potato</t>
  </si>
  <si>
    <t>Potato, sweet</t>
  </si>
  <si>
    <t>Rape, seed</t>
  </si>
  <si>
    <t>Rape, straw</t>
  </si>
  <si>
    <t>Reed canarygrass, hay</t>
  </si>
  <si>
    <t>Rye, grain</t>
  </si>
  <si>
    <t>Rye, straw</t>
  </si>
  <si>
    <t>Ryegrass, hay</t>
  </si>
  <si>
    <t>Sorghum, grain</t>
  </si>
  <si>
    <t>Sorghum, silage</t>
  </si>
  <si>
    <t>Sorghum, straw</t>
  </si>
  <si>
    <t>Sorghum-sudan, silage</t>
  </si>
  <si>
    <t>Soybean, seed</t>
  </si>
  <si>
    <t>Soybean, stover</t>
  </si>
  <si>
    <t>Spinach</t>
  </si>
  <si>
    <t>Sunflower, grain</t>
  </si>
  <si>
    <t>Sunflower, seed for oil</t>
  </si>
  <si>
    <t>lb</t>
  </si>
  <si>
    <t>Sunflower, stover</t>
  </si>
  <si>
    <t>Sweetclover, hay</t>
  </si>
  <si>
    <t>Switchgrass, hay</t>
  </si>
  <si>
    <t>Tall fescue, hay</t>
  </si>
  <si>
    <t>Timothy, hay</t>
  </si>
  <si>
    <t>Tomato</t>
  </si>
  <si>
    <t>Trefoil, birdsfoot, hay</t>
  </si>
  <si>
    <t>Triticale, grain</t>
  </si>
  <si>
    <t>Wheat, hard red spring</t>
  </si>
  <si>
    <t>Wheat, hard red winter</t>
  </si>
  <si>
    <t>Wheat, soft red winter</t>
  </si>
  <si>
    <t>Wheat, soft white spring</t>
  </si>
  <si>
    <t>Wheat, soft white winter</t>
  </si>
  <si>
    <t>Wheat, straw</t>
  </si>
  <si>
    <t>Wheatgrass, Crested, hay</t>
  </si>
  <si>
    <t xml:space="preserve">Adapted from: USDA, SCS, Agricultural waste management field handbook. 1992. Table 6-6;  Meisinger, J.J, and G.W. Randall. 1991. Estimating nitrogen budgets for soil-crop systems. Table 5-4.  In Follett, R.F., D.R. Keeney, and R.M. Cruse (ed.). Managing nitrogen for groundwater quality and farm profitability. SSSA, Madison, WI;  and USDA, NRCS, plant nutrient content database. www.nhq.nrcs.usda.gov/BCS/nutri/tbb1.html, 2000. </t>
  </si>
  <si>
    <t>Table 2.  Forage Legume Nitrogen Credits</t>
  </si>
  <si>
    <t>Number of Plants
per sq. ft.</t>
  </si>
  <si>
    <t>New seeding</t>
  </si>
  <si>
    <t>1st year hay</t>
  </si>
  <si>
    <t>2nd year hay</t>
  </si>
  <si>
    <t>3rd year hay and older</t>
  </si>
  <si>
    <t>% Legume in stand</t>
  </si>
  <si>
    <t>Source: Tesar, M.B., and V.L. Marble, 1988, Alfalfa establishment, in Alfalfa and alfalfa improvement, Agron. Monograph 29, p.304, Amer.Soc.Agron., Madison, WI.</t>
  </si>
  <si>
    <t>Table 3.  Approximate nutrient composition and mineralization of various types of animal manures *</t>
  </si>
  <si>
    <t xml:space="preserve">Type of Manure </t>
  </si>
  <si>
    <t>pounds per ton or 1,000 gallons</t>
  </si>
  <si>
    <r>
      <t xml:space="preserve">Total N </t>
    </r>
    <r>
      <rPr>
        <vertAlign val="superscript"/>
        <sz val="8"/>
        <rFont val="Arial"/>
        <family val="2"/>
      </rPr>
      <t>1</t>
    </r>
    <r>
      <rPr>
        <sz val="8"/>
        <rFont val="Arial"/>
        <family val="2"/>
      </rPr>
      <t xml:space="preserve">
mineralized
1st year </t>
    </r>
  </si>
  <si>
    <r>
      <t xml:space="preserve">Total N </t>
    </r>
    <r>
      <rPr>
        <vertAlign val="superscript"/>
        <sz val="8"/>
        <rFont val="Arial"/>
        <family val="2"/>
      </rPr>
      <t>1</t>
    </r>
    <r>
      <rPr>
        <sz val="8"/>
        <rFont val="Arial"/>
        <family val="2"/>
      </rPr>
      <t xml:space="preserve">
mineralized
2nd year </t>
    </r>
  </si>
  <si>
    <r>
      <t xml:space="preserve">Total N </t>
    </r>
    <r>
      <rPr>
        <vertAlign val="superscript"/>
        <sz val="8"/>
        <rFont val="Arial"/>
        <family val="2"/>
      </rPr>
      <t>1</t>
    </r>
    <r>
      <rPr>
        <sz val="8"/>
        <rFont val="Arial"/>
        <family val="2"/>
      </rPr>
      <t xml:space="preserve">
mineralized
3rd year </t>
    </r>
  </si>
  <si>
    <r>
      <t>P</t>
    </r>
    <r>
      <rPr>
        <vertAlign val="subscript"/>
        <sz val="8"/>
        <rFont val="Arial"/>
        <family val="2"/>
      </rPr>
      <t>2</t>
    </r>
    <r>
      <rPr>
        <sz val="8"/>
        <rFont val="Arial"/>
        <family val="2"/>
      </rPr>
      <t>O</t>
    </r>
    <r>
      <rPr>
        <vertAlign val="subscript"/>
        <sz val="8"/>
        <rFont val="Arial"/>
        <family val="2"/>
      </rPr>
      <t xml:space="preserve">5 </t>
    </r>
    <r>
      <rPr>
        <vertAlign val="superscript"/>
        <sz val="8"/>
        <rFont val="Arial"/>
        <family val="2"/>
      </rPr>
      <t>1</t>
    </r>
    <r>
      <rPr>
        <vertAlign val="subscript"/>
        <sz val="8"/>
        <rFont val="Arial"/>
        <family val="2"/>
      </rPr>
      <t xml:space="preserve">
</t>
    </r>
    <r>
      <rPr>
        <sz val="8"/>
        <rFont val="Arial"/>
        <family val="2"/>
      </rPr>
      <t>annual application</t>
    </r>
  </si>
  <si>
    <r>
      <t>P</t>
    </r>
    <r>
      <rPr>
        <vertAlign val="subscript"/>
        <sz val="8"/>
        <rFont val="Arial"/>
        <family val="2"/>
      </rPr>
      <t>2</t>
    </r>
    <r>
      <rPr>
        <sz val="8"/>
        <rFont val="Arial"/>
        <family val="2"/>
      </rPr>
      <t>O</t>
    </r>
    <r>
      <rPr>
        <vertAlign val="subscript"/>
        <sz val="8"/>
        <rFont val="Arial"/>
        <family val="2"/>
      </rPr>
      <t xml:space="preserve">5 </t>
    </r>
    <r>
      <rPr>
        <vertAlign val="superscript"/>
        <sz val="8"/>
        <rFont val="Arial"/>
        <family val="2"/>
      </rPr>
      <t>1</t>
    </r>
    <r>
      <rPr>
        <vertAlign val="subscript"/>
        <sz val="8"/>
        <rFont val="Arial"/>
        <family val="2"/>
      </rPr>
      <t xml:space="preserve">
</t>
    </r>
    <r>
      <rPr>
        <sz val="8"/>
        <rFont val="Arial"/>
        <family val="2"/>
      </rPr>
      <t>biennial application</t>
    </r>
  </si>
  <si>
    <r>
      <t>K</t>
    </r>
    <r>
      <rPr>
        <vertAlign val="subscript"/>
        <sz val="8"/>
        <rFont val="Arial"/>
        <family val="2"/>
      </rPr>
      <t>2</t>
    </r>
    <r>
      <rPr>
        <sz val="8"/>
        <rFont val="Arial"/>
        <family val="2"/>
      </rPr>
      <t xml:space="preserve">O </t>
    </r>
    <r>
      <rPr>
        <vertAlign val="superscript"/>
        <sz val="8"/>
        <rFont val="Arial"/>
        <family val="2"/>
      </rPr>
      <t>1</t>
    </r>
  </si>
  <si>
    <r>
      <t>NH</t>
    </r>
    <r>
      <rPr>
        <vertAlign val="subscript"/>
        <sz val="8"/>
        <rFont val="Arial"/>
        <family val="2"/>
      </rPr>
      <t>4</t>
    </r>
    <r>
      <rPr>
        <sz val="8"/>
        <rFont val="Arial"/>
        <family val="2"/>
      </rPr>
      <t>-N</t>
    </r>
  </si>
  <si>
    <r>
      <t>NH</t>
    </r>
    <r>
      <rPr>
        <vertAlign val="subscript"/>
        <sz val="8"/>
        <rFont val="Arial"/>
        <family val="2"/>
      </rPr>
      <t>4</t>
    </r>
    <r>
      <rPr>
        <sz val="8"/>
        <rFont val="Arial"/>
        <family val="2"/>
      </rPr>
      <t>-N
loss %</t>
    </r>
  </si>
  <si>
    <t xml:space="preserve">Beef Cattle, liquid lagoon with runoff </t>
  </si>
  <si>
    <t>1,000 gal</t>
  </si>
  <si>
    <t xml:space="preserve">Beef Cattle, solid </t>
  </si>
  <si>
    <t>tons</t>
  </si>
  <si>
    <t xml:space="preserve">Chicken, solid with litter </t>
  </si>
  <si>
    <t xml:space="preserve">Chicken, solid without litter </t>
  </si>
  <si>
    <t xml:space="preserve">Dairy Cattle, liquid lagoon with runoff </t>
  </si>
  <si>
    <t>Dairy Cattle, liquid pit</t>
  </si>
  <si>
    <t xml:space="preserve">Dairy Cattle, solid </t>
  </si>
  <si>
    <t xml:space="preserve">Horse, solid without bedding </t>
  </si>
  <si>
    <t>Poultry, liquid pit</t>
  </si>
  <si>
    <t xml:space="preserve">Sheep, solid </t>
  </si>
  <si>
    <t xml:space="preserve">Swine, liquid pit </t>
  </si>
  <si>
    <t xml:space="preserve">Swine, liquid single-stage anaerobic </t>
  </si>
  <si>
    <r>
      <t>Swine, liquid two-stage anaerobic</t>
    </r>
    <r>
      <rPr>
        <vertAlign val="superscript"/>
        <sz val="8"/>
        <rFont val="Arial"/>
        <family val="2"/>
      </rPr>
      <t xml:space="preserve"> </t>
    </r>
  </si>
  <si>
    <t xml:space="preserve">Swine, solid </t>
  </si>
  <si>
    <t xml:space="preserve">Turkey, solid with litter </t>
  </si>
  <si>
    <t xml:space="preserve">Turkey, solid without litter </t>
  </si>
  <si>
    <t>Source:  CSUCE Bulletin 568A, 1999</t>
  </si>
  <si>
    <r>
      <t xml:space="preserve">1  </t>
    </r>
    <r>
      <rPr>
        <sz val="8"/>
        <rFont val="Arial"/>
        <family val="2"/>
      </rPr>
      <t>Solid - pounds per ton, Liquid - pounds per 1,000 gallons, Application conversion factor: pounds per 1000 gallons x 27.15 = pounds per acre-inch.</t>
    </r>
  </si>
  <si>
    <t>cu.ft.</t>
  </si>
  <si>
    <t>cu.yd.</t>
  </si>
  <si>
    <t>ac-in</t>
  </si>
  <si>
    <t>*  These values are derived from the USDA Agricultural Waste Management Field Handbook, 1992, and are modified with data collected from Colorado feeding operations when possible.  Nutrient composition of manure will vary with age, breed, feed rations, and manure handling.</t>
  </si>
  <si>
    <t>Table 4.  Approximate percent of organic N mineralized from various manure sources over three years.</t>
  </si>
  <si>
    <t>Manure source</t>
  </si>
  <si>
    <t>Beef and dairy cattle</t>
  </si>
  <si>
    <t xml:space="preserve">     solid (without bedding)</t>
  </si>
  <si>
    <t xml:space="preserve">     liquid (anaerobic)</t>
  </si>
  <si>
    <t xml:space="preserve">     solid </t>
  </si>
  <si>
    <t xml:space="preserve">     Solid</t>
  </si>
  <si>
    <t>Horse</t>
  </si>
  <si>
    <t xml:space="preserve">     solid (with bedding)</t>
  </si>
  <si>
    <t xml:space="preserve">     solid (without litter)</t>
  </si>
  <si>
    <t xml:space="preserve">Source: CSUCE Bulletin 568A, 1999. </t>
  </si>
  <si>
    <t>Table 5.  Solid Manure Production by Livestock Calculated on a Wet Weight Basis at the Time of Spreading</t>
  </si>
  <si>
    <t>Manure Production
lb/day per 1,000 lb of animal</t>
  </si>
  <si>
    <t>Manure Moisture Content
% at time of spreading</t>
  </si>
  <si>
    <t>Beef, 450-750 lb</t>
  </si>
  <si>
    <t>Beef, cow</t>
  </si>
  <si>
    <t>Beef, feeder, 750-1,100 lb, high energy</t>
  </si>
  <si>
    <t>Beef, feeder, 750-1,100 lb, high forage</t>
  </si>
  <si>
    <t>Beef, veal</t>
  </si>
  <si>
    <t>Dairy, dry cow</t>
  </si>
  <si>
    <t>Dairy, heifer</t>
  </si>
  <si>
    <t>Dairy, lactating cow</t>
  </si>
  <si>
    <t>Poultry, broiler</t>
  </si>
  <si>
    <t>Poultry, layer</t>
  </si>
  <si>
    <t>Poultry, pullet</t>
  </si>
  <si>
    <t>Poultry, turkey</t>
  </si>
  <si>
    <t xml:space="preserve">Sheep, </t>
  </si>
  <si>
    <t>Swine, boar</t>
  </si>
  <si>
    <t>Swine, grower, 40-220 lb</t>
  </si>
  <si>
    <t>Swine, nursery pig, 0-40 lb</t>
  </si>
  <si>
    <t>Swine, replacement gilt</t>
  </si>
  <si>
    <t>Swine, sow, gestating</t>
  </si>
  <si>
    <t>Swine, sow, lactating</t>
  </si>
  <si>
    <t>These values are adapted from the USDA Agricultural Waste Management Field Handbook or represent data from Colorado sampling.  Manure production and moisture will vary with animal age, feed ration, breed and handling.</t>
  </si>
  <si>
    <r>
      <t xml:space="preserve">Table 6.  Liquid Manure Production  
</t>
    </r>
    <r>
      <rPr>
        <sz val="8"/>
        <rFont val="Arial"/>
        <family val="2"/>
      </rPr>
      <t>Source:  CSUCE Bulletin 568A, 1999</t>
    </r>
    <r>
      <rPr>
        <sz val="10"/>
        <rFont val="Arial"/>
        <family val="2"/>
      </rPr>
      <t xml:space="preserve"> </t>
    </r>
  </si>
  <si>
    <t>g/d/1000 lb of animal</t>
  </si>
  <si>
    <t>unit</t>
  </si>
  <si>
    <t>,000 gal</t>
  </si>
  <si>
    <r>
      <t xml:space="preserve">1.  Permeability Class 
</t>
    </r>
    <r>
      <rPr>
        <sz val="8"/>
        <rFont val="Arial"/>
        <family val="2"/>
      </rPr>
      <t>(See Table 1 below)</t>
    </r>
  </si>
  <si>
    <r>
      <t xml:space="preserve">2.  Irrigation Application Efficiency
</t>
    </r>
    <r>
      <rPr>
        <sz val="8"/>
        <rFont val="Arial"/>
        <family val="2"/>
      </rPr>
      <t>(See Table 2 below)</t>
    </r>
  </si>
  <si>
    <r>
      <t>3a. Nitrogen Application Rate</t>
    </r>
    <r>
      <rPr>
        <sz val="8"/>
        <rFont val="Arial"/>
        <family val="2"/>
      </rPr>
      <t xml:space="preserve"> </t>
    </r>
    <r>
      <rPr>
        <b/>
        <sz val="8"/>
        <rFont val="Arial"/>
        <family val="2"/>
      </rPr>
      <t xml:space="preserve">(fertilizer with or without manure)
3b. Manure - Effluent Application Rate,  (no fertilizer)
</t>
    </r>
    <r>
      <rPr>
        <sz val="8"/>
        <rFont val="Arial"/>
        <family val="2"/>
      </rPr>
      <t>(See Table 3a or 3b)</t>
    </r>
  </si>
  <si>
    <r>
      <t xml:space="preserve">4.  Nitrogen Application Timing
</t>
    </r>
    <r>
      <rPr>
        <sz val="8"/>
        <rFont val="Arial"/>
        <family val="2"/>
      </rPr>
      <t>(See Table 4 below)</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</si>
</sst>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dddd\,\ mmmm\ dd\,\ yyyy"/>
    <numFmt numFmtId="167" formatCode="[$-409]mmmm\ d\,\ yyyy;@"/>
    <numFmt numFmtId="168" formatCode="[$-409]mmmm\-yy;@"/>
    <numFmt numFmtId="169" formatCode="0.00000"/>
    <numFmt numFmtId="170" formatCode="0.0000"/>
    <numFmt numFmtId="171" formatCode="0.000"/>
  </numFmts>
  <fonts count="86">
    <font>
      <sz val="10"/>
      <name val="Arial"/>
      <family val="0"/>
    </font>
    <font>
      <b/>
      <i/>
      <sz val="10"/>
      <name val="Arial"/>
      <family val="2"/>
    </font>
    <font>
      <sz val="9"/>
      <name val="Arial"/>
      <family val="2"/>
    </font>
    <font>
      <i/>
      <u val="single"/>
      <sz val="9"/>
      <name val="Arial"/>
      <family val="2"/>
    </font>
    <font>
      <b/>
      <sz val="11"/>
      <name val="Arial"/>
      <family val="2"/>
    </font>
    <font>
      <i/>
      <sz val="10"/>
      <name val="Arial"/>
      <family val="2"/>
    </font>
    <font>
      <sz val="11"/>
      <name val="Arial"/>
      <family val="2"/>
    </font>
    <font>
      <b/>
      <sz val="10"/>
      <name val="Arial"/>
      <family val="2"/>
    </font>
    <font>
      <sz val="12"/>
      <name val="Arial"/>
      <family val="0"/>
    </font>
    <font>
      <b/>
      <u val="single"/>
      <sz val="10"/>
      <name val="Arial"/>
      <family val="2"/>
    </font>
    <font>
      <i/>
      <sz val="11"/>
      <name val="Arial"/>
      <family val="2"/>
    </font>
    <font>
      <b/>
      <vertAlign val="subscript"/>
      <sz val="10"/>
      <name val="Arial"/>
      <family val="2"/>
    </font>
    <font>
      <b/>
      <vertAlign val="superscript"/>
      <sz val="11"/>
      <name val="Arial"/>
      <family val="2"/>
    </font>
    <font>
      <b/>
      <u val="single"/>
      <sz val="12"/>
      <name val="Arial"/>
      <family val="2"/>
    </font>
    <font>
      <vertAlign val="superscript"/>
      <sz val="11"/>
      <name val="Arial"/>
      <family val="2"/>
    </font>
    <font>
      <vertAlign val="superscript"/>
      <sz val="10"/>
      <name val="Arial"/>
      <family val="2"/>
    </font>
    <font>
      <sz val="8"/>
      <name val="Arial"/>
      <family val="0"/>
    </font>
    <font>
      <b/>
      <sz val="9"/>
      <name val="Arial"/>
      <family val="2"/>
    </font>
    <font>
      <b/>
      <vertAlign val="subscript"/>
      <sz val="9"/>
      <name val="Arial"/>
      <family val="2"/>
    </font>
    <font>
      <b/>
      <i/>
      <sz val="9"/>
      <name val="Arial"/>
      <family val="2"/>
    </font>
    <font>
      <b/>
      <i/>
      <sz val="9"/>
      <name val="Arial Narrow"/>
      <family val="2"/>
    </font>
    <font>
      <b/>
      <sz val="8"/>
      <name val="Arial"/>
      <family val="2"/>
    </font>
    <font>
      <i/>
      <sz val="8"/>
      <name val="Arial"/>
      <family val="2"/>
    </font>
    <font>
      <vertAlign val="subscript"/>
      <sz val="8"/>
      <name val="Arial"/>
      <family val="2"/>
    </font>
    <font>
      <b/>
      <i/>
      <u val="single"/>
      <sz val="8"/>
      <name val="Arial"/>
      <family val="2"/>
    </font>
    <font>
      <sz val="8.5"/>
      <name val="Arial"/>
      <family val="0"/>
    </font>
    <font>
      <b/>
      <u val="single"/>
      <sz val="9"/>
      <name val="Arial"/>
      <family val="2"/>
    </font>
    <font>
      <b/>
      <i/>
      <u val="single"/>
      <sz val="10"/>
      <name val="Arial"/>
      <family val="2"/>
    </font>
    <font>
      <i/>
      <sz val="9"/>
      <name val="Arial"/>
      <family val="2"/>
    </font>
    <font>
      <sz val="10"/>
      <name val="MS Sans Serif"/>
      <family val="0"/>
    </font>
    <font>
      <b/>
      <sz val="12"/>
      <name val="Arial"/>
      <family val="2"/>
    </font>
    <font>
      <b/>
      <vertAlign val="superscript"/>
      <sz val="10"/>
      <name val="Arial"/>
      <family val="2"/>
    </font>
    <font>
      <b/>
      <u val="single"/>
      <sz val="11"/>
      <name val="Arial"/>
      <family val="2"/>
    </font>
    <font>
      <b/>
      <i/>
      <sz val="11"/>
      <name val="Arial"/>
      <family val="2"/>
    </font>
    <font>
      <sz val="9"/>
      <color indexed="12"/>
      <name val="Arial"/>
      <family val="0"/>
    </font>
    <font>
      <sz val="9"/>
      <color indexed="10"/>
      <name val="Arial"/>
      <family val="2"/>
    </font>
    <font>
      <u val="single"/>
      <sz val="10"/>
      <color indexed="12"/>
      <name val="Arial"/>
      <family val="0"/>
    </font>
    <font>
      <u val="single"/>
      <sz val="8"/>
      <color indexed="12"/>
      <name val="Arial"/>
      <family val="0"/>
    </font>
    <font>
      <sz val="8"/>
      <name val="Tahoma"/>
      <family val="2"/>
    </font>
    <font>
      <b/>
      <vertAlign val="superscript"/>
      <sz val="8"/>
      <name val="Arial"/>
      <family val="2"/>
    </font>
    <font>
      <b/>
      <sz val="9"/>
      <name val="Times New Roman"/>
      <family val="1"/>
    </font>
    <font>
      <sz val="9"/>
      <name val="Times New Roman"/>
      <family val="1"/>
    </font>
    <font>
      <sz val="10"/>
      <name val="Times New Roman"/>
      <family val="1"/>
    </font>
    <font>
      <b/>
      <sz val="12"/>
      <name val="Times New Roman"/>
      <family val="1"/>
    </font>
    <font>
      <b/>
      <sz val="10"/>
      <name val="Times New Roman"/>
      <family val="1"/>
    </font>
    <font>
      <b/>
      <vertAlign val="superscript"/>
      <sz val="10"/>
      <name val="Times New Roman"/>
      <family val="1"/>
    </font>
    <font>
      <b/>
      <sz val="10"/>
      <name val="Wingdings"/>
      <family val="0"/>
    </font>
    <font>
      <vertAlign val="superscript"/>
      <sz val="9"/>
      <name val="Times New Roman"/>
      <family val="1"/>
    </font>
    <font>
      <sz val="8"/>
      <name val="Times New Roman"/>
      <family val="1"/>
    </font>
    <font>
      <sz val="9"/>
      <name val="Symbol"/>
      <family val="1"/>
    </font>
    <font>
      <vertAlign val="subscript"/>
      <sz val="9"/>
      <name val="Times New Roman"/>
      <family val="1"/>
    </font>
    <font>
      <sz val="9"/>
      <name val="Arial Narrow"/>
      <family val="2"/>
    </font>
    <font>
      <vertAlign val="subscript"/>
      <sz val="10"/>
      <name val="Times New Roman"/>
      <family val="1"/>
    </font>
    <font>
      <b/>
      <vertAlign val="subscript"/>
      <sz val="9"/>
      <name val="Times New Roman"/>
      <family val="1"/>
    </font>
    <font>
      <vertAlign val="superscript"/>
      <sz val="10"/>
      <name val="Times New Roman"/>
      <family val="1"/>
    </font>
    <font>
      <sz val="10"/>
      <name val="Symbol"/>
      <family val="1"/>
    </font>
    <font>
      <sz val="7"/>
      <name val="Times New Roman"/>
      <family val="1"/>
    </font>
    <font>
      <b/>
      <sz val="26"/>
      <color indexed="18"/>
      <name val="Arial Narrow"/>
      <family val="2"/>
    </font>
    <font>
      <b/>
      <sz val="26"/>
      <color indexed="18"/>
      <name val="Times New Roman"/>
      <family val="1"/>
    </font>
    <font>
      <b/>
      <sz val="16"/>
      <color indexed="9"/>
      <name val="Times New Roman"/>
      <family val="1"/>
    </font>
    <font>
      <b/>
      <sz val="16"/>
      <name val="Times New Roman"/>
      <family val="1"/>
    </font>
    <font>
      <sz val="9"/>
      <color indexed="18"/>
      <name val="Times New Roman"/>
      <family val="1"/>
    </font>
    <font>
      <b/>
      <sz val="12"/>
      <color indexed="9"/>
      <name val="Times New Roman"/>
      <family val="1"/>
    </font>
    <font>
      <b/>
      <i/>
      <sz val="10"/>
      <color indexed="17"/>
      <name val="Arial"/>
      <family val="2"/>
    </font>
    <font>
      <sz val="6"/>
      <name val="Arial"/>
      <family val="2"/>
    </font>
    <font>
      <b/>
      <vertAlign val="subscript"/>
      <sz val="8"/>
      <name val="Arial"/>
      <family val="2"/>
    </font>
    <font>
      <sz val="8"/>
      <color indexed="58"/>
      <name val="Arial"/>
      <family val="2"/>
    </font>
    <font>
      <vertAlign val="superscript"/>
      <sz val="8"/>
      <name val="Arial"/>
      <family val="2"/>
    </font>
    <font>
      <b/>
      <i/>
      <sz val="11"/>
      <color indexed="17"/>
      <name val="Arial"/>
      <family val="2"/>
    </font>
    <font>
      <sz val="7"/>
      <name val="Arial"/>
      <family val="2"/>
    </font>
    <font>
      <b/>
      <vertAlign val="superscript"/>
      <sz val="9"/>
      <name val="Arial"/>
      <family val="2"/>
    </font>
    <font>
      <b/>
      <i/>
      <sz val="8.5"/>
      <name val="Arial"/>
      <family val="2"/>
    </font>
    <font>
      <b/>
      <sz val="8.5"/>
      <name val="Arial"/>
      <family val="2"/>
    </font>
    <font>
      <b/>
      <vertAlign val="subscript"/>
      <sz val="8.5"/>
      <name val="Arial"/>
      <family val="2"/>
    </font>
    <font>
      <b/>
      <i/>
      <sz val="8.5"/>
      <name val="Arial Narrow"/>
      <family val="2"/>
    </font>
    <font>
      <i/>
      <sz val="8.5"/>
      <name val="Arial"/>
      <family val="2"/>
    </font>
    <font>
      <b/>
      <vertAlign val="superscript"/>
      <sz val="7.5"/>
      <name val="Arial"/>
      <family val="2"/>
    </font>
    <font>
      <sz val="7.5"/>
      <name val="Arial"/>
      <family val="2"/>
    </font>
    <font>
      <vertAlign val="superscript"/>
      <sz val="7.5"/>
      <name val="Arial"/>
      <family val="2"/>
    </font>
    <font>
      <b/>
      <sz val="7.5"/>
      <name val="Arial"/>
      <family val="2"/>
    </font>
    <font>
      <vertAlign val="subscript"/>
      <sz val="7.5"/>
      <name val="Arial"/>
      <family val="2"/>
    </font>
    <font>
      <b/>
      <sz val="9"/>
      <color indexed="10"/>
      <name val="Arial"/>
      <family val="2"/>
    </font>
    <font>
      <b/>
      <sz val="10"/>
      <color indexed="55"/>
      <name val="Arial"/>
      <family val="2"/>
    </font>
    <font>
      <sz val="10"/>
      <color indexed="55"/>
      <name val="Arial"/>
      <family val="2"/>
    </font>
    <font>
      <b/>
      <sz val="11"/>
      <name val="Verdana"/>
      <family val="2"/>
    </font>
    <font>
      <b/>
      <sz val="10"/>
      <name val="Tahoma"/>
      <family val="2"/>
    </font>
  </fonts>
  <fills count="15">
    <fill>
      <patternFill/>
    </fill>
    <fill>
      <patternFill patternType="gray125"/>
    </fill>
    <fill>
      <patternFill patternType="solid">
        <fgColor indexed="42"/>
        <bgColor indexed="64"/>
      </patternFill>
    </fill>
    <fill>
      <patternFill patternType="solid">
        <fgColor indexed="26"/>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17"/>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
      <patternFill patternType="lightGray"/>
    </fill>
    <fill>
      <patternFill patternType="lightGray">
        <bgColor indexed="26"/>
      </patternFill>
    </fill>
    <fill>
      <patternFill patternType="gray125">
        <fgColor indexed="8"/>
        <bgColor indexed="22"/>
      </patternFill>
    </fill>
  </fills>
  <borders count="252">
    <border>
      <left/>
      <right/>
      <top/>
      <bottom/>
      <diagonal/>
    </border>
    <border>
      <left>
        <color indexed="63"/>
      </left>
      <right>
        <color indexed="63"/>
      </right>
      <top style="thin"/>
      <bottom>
        <color indexed="63"/>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right style="thin">
        <color indexed="22"/>
      </right>
      <top style="thin">
        <color indexed="22"/>
      </top>
      <bottom style="thin">
        <color indexed="22"/>
      </bottom>
    </border>
    <border>
      <left style="thin">
        <color indexed="22"/>
      </left>
      <right style="thin">
        <color indexed="22"/>
      </right>
      <top style="thin">
        <color indexed="22"/>
      </top>
      <bottom style="thin"/>
    </border>
    <border>
      <left style="thin"/>
      <right style="thin">
        <color indexed="22"/>
      </right>
      <top style="thin"/>
      <bottom>
        <color indexed="63"/>
      </bottom>
    </border>
    <border>
      <left style="thin">
        <color indexed="22"/>
      </left>
      <right style="thin">
        <color indexed="22"/>
      </right>
      <top style="thin"/>
      <bottom>
        <color indexed="63"/>
      </bottom>
    </border>
    <border>
      <left style="thin">
        <color indexed="22"/>
      </left>
      <right style="thin"/>
      <top style="thin"/>
      <bottom>
        <color indexed="63"/>
      </bottom>
    </border>
    <border>
      <left style="thin"/>
      <right style="thin">
        <color indexed="22"/>
      </right>
      <top>
        <color indexed="63"/>
      </top>
      <bottom style="double">
        <color indexed="22"/>
      </bottom>
    </border>
    <border>
      <left style="thin">
        <color indexed="22"/>
      </left>
      <right style="thin">
        <color indexed="22"/>
      </right>
      <top>
        <color indexed="63"/>
      </top>
      <bottom style="double">
        <color indexed="22"/>
      </bottom>
    </border>
    <border>
      <left style="thin">
        <color indexed="22"/>
      </left>
      <right style="thin"/>
      <top>
        <color indexed="63"/>
      </top>
      <bottom style="double">
        <color indexed="22"/>
      </bottom>
    </border>
    <border>
      <left style="thin">
        <color indexed="22"/>
      </left>
      <right style="thin">
        <color indexed="22"/>
      </right>
      <top>
        <color indexed="63"/>
      </top>
      <bottom style="thin">
        <color indexed="22"/>
      </bottom>
    </border>
    <border>
      <left style="thin">
        <color indexed="22"/>
      </left>
      <right style="thin"/>
      <top>
        <color indexed="63"/>
      </top>
      <bottom style="thin">
        <color indexed="22"/>
      </bottom>
    </border>
    <border>
      <left style="thin">
        <color indexed="22"/>
      </left>
      <right style="thin"/>
      <top style="thin">
        <color indexed="22"/>
      </top>
      <bottom style="thin"/>
    </border>
    <border>
      <left style="thin"/>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
      <left style="thin"/>
      <right style="thin">
        <color indexed="22"/>
      </right>
      <top style="double"/>
      <bottom style="thin">
        <color indexed="22"/>
      </bottom>
    </border>
    <border>
      <left style="thin">
        <color indexed="22"/>
      </left>
      <right style="thin">
        <color indexed="22"/>
      </right>
      <top style="double"/>
      <bottom style="thin">
        <color indexed="22"/>
      </bottom>
    </border>
    <border>
      <left style="thin">
        <color indexed="22"/>
      </left>
      <right style="thin"/>
      <top style="double"/>
      <bottom style="thin">
        <color indexed="22"/>
      </botto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color indexed="22"/>
      </bottom>
    </border>
    <border>
      <left style="thin">
        <color indexed="22"/>
      </left>
      <right>
        <color indexed="63"/>
      </right>
      <top>
        <color indexed="63"/>
      </top>
      <bottom style="thin">
        <color indexed="22"/>
      </bottom>
    </border>
    <border>
      <left style="double">
        <color indexed="22"/>
      </left>
      <right style="thin"/>
      <top>
        <color indexed="63"/>
      </top>
      <bottom style="thin">
        <color indexed="22"/>
      </bottom>
    </border>
    <border>
      <left style="double">
        <color indexed="22"/>
      </left>
      <right style="thin"/>
      <top style="thin">
        <color indexed="22"/>
      </top>
      <bottom style="thin">
        <color indexed="22"/>
      </bottom>
    </border>
    <border>
      <left style="double">
        <color indexed="22"/>
      </left>
      <right style="thin"/>
      <top style="thin">
        <color indexed="22"/>
      </top>
      <bottom>
        <color indexed="63"/>
      </bottom>
    </border>
    <border>
      <left style="thin"/>
      <right>
        <color indexed="63"/>
      </right>
      <top style="double">
        <color indexed="22"/>
      </top>
      <bottom style="thin">
        <color indexed="22"/>
      </bottom>
    </border>
    <border>
      <left style="double">
        <color indexed="22"/>
      </left>
      <right style="thin"/>
      <top style="double">
        <color indexed="22"/>
      </top>
      <bottom style="thin">
        <color indexed="22"/>
      </bottom>
    </border>
    <border>
      <left style="double">
        <color indexed="22"/>
      </left>
      <right style="thin"/>
      <top style="thin">
        <color indexed="22"/>
      </top>
      <bottom style="double">
        <color indexed="22"/>
      </bottom>
    </border>
    <border>
      <left style="thin"/>
      <right>
        <color indexed="63"/>
      </right>
      <top style="double">
        <color indexed="22"/>
      </top>
      <bottom>
        <color indexed="63"/>
      </bottom>
    </border>
    <border>
      <left style="double">
        <color indexed="22"/>
      </left>
      <right style="thin"/>
      <top style="double">
        <color indexed="22"/>
      </top>
      <bottom>
        <color indexed="63"/>
      </bottom>
    </border>
    <border>
      <left style="thin"/>
      <right>
        <color indexed="63"/>
      </right>
      <top style="double">
        <color indexed="22"/>
      </top>
      <bottom style="thin"/>
    </border>
    <border>
      <left style="double">
        <color indexed="22"/>
      </left>
      <right style="thin"/>
      <top style="double">
        <color indexed="22"/>
      </top>
      <bottom style="thin"/>
    </border>
    <border>
      <left style="thin"/>
      <right>
        <color indexed="63"/>
      </right>
      <top style="thin">
        <color indexed="22"/>
      </top>
      <bottom style="thin">
        <color indexed="22"/>
      </bottom>
    </border>
    <border>
      <left style="thin"/>
      <right>
        <color indexed="63"/>
      </right>
      <top style="thin">
        <color indexed="22"/>
      </top>
      <bottom>
        <color indexed="63"/>
      </bottom>
    </border>
    <border>
      <left style="thin"/>
      <right>
        <color indexed="63"/>
      </right>
      <top style="thin">
        <color indexed="22"/>
      </top>
      <bottom style="double">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color indexed="63"/>
      </bottom>
    </border>
    <border>
      <left style="thin">
        <color indexed="22"/>
      </left>
      <right>
        <color indexed="63"/>
      </right>
      <top style="double">
        <color indexed="22"/>
      </top>
      <bottom style="thin">
        <color indexed="22"/>
      </bottom>
    </border>
    <border>
      <left style="thin">
        <color indexed="22"/>
      </left>
      <right>
        <color indexed="63"/>
      </right>
      <top style="thin">
        <color indexed="22"/>
      </top>
      <bottom style="double">
        <color indexed="22"/>
      </bottom>
    </border>
    <border>
      <left style="thin">
        <color indexed="22"/>
      </left>
      <right>
        <color indexed="63"/>
      </right>
      <top style="double">
        <color indexed="22"/>
      </top>
      <bottom>
        <color indexed="63"/>
      </bottom>
    </border>
    <border>
      <left style="thin">
        <color indexed="22"/>
      </left>
      <right>
        <color indexed="63"/>
      </right>
      <top style="double">
        <color indexed="22"/>
      </top>
      <bottom style="thin"/>
    </border>
    <border>
      <left style="thin">
        <color indexed="22"/>
      </left>
      <right style="thin">
        <color indexed="22"/>
      </right>
      <top style="double">
        <color indexed="22"/>
      </top>
      <bottom style="thin">
        <color indexed="22"/>
      </bottom>
    </border>
    <border>
      <left style="thin">
        <color indexed="22"/>
      </left>
      <right style="thin"/>
      <top style="double">
        <color indexed="22"/>
      </top>
      <bottom style="thin">
        <color indexed="22"/>
      </bottom>
    </border>
    <border>
      <left style="thin"/>
      <right>
        <color indexed="63"/>
      </right>
      <top style="thin">
        <color indexed="22"/>
      </top>
      <bottom style="thin"/>
    </border>
    <border>
      <left style="thin">
        <color indexed="22"/>
      </left>
      <right>
        <color indexed="63"/>
      </right>
      <top style="thin"/>
      <bottom>
        <color indexed="63"/>
      </bottom>
    </border>
    <border>
      <left style="double">
        <color indexed="22"/>
      </left>
      <right style="double">
        <color indexed="22"/>
      </right>
      <top style="thin"/>
      <bottom>
        <color indexed="63"/>
      </bottom>
    </border>
    <border>
      <left style="double">
        <color indexed="22"/>
      </left>
      <right>
        <color indexed="63"/>
      </right>
      <top style="thin"/>
      <bottom style="thin">
        <color indexed="22"/>
      </bottom>
    </border>
    <border>
      <left>
        <color indexed="63"/>
      </left>
      <right style="double">
        <color indexed="22"/>
      </right>
      <top style="thin"/>
      <bottom style="thin">
        <color indexed="22"/>
      </bottom>
    </border>
    <border>
      <left style="double">
        <color indexed="22"/>
      </left>
      <right style="thin"/>
      <top style="thin"/>
      <bottom>
        <color indexed="63"/>
      </bottom>
    </border>
    <border>
      <left style="thin"/>
      <right style="thin">
        <color indexed="22"/>
      </right>
      <top>
        <color indexed="63"/>
      </top>
      <bottom>
        <color indexed="63"/>
      </bottom>
    </border>
    <border>
      <left style="thin">
        <color indexed="22"/>
      </left>
      <right>
        <color indexed="63"/>
      </right>
      <top>
        <color indexed="63"/>
      </top>
      <bottom>
        <color indexed="63"/>
      </bottom>
    </border>
    <border>
      <left style="double">
        <color indexed="22"/>
      </left>
      <right style="double">
        <color indexed="22"/>
      </right>
      <top>
        <color indexed="63"/>
      </top>
      <bottom>
        <color indexed="63"/>
      </bottom>
    </border>
    <border>
      <left style="double">
        <color indexed="22"/>
      </left>
      <right>
        <color indexed="63"/>
      </right>
      <top>
        <color indexed="63"/>
      </top>
      <bottom>
        <color indexed="63"/>
      </bottom>
    </border>
    <border>
      <left style="thin">
        <color indexed="22"/>
      </left>
      <right style="double">
        <color indexed="22"/>
      </right>
      <top style="thin">
        <color indexed="22"/>
      </top>
      <bottom>
        <color indexed="63"/>
      </bottom>
    </border>
    <border>
      <left style="double">
        <color indexed="22"/>
      </left>
      <right style="thin"/>
      <top>
        <color indexed="63"/>
      </top>
      <bottom>
        <color indexed="63"/>
      </bottom>
    </border>
    <border>
      <left style="thin">
        <color indexed="22"/>
      </left>
      <right style="double">
        <color indexed="22"/>
      </right>
      <top>
        <color indexed="63"/>
      </top>
      <bottom>
        <color indexed="63"/>
      </bottom>
    </border>
    <border>
      <left style="thin"/>
      <right style="thin">
        <color indexed="22"/>
      </right>
      <top>
        <color indexed="63"/>
      </top>
      <bottom style="double"/>
    </border>
    <border>
      <left style="thin">
        <color indexed="22"/>
      </left>
      <right>
        <color indexed="63"/>
      </right>
      <top>
        <color indexed="63"/>
      </top>
      <bottom style="double"/>
    </border>
    <border>
      <left style="double">
        <color indexed="22"/>
      </left>
      <right style="double">
        <color indexed="22"/>
      </right>
      <top>
        <color indexed="63"/>
      </top>
      <bottom style="double"/>
    </border>
    <border>
      <left style="double">
        <color indexed="22"/>
      </left>
      <right>
        <color indexed="63"/>
      </right>
      <top>
        <color indexed="63"/>
      </top>
      <bottom style="double"/>
    </border>
    <border>
      <left style="thin">
        <color indexed="22"/>
      </left>
      <right style="double">
        <color indexed="22"/>
      </right>
      <top>
        <color indexed="63"/>
      </top>
      <bottom style="double"/>
    </border>
    <border>
      <left style="double">
        <color indexed="22"/>
      </left>
      <right style="thin"/>
      <top>
        <color indexed="63"/>
      </top>
      <bottom style="double"/>
    </border>
    <border>
      <left style="medium"/>
      <right style="medium">
        <color indexed="22"/>
      </right>
      <top style="medium"/>
      <bottom>
        <color indexed="63"/>
      </bottom>
    </border>
    <border>
      <left style="medium">
        <color indexed="22"/>
      </left>
      <right style="medium">
        <color indexed="22"/>
      </right>
      <top style="medium"/>
      <bottom>
        <color indexed="63"/>
      </bottom>
    </border>
    <border>
      <left>
        <color indexed="63"/>
      </left>
      <right>
        <color indexed="63"/>
      </right>
      <top style="medium"/>
      <bottom>
        <color indexed="63"/>
      </bottom>
    </border>
    <border>
      <left style="thin">
        <color indexed="22"/>
      </left>
      <right style="medium"/>
      <top style="medium"/>
      <bottom style="thin">
        <color indexed="22"/>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color indexed="22"/>
      </top>
      <bottom style="double"/>
    </border>
    <border>
      <left style="double"/>
      <right style="medium">
        <color indexed="22"/>
      </right>
      <top style="thin">
        <color indexed="22"/>
      </top>
      <bottom style="double"/>
    </border>
    <border>
      <left style="medium">
        <color indexed="22"/>
      </left>
      <right style="medium">
        <color indexed="22"/>
      </right>
      <top style="thin">
        <color indexed="22"/>
      </top>
      <bottom style="double"/>
    </border>
    <border>
      <left style="medium">
        <color indexed="22"/>
      </left>
      <right>
        <color indexed="63"/>
      </right>
      <top style="thin">
        <color indexed="22"/>
      </top>
      <bottom style="double"/>
    </border>
    <border>
      <left style="thin">
        <color indexed="22"/>
      </left>
      <right style="medium"/>
      <top style="thin">
        <color indexed="22"/>
      </top>
      <bottom style="double"/>
    </border>
    <border>
      <left style="medium"/>
      <right style="double"/>
      <top style="thin">
        <color indexed="22"/>
      </top>
      <bottom style="thin">
        <color indexed="22"/>
      </bottom>
    </border>
    <border>
      <left style="double"/>
      <right style="thin">
        <color indexed="22"/>
      </right>
      <top style="thin">
        <color indexed="22"/>
      </top>
      <bottom style="double"/>
    </border>
    <border>
      <left style="thin">
        <color indexed="22"/>
      </left>
      <right style="thin">
        <color indexed="22"/>
      </right>
      <top style="thin">
        <color indexed="22"/>
      </top>
      <bottom style="double"/>
    </border>
    <border>
      <left style="medium"/>
      <right>
        <color indexed="63"/>
      </right>
      <top>
        <color indexed="63"/>
      </top>
      <bottom style="thin">
        <color indexed="22"/>
      </bottom>
    </border>
    <border>
      <left style="medium"/>
      <right>
        <color indexed="63"/>
      </right>
      <top style="thin">
        <color indexed="22"/>
      </top>
      <bottom style="thin">
        <color indexed="22"/>
      </bottom>
    </border>
    <border>
      <left style="medium"/>
      <right>
        <color indexed="63"/>
      </right>
      <top style="thin">
        <color indexed="22"/>
      </top>
      <bottom style="medium"/>
    </border>
    <border>
      <left style="medium"/>
      <right style="double"/>
      <top style="thin">
        <color indexed="22"/>
      </top>
      <bottom style="medium"/>
    </border>
    <border>
      <left>
        <color indexed="63"/>
      </left>
      <right>
        <color indexed="63"/>
      </right>
      <top style="medium"/>
      <bottom style="thin">
        <color indexed="22"/>
      </bottom>
    </border>
    <border>
      <left>
        <color indexed="63"/>
      </left>
      <right style="medium"/>
      <top style="medium"/>
      <bottom style="thin">
        <color indexed="22"/>
      </bottom>
    </border>
    <border>
      <left style="medium"/>
      <right style="thin">
        <color indexed="22"/>
      </right>
      <top>
        <color indexed="63"/>
      </top>
      <bottom>
        <color indexed="63"/>
      </bottom>
    </border>
    <border diagonalDown="1">
      <left style="thin">
        <color indexed="22"/>
      </left>
      <right>
        <color indexed="63"/>
      </right>
      <top style="thin">
        <color indexed="22"/>
      </top>
      <bottom>
        <color indexed="63"/>
      </bottom>
      <diagonal style="thin">
        <color indexed="22"/>
      </diagonal>
    </border>
    <border>
      <left>
        <color indexed="63"/>
      </left>
      <right style="thin">
        <color indexed="22"/>
      </right>
      <top style="thin">
        <color indexed="22"/>
      </top>
      <bottom style="thin">
        <color indexed="22"/>
      </bottom>
    </border>
    <border>
      <left style="thin">
        <color indexed="22"/>
      </left>
      <right style="medium"/>
      <top style="thin">
        <color indexed="22"/>
      </top>
      <bottom style="thin">
        <color indexed="22"/>
      </bottom>
    </border>
    <border>
      <left style="medium"/>
      <right style="thin">
        <color indexed="22"/>
      </right>
      <top>
        <color indexed="63"/>
      </top>
      <bottom style="medium"/>
    </border>
    <border>
      <left style="thin">
        <color indexed="22"/>
      </left>
      <right style="thin">
        <color indexed="22"/>
      </right>
      <top style="thin">
        <color indexed="22"/>
      </top>
      <bottom style="medium"/>
    </border>
    <border>
      <left style="thin">
        <color indexed="22"/>
      </left>
      <right style="medium"/>
      <top style="thin">
        <color indexed="22"/>
      </top>
      <bottom style="medium"/>
    </border>
    <border>
      <left>
        <color indexed="63"/>
      </left>
      <right>
        <color indexed="63"/>
      </right>
      <top>
        <color indexed="63"/>
      </top>
      <bottom style="double">
        <color indexed="22"/>
      </bottom>
    </border>
    <border>
      <left>
        <color indexed="63"/>
      </left>
      <right>
        <color indexed="63"/>
      </right>
      <top style="double">
        <color indexed="22"/>
      </top>
      <bottom>
        <color indexed="63"/>
      </bottom>
    </border>
    <border>
      <left>
        <color indexed="63"/>
      </left>
      <right>
        <color indexed="63"/>
      </right>
      <top style="double"/>
      <bottom style="medium"/>
    </border>
    <border>
      <left style="double"/>
      <right style="thin">
        <color indexed="22"/>
      </right>
      <top>
        <color indexed="63"/>
      </top>
      <bottom style="thin">
        <color indexed="22"/>
      </bottom>
    </border>
    <border>
      <left style="thin">
        <color indexed="22"/>
      </left>
      <right style="medium"/>
      <top>
        <color indexed="63"/>
      </top>
      <bottom style="thin">
        <color indexed="22"/>
      </bottom>
    </border>
    <border>
      <left style="double"/>
      <right style="thin">
        <color indexed="22"/>
      </right>
      <top style="thin">
        <color indexed="22"/>
      </top>
      <bottom style="thin">
        <color indexed="22"/>
      </bottom>
    </border>
    <border>
      <left style="double"/>
      <right style="thin">
        <color indexed="22"/>
      </right>
      <top style="thin">
        <color indexed="22"/>
      </top>
      <bottom style="medium"/>
    </border>
    <border>
      <left style="double"/>
      <right style="thin">
        <color indexed="22"/>
      </right>
      <top style="double"/>
      <bottom style="thin">
        <color indexed="22"/>
      </bottom>
    </border>
    <border>
      <left style="thin">
        <color indexed="22"/>
      </left>
      <right style="medium"/>
      <top style="double"/>
      <bottom style="thin">
        <color indexed="22"/>
      </bottom>
    </border>
    <border>
      <left style="double">
        <color indexed="22"/>
      </left>
      <right style="double">
        <color indexed="22"/>
      </right>
      <top>
        <color indexed="63"/>
      </top>
      <bottom style="thin">
        <color indexed="22"/>
      </bottom>
    </border>
    <border>
      <left style="double">
        <color indexed="22"/>
      </left>
      <right>
        <color indexed="63"/>
      </right>
      <top>
        <color indexed="63"/>
      </top>
      <bottom style="thin">
        <color indexed="22"/>
      </bottom>
    </border>
    <border>
      <left style="thin">
        <color indexed="22"/>
      </left>
      <right style="double">
        <color indexed="22"/>
      </right>
      <top>
        <color indexed="63"/>
      </top>
      <bottom style="thin">
        <color indexed="22"/>
      </bottom>
    </border>
    <border>
      <left style="double">
        <color indexed="22"/>
      </left>
      <right style="double">
        <color indexed="22"/>
      </right>
      <top style="thin">
        <color indexed="22"/>
      </top>
      <bottom style="thin">
        <color indexed="22"/>
      </bottom>
    </border>
    <border>
      <left style="double">
        <color indexed="22"/>
      </left>
      <right>
        <color indexed="63"/>
      </right>
      <top style="thin">
        <color indexed="22"/>
      </top>
      <bottom style="thin">
        <color indexed="22"/>
      </bottom>
    </border>
    <border>
      <left style="thin">
        <color indexed="22"/>
      </left>
      <right style="double">
        <color indexed="22"/>
      </right>
      <top style="thin">
        <color indexed="22"/>
      </top>
      <bottom style="thin">
        <color indexed="22"/>
      </bottom>
    </border>
    <border>
      <left style="double">
        <color indexed="22"/>
      </left>
      <right style="double">
        <color indexed="22"/>
      </right>
      <top style="thin">
        <color indexed="22"/>
      </top>
      <bottom style="thin"/>
    </border>
    <border>
      <left style="double">
        <color indexed="22"/>
      </left>
      <right>
        <color indexed="63"/>
      </right>
      <top style="thin">
        <color indexed="22"/>
      </top>
      <bottom style="thin"/>
    </border>
    <border>
      <left style="thin">
        <color indexed="22"/>
      </left>
      <right style="double">
        <color indexed="22"/>
      </right>
      <top style="thin">
        <color indexed="22"/>
      </top>
      <bottom style="thin"/>
    </border>
    <border>
      <left style="double">
        <color indexed="22"/>
      </left>
      <right style="thin"/>
      <top style="thin">
        <color indexed="22"/>
      </top>
      <bottom style="thin"/>
    </border>
    <border>
      <left style="thin"/>
      <right style="thin">
        <color indexed="22"/>
      </right>
      <top>
        <color indexed="63"/>
      </top>
      <bottom style="thin">
        <color indexed="22"/>
      </bottom>
    </border>
    <border>
      <left style="thin"/>
      <right style="thin">
        <color indexed="22"/>
      </right>
      <top style="thin">
        <color indexed="22"/>
      </top>
      <bottom style="thin"/>
    </border>
    <border>
      <left style="thin">
        <color indexed="22"/>
      </left>
      <right>
        <color indexed="63"/>
      </right>
      <top style="thin">
        <color indexed="22"/>
      </top>
      <bottom style="thin"/>
    </border>
    <border>
      <left>
        <color indexed="63"/>
      </left>
      <right>
        <color indexed="63"/>
      </right>
      <top style="thin">
        <color indexed="55"/>
      </top>
      <bottom>
        <color indexed="63"/>
      </bottom>
    </border>
    <border>
      <left style="double">
        <color indexed="22"/>
      </left>
      <right style="thin">
        <color indexed="22"/>
      </right>
      <top style="thin">
        <color indexed="22"/>
      </top>
      <bottom style="thin">
        <color indexed="22"/>
      </bottom>
    </border>
    <border>
      <left style="thin">
        <color indexed="22"/>
      </left>
      <right style="thin">
        <color indexed="22"/>
      </right>
      <top style="double">
        <color indexed="22"/>
      </top>
      <bottom>
        <color indexed="63"/>
      </bottom>
    </border>
    <border>
      <left style="thin">
        <color indexed="22"/>
      </left>
      <right style="thin">
        <color indexed="22"/>
      </right>
      <top style="thin">
        <color indexed="22"/>
      </top>
      <bottom style="double">
        <color indexed="22"/>
      </bottom>
    </border>
    <border>
      <left style="thin">
        <color indexed="22"/>
      </left>
      <right style="double">
        <color indexed="22"/>
      </right>
      <top style="thin">
        <color indexed="22"/>
      </top>
      <bottom style="double"/>
    </border>
    <border>
      <left style="thin">
        <color indexed="22"/>
      </left>
      <right style="double">
        <color indexed="22"/>
      </right>
      <top style="thin"/>
      <bottom>
        <color indexed="63"/>
      </bottom>
    </border>
    <border>
      <left style="thin"/>
      <right>
        <color indexed="63"/>
      </right>
      <top style="thin"/>
      <bottom style="thin"/>
    </border>
    <border>
      <left style="thin">
        <color indexed="55"/>
      </left>
      <right style="thin"/>
      <top style="thin"/>
      <bottom>
        <color indexed="63"/>
      </bottom>
    </border>
    <border>
      <left style="thin">
        <color indexed="55"/>
      </left>
      <right style="thin"/>
      <top>
        <color indexed="63"/>
      </top>
      <bottom>
        <color indexed="63"/>
      </bottom>
    </border>
    <border>
      <left style="thin"/>
      <right>
        <color indexed="63"/>
      </right>
      <top style="thin">
        <color indexed="55"/>
      </top>
      <bottom>
        <color indexed="63"/>
      </bottom>
    </border>
    <border>
      <left style="thin">
        <color indexed="55"/>
      </left>
      <right style="thin"/>
      <top style="thin">
        <color indexed="55"/>
      </top>
      <bottom>
        <color indexed="63"/>
      </bottom>
    </border>
    <border>
      <left style="thin"/>
      <right>
        <color indexed="63"/>
      </right>
      <top>
        <color indexed="63"/>
      </top>
      <bottom style="thin">
        <color indexed="55"/>
      </bottom>
    </border>
    <border>
      <left>
        <color indexed="63"/>
      </left>
      <right>
        <color indexed="63"/>
      </right>
      <top>
        <color indexed="63"/>
      </top>
      <bottom style="thin">
        <color indexed="55"/>
      </bottom>
    </border>
    <border>
      <left style="thin">
        <color indexed="55"/>
      </left>
      <right style="thin"/>
      <top>
        <color indexed="63"/>
      </top>
      <bottom style="thin">
        <color indexed="55"/>
      </bottom>
    </border>
    <border>
      <left style="thin">
        <color indexed="22"/>
      </left>
      <right style="thin">
        <color indexed="22"/>
      </right>
      <top>
        <color indexed="63"/>
      </top>
      <bottom style="thin"/>
    </border>
    <border>
      <left style="double">
        <color indexed="22"/>
      </left>
      <right style="thin">
        <color indexed="22"/>
      </right>
      <top style="double">
        <color indexed="22"/>
      </top>
      <bottom style="thin">
        <color indexed="22"/>
      </bottom>
    </border>
    <border>
      <left style="thin">
        <color indexed="55"/>
      </left>
      <right style="thin">
        <color indexed="55"/>
      </right>
      <top style="thin"/>
      <bottom style="thin">
        <color indexed="55"/>
      </bottom>
    </border>
    <border>
      <left style="thin">
        <color indexed="55"/>
      </left>
      <right style="thin"/>
      <top style="thin"/>
      <bottom style="thin">
        <color indexed="55"/>
      </bottom>
    </border>
    <border>
      <left style="thin">
        <color indexed="55"/>
      </left>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5"/>
      </right>
      <top style="thin">
        <color indexed="55"/>
      </top>
      <bottom style="thin">
        <color indexed="55"/>
      </bottom>
    </border>
    <border>
      <left>
        <color indexed="63"/>
      </left>
      <right style="thin">
        <color indexed="55"/>
      </right>
      <top style="thin">
        <color indexed="55"/>
      </top>
      <bottom style="thin"/>
    </border>
    <border>
      <left style="thin"/>
      <right style="thin">
        <color indexed="55"/>
      </right>
      <top style="thin"/>
      <bottom style="thin">
        <color indexed="55"/>
      </bottom>
    </border>
    <border>
      <left style="thin"/>
      <right style="thin">
        <color indexed="55"/>
      </right>
      <top style="thin">
        <color indexed="55"/>
      </top>
      <bottom style="thin"/>
    </border>
    <border>
      <left style="thin"/>
      <right style="thin"/>
      <top style="thin">
        <color indexed="22"/>
      </top>
      <bottom style="thin">
        <color indexed="22"/>
      </bottom>
    </border>
    <border>
      <left style="thin"/>
      <right style="thin"/>
      <top style="thin">
        <color indexed="22"/>
      </top>
      <bottom style="thin"/>
    </border>
    <border>
      <left style="thin"/>
      <right style="thin"/>
      <top style="thin"/>
      <bottom style="thin">
        <color indexed="22"/>
      </bottom>
    </border>
    <border>
      <left>
        <color indexed="63"/>
      </left>
      <right style="thin"/>
      <top style="thin">
        <color indexed="22"/>
      </top>
      <bottom style="thin"/>
    </border>
    <border>
      <left>
        <color indexed="63"/>
      </left>
      <right style="thin"/>
      <top style="double">
        <color indexed="22"/>
      </top>
      <bottom>
        <color indexed="63"/>
      </bottom>
    </border>
    <border>
      <left>
        <color indexed="63"/>
      </left>
      <right style="thin"/>
      <top style="thin">
        <color indexed="22"/>
      </top>
      <bottom style="thin">
        <color indexed="22"/>
      </bottom>
    </border>
    <border>
      <left>
        <color indexed="63"/>
      </left>
      <right style="thin"/>
      <top>
        <color indexed="63"/>
      </top>
      <bottom style="thin">
        <color indexed="22"/>
      </bottom>
    </border>
    <border>
      <left style="thin"/>
      <right style="thin">
        <color indexed="55"/>
      </right>
      <top style="thin"/>
      <bottom style="thin"/>
    </border>
    <border>
      <left style="thin">
        <color indexed="55"/>
      </left>
      <right style="thin">
        <color indexed="55"/>
      </right>
      <top style="thin"/>
      <bottom style="thin"/>
    </border>
    <border>
      <left style="thin">
        <color indexed="55"/>
      </left>
      <right style="thin"/>
      <top style="thin"/>
      <bottom style="thin"/>
    </border>
    <border>
      <left style="thin">
        <color indexed="22"/>
      </left>
      <right style="thin"/>
      <top style="double">
        <color indexed="22"/>
      </top>
      <bottom>
        <color indexed="63"/>
      </bottom>
    </border>
    <border>
      <left style="thin">
        <color indexed="22"/>
      </left>
      <right style="thin"/>
      <top>
        <color indexed="63"/>
      </top>
      <bottom>
        <color indexed="63"/>
      </bottom>
    </border>
    <border>
      <left>
        <color indexed="63"/>
      </left>
      <right style="thin"/>
      <top style="thin">
        <color indexed="22"/>
      </top>
      <bottom>
        <color indexed="63"/>
      </bottom>
    </border>
    <border>
      <left style="thin">
        <color indexed="22"/>
      </left>
      <right style="thin"/>
      <top style="thin">
        <color indexed="22"/>
      </top>
      <bottom style="double">
        <color indexed="22"/>
      </bottom>
    </border>
    <border>
      <left style="double">
        <color indexed="22"/>
      </left>
      <right style="thin">
        <color indexed="22"/>
      </right>
      <top style="thin">
        <color indexed="22"/>
      </top>
      <bottom style="double">
        <color indexed="22"/>
      </bottom>
    </border>
    <border>
      <left>
        <color indexed="63"/>
      </left>
      <right style="thin">
        <color indexed="22"/>
      </right>
      <top style="thin"/>
      <bottom style="thin"/>
    </border>
    <border>
      <left style="thin">
        <color indexed="22"/>
      </left>
      <right style="thin">
        <color indexed="22"/>
      </right>
      <top style="thin"/>
      <bottom style="thin"/>
    </border>
    <border>
      <left style="thin">
        <color indexed="22"/>
      </left>
      <right style="thin"/>
      <top style="thin"/>
      <bottom style="thin"/>
    </border>
    <border>
      <left style="thin">
        <color indexed="22"/>
      </left>
      <right>
        <color indexed="63"/>
      </right>
      <top style="thin"/>
      <bottom style="thin"/>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style="thin"/>
      <right>
        <color indexed="63"/>
      </right>
      <top style="thin">
        <color indexed="55"/>
      </top>
      <bottom style="thin"/>
    </border>
    <border>
      <left>
        <color indexed="63"/>
      </left>
      <right style="thin"/>
      <top style="thin">
        <color indexed="55"/>
      </top>
      <bottom style="thin"/>
    </border>
    <border>
      <left style="thin"/>
      <right style="thin">
        <color indexed="22"/>
      </right>
      <top style="thin">
        <color indexed="22"/>
      </top>
      <bottom style="double">
        <color indexed="22"/>
      </bottom>
    </border>
    <border>
      <left>
        <color indexed="63"/>
      </left>
      <right>
        <color indexed="63"/>
      </right>
      <top style="thin">
        <color indexed="22"/>
      </top>
      <bottom style="thin">
        <color indexed="22"/>
      </bottom>
    </border>
    <border>
      <left style="double">
        <color indexed="22"/>
      </left>
      <right>
        <color indexed="63"/>
      </right>
      <top style="thin">
        <color indexed="22"/>
      </top>
      <bottom>
        <color indexed="63"/>
      </bottom>
    </border>
    <border>
      <left style="thin">
        <color indexed="22"/>
      </left>
      <right style="thin">
        <color indexed="22"/>
      </right>
      <top>
        <color indexed="63"/>
      </top>
      <bottom>
        <color indexed="63"/>
      </bottom>
    </border>
    <border>
      <left>
        <color indexed="63"/>
      </left>
      <right style="thin">
        <color indexed="22"/>
      </right>
      <top>
        <color indexed="63"/>
      </top>
      <bottom style="double">
        <color indexed="22"/>
      </bottom>
    </border>
    <border>
      <left style="thin">
        <color indexed="22"/>
      </left>
      <right style="double">
        <color indexed="22"/>
      </right>
      <top>
        <color indexed="63"/>
      </top>
      <bottom style="double">
        <color indexed="22"/>
      </bottom>
    </border>
    <border>
      <left style="double">
        <color indexed="22"/>
      </left>
      <right>
        <color indexed="63"/>
      </right>
      <top style="thin">
        <color indexed="22"/>
      </top>
      <bottom style="double">
        <color indexed="22"/>
      </bottom>
    </border>
    <border>
      <left style="thin">
        <color indexed="22"/>
      </left>
      <right style="double">
        <color indexed="22"/>
      </right>
      <top style="thin">
        <color indexed="22"/>
      </top>
      <bottom style="double">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double">
        <color indexed="22"/>
      </left>
      <right style="thin">
        <color indexed="22"/>
      </right>
      <top style="double">
        <color indexed="22"/>
      </top>
      <bottom>
        <color indexed="63"/>
      </bottom>
    </border>
    <border>
      <left style="double">
        <color indexed="22"/>
      </left>
      <right style="thin">
        <color indexed="22"/>
      </right>
      <top style="thin">
        <color indexed="22"/>
      </top>
      <bottom style="double"/>
    </border>
    <border>
      <left style="thin">
        <color indexed="22"/>
      </left>
      <right style="thin">
        <color indexed="22"/>
      </right>
      <top style="double"/>
      <bottom>
        <color indexed="63"/>
      </bottom>
    </border>
    <border>
      <left style="thin">
        <color indexed="22"/>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thin">
        <color indexed="22"/>
      </bottom>
    </border>
    <border>
      <left style="thin"/>
      <right>
        <color indexed="63"/>
      </right>
      <top style="thin"/>
      <bottom style="thin">
        <color indexed="22"/>
      </bottom>
    </border>
    <border>
      <left style="thin">
        <color indexed="22"/>
      </left>
      <right style="thin">
        <color indexed="22"/>
      </right>
      <top style="thin"/>
      <bottom style="thin">
        <color indexed="22"/>
      </bottom>
    </border>
    <border>
      <left>
        <color indexed="63"/>
      </left>
      <right>
        <color indexed="63"/>
      </right>
      <top style="thin"/>
      <bottom style="thin">
        <color indexed="22"/>
      </bottom>
    </border>
    <border>
      <left style="thin">
        <color indexed="22"/>
      </left>
      <right style="double">
        <color indexed="22"/>
      </right>
      <top style="thin"/>
      <bottom style="thin">
        <color indexed="22"/>
      </bottom>
    </border>
    <border>
      <left style="thin">
        <color indexed="22"/>
      </left>
      <right>
        <color indexed="63"/>
      </right>
      <top style="thin"/>
      <bottom style="thin">
        <color indexed="22"/>
      </bottom>
    </border>
    <border>
      <left>
        <color indexed="63"/>
      </left>
      <right style="thin">
        <color indexed="22"/>
      </right>
      <top style="thin"/>
      <bottom style="thin">
        <color indexed="22"/>
      </bottom>
    </border>
    <border>
      <left style="thin">
        <color indexed="22"/>
      </left>
      <right style="thin"/>
      <top style="thin"/>
      <bottom style="thin">
        <color indexed="22"/>
      </bottom>
    </border>
    <border>
      <left style="double">
        <color indexed="22"/>
      </left>
      <right>
        <color indexed="63"/>
      </right>
      <top style="double">
        <color indexed="22"/>
      </top>
      <bottom>
        <color indexed="63"/>
      </bottom>
    </border>
    <border>
      <left style="thin">
        <color indexed="22"/>
      </left>
      <right>
        <color indexed="63"/>
      </right>
      <top style="double">
        <color indexed="22"/>
      </top>
      <bottom style="double">
        <color indexed="22"/>
      </bottom>
    </border>
    <border>
      <left>
        <color indexed="63"/>
      </left>
      <right style="thin">
        <color indexed="22"/>
      </right>
      <top style="double">
        <color indexed="22"/>
      </top>
      <bottom style="double">
        <color indexed="22"/>
      </bottom>
    </border>
    <border>
      <left style="thin">
        <color indexed="22"/>
      </left>
      <right style="double">
        <color indexed="22"/>
      </right>
      <top style="double">
        <color indexed="22"/>
      </top>
      <bottom style="double">
        <color indexed="22"/>
      </bottom>
    </border>
    <border>
      <left style="double">
        <color indexed="22"/>
      </left>
      <right style="thin">
        <color indexed="22"/>
      </right>
      <top style="double">
        <color indexed="22"/>
      </top>
      <bottom style="double">
        <color indexed="22"/>
      </bottom>
    </border>
    <border>
      <left style="thin">
        <color indexed="22"/>
      </left>
      <right style="thin">
        <color indexed="22"/>
      </right>
      <top style="double">
        <color indexed="22"/>
      </top>
      <bottom style="double">
        <color indexed="22"/>
      </bottom>
    </border>
    <border>
      <left>
        <color indexed="63"/>
      </left>
      <right style="thin"/>
      <top style="double">
        <color indexed="22"/>
      </top>
      <bottom style="double">
        <color indexed="22"/>
      </bottom>
    </border>
    <border>
      <left>
        <color indexed="63"/>
      </left>
      <right>
        <color indexed="63"/>
      </right>
      <top style="double"/>
      <bottom>
        <color indexed="63"/>
      </bottom>
    </border>
    <border>
      <left style="thin">
        <color indexed="22"/>
      </left>
      <right>
        <color indexed="63"/>
      </right>
      <top>
        <color indexed="63"/>
      </top>
      <bottom style="thin"/>
    </border>
    <border>
      <left>
        <color indexed="63"/>
      </left>
      <right style="thin">
        <color indexed="22"/>
      </right>
      <top style="thin">
        <color indexed="22"/>
      </top>
      <bottom style="double"/>
    </border>
    <border>
      <left style="thin"/>
      <right>
        <color indexed="63"/>
      </right>
      <top style="thin">
        <color indexed="22"/>
      </top>
      <bottom style="double"/>
    </border>
    <border>
      <left>
        <color indexed="63"/>
      </left>
      <right>
        <color indexed="63"/>
      </right>
      <top style="thin">
        <color indexed="22"/>
      </top>
      <bottom style="double"/>
    </border>
    <border>
      <left style="thin">
        <color indexed="55"/>
      </left>
      <right>
        <color indexed="63"/>
      </right>
      <top>
        <color indexed="63"/>
      </top>
      <bottom style="thin">
        <color indexed="55"/>
      </bottom>
    </border>
    <border>
      <left>
        <color indexed="63"/>
      </left>
      <right style="thin">
        <color indexed="55"/>
      </right>
      <top>
        <color indexed="63"/>
      </top>
      <bottom style="thin">
        <color indexed="55"/>
      </bottom>
    </border>
    <border>
      <left>
        <color indexed="63"/>
      </left>
      <right style="thin">
        <color indexed="55"/>
      </right>
      <top>
        <color indexed="63"/>
      </top>
      <bottom>
        <color indexed="63"/>
      </bottom>
    </border>
    <border>
      <left style="thin">
        <color indexed="55"/>
      </left>
      <right>
        <color indexed="63"/>
      </right>
      <top>
        <color indexed="63"/>
      </top>
      <bottom>
        <color indexed="63"/>
      </bottom>
    </border>
    <border>
      <left>
        <color indexed="63"/>
      </left>
      <right style="thin">
        <color indexed="55"/>
      </right>
      <top style="thin">
        <color indexed="55"/>
      </top>
      <bottom>
        <color indexed="63"/>
      </bottom>
    </border>
    <border>
      <left style="thin">
        <color indexed="55"/>
      </left>
      <right>
        <color indexed="63"/>
      </right>
      <top style="thin">
        <color indexed="55"/>
      </top>
      <bottom>
        <color indexed="63"/>
      </bottom>
    </border>
    <border>
      <left style="thin">
        <color indexed="22"/>
      </left>
      <right>
        <color indexed="63"/>
      </right>
      <top style="thin">
        <color indexed="22"/>
      </top>
      <bottom style="double"/>
    </border>
    <border>
      <left>
        <color indexed="63"/>
      </left>
      <right style="thin">
        <color indexed="22"/>
      </right>
      <top style="double">
        <color indexed="22"/>
      </top>
      <bottom style="thin">
        <color indexed="22"/>
      </bottom>
    </border>
    <border>
      <left>
        <color indexed="63"/>
      </left>
      <right>
        <color indexed="63"/>
      </right>
      <top style="double">
        <color indexed="22"/>
      </top>
      <bottom style="thin">
        <color indexed="22"/>
      </bottom>
    </border>
    <border>
      <left style="thin"/>
      <right>
        <color indexed="63"/>
      </right>
      <top style="double">
        <color indexed="22"/>
      </top>
      <bottom style="double">
        <color indexed="22"/>
      </bottom>
    </border>
    <border>
      <left>
        <color indexed="63"/>
      </left>
      <right>
        <color indexed="63"/>
      </right>
      <top style="double">
        <color indexed="22"/>
      </top>
      <bottom style="double">
        <color indexed="22"/>
      </bottom>
    </border>
    <border>
      <left style="medium"/>
      <right>
        <color indexed="63"/>
      </right>
      <top style="medium"/>
      <bottom style="medium"/>
    </border>
    <border>
      <left>
        <color indexed="63"/>
      </left>
      <right style="medium"/>
      <top style="medium"/>
      <bottom style="medium"/>
    </border>
    <border>
      <left>
        <color indexed="63"/>
      </left>
      <right style="thin">
        <color indexed="55"/>
      </right>
      <top style="thin"/>
      <bottom style="thin"/>
    </border>
    <border>
      <left>
        <color indexed="63"/>
      </left>
      <right>
        <color indexed="63"/>
      </right>
      <top style="thin">
        <color indexed="55"/>
      </top>
      <bottom style="thin">
        <color indexed="55"/>
      </bottom>
    </border>
    <border>
      <left>
        <color indexed="63"/>
      </left>
      <right>
        <color indexed="63"/>
      </right>
      <top style="thin">
        <color indexed="55"/>
      </top>
      <bottom style="thin"/>
    </border>
    <border>
      <left>
        <color indexed="63"/>
      </left>
      <right style="thin"/>
      <top>
        <color indexed="63"/>
      </top>
      <bottom style="thin">
        <color indexed="55"/>
      </bottom>
    </border>
    <border>
      <left style="thin"/>
      <right>
        <color indexed="63"/>
      </right>
      <top style="thin"/>
      <bottom style="thin">
        <color indexed="55"/>
      </bottom>
    </border>
    <border>
      <left>
        <color indexed="63"/>
      </left>
      <right>
        <color indexed="63"/>
      </right>
      <top style="thin"/>
      <bottom style="thin">
        <color indexed="55"/>
      </bottom>
    </border>
    <border>
      <left>
        <color indexed="63"/>
      </left>
      <right style="thin"/>
      <top style="thin"/>
      <bottom style="thin">
        <color indexed="55"/>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color indexed="63"/>
      </right>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medium"/>
    </border>
    <border>
      <left style="thin"/>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9" fillId="0" borderId="0">
      <alignment/>
      <protection/>
    </xf>
    <xf numFmtId="9" fontId="0" fillId="0" borderId="0" applyFont="0" applyFill="0" applyBorder="0" applyAlignment="0" applyProtection="0"/>
  </cellStyleXfs>
  <cellXfs count="2110">
    <xf numFmtId="0" fontId="0" fillId="0" borderId="0" xfId="0" applyAlignment="1">
      <alignment/>
    </xf>
    <xf numFmtId="0" fontId="2" fillId="0" borderId="0" xfId="0" applyFont="1" applyAlignment="1">
      <alignment/>
    </xf>
    <xf numFmtId="0" fontId="4" fillId="0" borderId="0" xfId="0" applyFont="1" applyAlignment="1">
      <alignment/>
    </xf>
    <xf numFmtId="0" fontId="8" fillId="0" borderId="0" xfId="0" applyFont="1" applyAlignment="1">
      <alignment/>
    </xf>
    <xf numFmtId="0" fontId="8" fillId="0" borderId="0" xfId="0" applyFont="1" applyAlignment="1">
      <alignment/>
    </xf>
    <xf numFmtId="0" fontId="0" fillId="0" borderId="0" xfId="0" applyFill="1" applyAlignment="1">
      <alignment/>
    </xf>
    <xf numFmtId="0" fontId="8" fillId="0" borderId="1" xfId="0" applyFont="1" applyFill="1" applyBorder="1" applyAlignment="1">
      <alignment vertical="center"/>
    </xf>
    <xf numFmtId="0" fontId="10" fillId="0" borderId="1" xfId="0" applyFont="1" applyBorder="1" applyAlignment="1">
      <alignment/>
    </xf>
    <xf numFmtId="0" fontId="5" fillId="0" borderId="1" xfId="0" applyFont="1" applyBorder="1" applyAlignment="1">
      <alignment/>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0" xfId="0" applyFill="1" applyBorder="1" applyAlignment="1">
      <alignment horizontal="centerContinuous"/>
    </xf>
    <xf numFmtId="0" fontId="0" fillId="0" borderId="0" xfId="0" applyFill="1" applyBorder="1" applyAlignment="1">
      <alignment/>
    </xf>
    <xf numFmtId="0" fontId="2"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xf>
    <xf numFmtId="0" fontId="7" fillId="0" borderId="0" xfId="0" applyFont="1" applyFill="1" applyBorder="1" applyAlignment="1">
      <alignment horizontal="left"/>
    </xf>
    <xf numFmtId="0" fontId="0" fillId="0" borderId="2" xfId="0" applyFont="1" applyFill="1" applyBorder="1" applyAlignment="1">
      <alignment horizontal="center"/>
    </xf>
    <xf numFmtId="0" fontId="0" fillId="0" borderId="3" xfId="0" applyFont="1" applyFill="1" applyBorder="1" applyAlignment="1">
      <alignment horizontal="center"/>
    </xf>
    <xf numFmtId="0" fontId="0" fillId="0" borderId="4" xfId="0" applyFont="1" applyFill="1" applyBorder="1" applyAlignment="1">
      <alignment vertical="center"/>
    </xf>
    <xf numFmtId="0" fontId="0" fillId="0" borderId="4" xfId="0" applyFont="1" applyFill="1" applyBorder="1" applyAlignment="1">
      <alignment/>
    </xf>
    <xf numFmtId="0" fontId="0" fillId="0" borderId="5" xfId="0" applyFont="1" applyFill="1" applyBorder="1" applyAlignment="1">
      <alignment horizontal="center"/>
    </xf>
    <xf numFmtId="0" fontId="9" fillId="0" borderId="0" xfId="0" applyFont="1" applyFill="1" applyBorder="1" applyAlignment="1">
      <alignment/>
    </xf>
    <xf numFmtId="0" fontId="0" fillId="0" borderId="2" xfId="0" applyFill="1" applyBorder="1" applyAlignment="1">
      <alignment horizontal="center"/>
    </xf>
    <xf numFmtId="0" fontId="0" fillId="0" borderId="3" xfId="0" applyFill="1" applyBorder="1" applyAlignment="1">
      <alignment horizontal="center"/>
    </xf>
    <xf numFmtId="0" fontId="0" fillId="0" borderId="5" xfId="0" applyFill="1" applyBorder="1" applyAlignment="1">
      <alignment horizontal="center"/>
    </xf>
    <xf numFmtId="0" fontId="0" fillId="2" borderId="6" xfId="0" applyFont="1" applyFill="1" applyBorder="1" applyAlignment="1">
      <alignment horizontal="center"/>
    </xf>
    <xf numFmtId="0" fontId="0" fillId="2" borderId="7" xfId="0" applyFont="1" applyFill="1" applyBorder="1" applyAlignment="1">
      <alignment horizontal="center"/>
    </xf>
    <xf numFmtId="0" fontId="0" fillId="2" borderId="8" xfId="0" applyFont="1" applyFill="1" applyBorder="1" applyAlignment="1">
      <alignment horizontal="center"/>
    </xf>
    <xf numFmtId="0" fontId="0" fillId="2" borderId="9" xfId="0" applyFont="1" applyFill="1" applyBorder="1" applyAlignment="1">
      <alignment horizontal="center"/>
    </xf>
    <xf numFmtId="0" fontId="0" fillId="2" borderId="10" xfId="0" applyFont="1" applyFill="1" applyBorder="1" applyAlignment="1">
      <alignment horizontal="center"/>
    </xf>
    <xf numFmtId="0" fontId="7" fillId="2" borderId="10" xfId="0" applyFont="1" applyFill="1" applyBorder="1" applyAlignment="1">
      <alignment horizontal="center"/>
    </xf>
    <xf numFmtId="0" fontId="7" fillId="2" borderId="11" xfId="0" applyFont="1" applyFill="1" applyBorder="1" applyAlignment="1">
      <alignment horizontal="center"/>
    </xf>
    <xf numFmtId="0" fontId="7" fillId="2" borderId="4" xfId="0" applyFont="1" applyFill="1" applyBorder="1" applyAlignment="1">
      <alignment vertical="center"/>
    </xf>
    <xf numFmtId="0" fontId="0" fillId="2" borderId="12" xfId="0" applyFont="1" applyFill="1" applyBorder="1" applyAlignment="1">
      <alignment horizontal="center"/>
    </xf>
    <xf numFmtId="0" fontId="0" fillId="2" borderId="12" xfId="0" applyFont="1" applyFill="1" applyBorder="1" applyAlignment="1">
      <alignment horizontal="left"/>
    </xf>
    <xf numFmtId="0" fontId="0" fillId="2" borderId="13" xfId="0" applyFont="1" applyFill="1" applyBorder="1" applyAlignment="1">
      <alignment horizontal="center"/>
    </xf>
    <xf numFmtId="0" fontId="0" fillId="0" borderId="14" xfId="0" applyFont="1" applyFill="1" applyBorder="1" applyAlignment="1">
      <alignment horizontal="center"/>
    </xf>
    <xf numFmtId="0" fontId="0" fillId="0" borderId="15" xfId="0" applyFont="1" applyFill="1" applyBorder="1" applyAlignment="1">
      <alignment/>
    </xf>
    <xf numFmtId="0" fontId="0" fillId="0" borderId="16" xfId="0" applyFont="1" applyFill="1" applyBorder="1" applyAlignment="1">
      <alignment horizontal="center"/>
    </xf>
    <xf numFmtId="0" fontId="0" fillId="0" borderId="17" xfId="0" applyFont="1" applyFill="1" applyBorder="1" applyAlignment="1">
      <alignment horizontal="center"/>
    </xf>
    <xf numFmtId="0" fontId="7" fillId="2" borderId="18" xfId="0" applyFont="1" applyFill="1" applyBorder="1" applyAlignment="1">
      <alignment vertical="center"/>
    </xf>
    <xf numFmtId="0" fontId="0" fillId="2" borderId="19" xfId="0" applyFont="1" applyFill="1" applyBorder="1" applyAlignment="1">
      <alignment horizontal="center"/>
    </xf>
    <xf numFmtId="0" fontId="0" fillId="2" borderId="19" xfId="0" applyFont="1" applyFill="1" applyBorder="1" applyAlignment="1">
      <alignment horizontal="left"/>
    </xf>
    <xf numFmtId="0" fontId="0" fillId="2" borderId="20" xfId="0" applyFont="1" applyFill="1" applyBorder="1" applyAlignment="1">
      <alignment horizontal="center"/>
    </xf>
    <xf numFmtId="0" fontId="0" fillId="0" borderId="0" xfId="0" applyAlignment="1" applyProtection="1">
      <alignment horizontal="centerContinuous"/>
      <protection/>
    </xf>
    <xf numFmtId="0" fontId="0" fillId="0" borderId="0" xfId="0" applyAlignment="1" applyProtection="1">
      <alignment/>
      <protection/>
    </xf>
    <xf numFmtId="0" fontId="0" fillId="0" borderId="21" xfId="0" applyBorder="1" applyAlignment="1" applyProtection="1">
      <alignment/>
      <protection/>
    </xf>
    <xf numFmtId="0" fontId="2" fillId="0" borderId="0" xfId="0" applyFont="1" applyAlignment="1" applyProtection="1">
      <alignment/>
      <protection/>
    </xf>
    <xf numFmtId="0" fontId="0" fillId="2" borderId="22" xfId="0" applyFill="1" applyBorder="1" applyAlignment="1" applyProtection="1">
      <alignment/>
      <protection/>
    </xf>
    <xf numFmtId="0" fontId="1" fillId="0" borderId="0" xfId="0" applyFont="1" applyAlignment="1" applyProtection="1">
      <alignment/>
      <protection/>
    </xf>
    <xf numFmtId="0" fontId="3" fillId="0" borderId="0" xfId="0" applyFont="1" applyAlignment="1" applyProtection="1">
      <alignment/>
      <protection/>
    </xf>
    <xf numFmtId="165" fontId="0" fillId="0" borderId="0" xfId="0" applyNumberFormat="1" applyAlignment="1">
      <alignment horizontal="center"/>
    </xf>
    <xf numFmtId="0" fontId="0" fillId="0" borderId="23" xfId="0" applyBorder="1" applyAlignment="1">
      <alignment horizontal="right"/>
    </xf>
    <xf numFmtId="0" fontId="0" fillId="0" borderId="22" xfId="0" applyBorder="1" applyAlignment="1">
      <alignment horizontal="right"/>
    </xf>
    <xf numFmtId="0" fontId="0" fillId="2" borderId="24" xfId="0" applyFill="1" applyBorder="1" applyAlignment="1">
      <alignment horizontal="center"/>
    </xf>
    <xf numFmtId="0" fontId="0" fillId="2" borderId="25" xfId="0" applyFill="1" applyBorder="1" applyAlignment="1">
      <alignment horizontal="center"/>
    </xf>
    <xf numFmtId="0" fontId="0" fillId="0" borderId="0" xfId="0" applyFill="1" applyAlignment="1">
      <alignment horizontal="left" vertical="center" wrapText="1"/>
    </xf>
    <xf numFmtId="165" fontId="0" fillId="0" borderId="26" xfId="0" applyNumberFormat="1" applyBorder="1" applyAlignment="1">
      <alignment horizontal="center"/>
    </xf>
    <xf numFmtId="165" fontId="0" fillId="0" borderId="27" xfId="0" applyNumberFormat="1" applyBorder="1" applyAlignment="1">
      <alignment horizontal="center"/>
    </xf>
    <xf numFmtId="165" fontId="0" fillId="0" borderId="28" xfId="0" applyNumberFormat="1" applyBorder="1" applyAlignment="1">
      <alignment horizontal="center"/>
    </xf>
    <xf numFmtId="0" fontId="4" fillId="0" borderId="0" xfId="0" applyFont="1" applyAlignment="1">
      <alignment horizontal="left" vertical="center" wrapText="1"/>
    </xf>
    <xf numFmtId="0" fontId="15" fillId="0" borderId="0" xfId="0" applyFont="1" applyAlignment="1">
      <alignment horizontal="left" vertical="center" wrapText="1"/>
    </xf>
    <xf numFmtId="0" fontId="0" fillId="2" borderId="29" xfId="0" applyFont="1" applyFill="1" applyBorder="1" applyAlignment="1">
      <alignment horizontal="center" wrapText="1"/>
    </xf>
    <xf numFmtId="0" fontId="2" fillId="0" borderId="0" xfId="0" applyFont="1" applyFill="1" applyAlignment="1">
      <alignment/>
    </xf>
    <xf numFmtId="0" fontId="16" fillId="2" borderId="0" xfId="0" applyFont="1" applyFill="1" applyAlignment="1" applyProtection="1">
      <alignment/>
      <protection/>
    </xf>
    <xf numFmtId="0" fontId="16" fillId="2" borderId="23" xfId="0" applyFont="1" applyFill="1" applyBorder="1" applyAlignment="1" applyProtection="1">
      <alignment/>
      <protection/>
    </xf>
    <xf numFmtId="0" fontId="16" fillId="2" borderId="22" xfId="0" applyFont="1" applyFill="1" applyBorder="1" applyAlignment="1" applyProtection="1">
      <alignment/>
      <protection/>
    </xf>
    <xf numFmtId="0" fontId="21" fillId="2" borderId="30" xfId="0" applyFont="1" applyFill="1" applyBorder="1" applyAlignment="1" applyProtection="1">
      <alignment/>
      <protection/>
    </xf>
    <xf numFmtId="0" fontId="0" fillId="2" borderId="31" xfId="0" applyFill="1" applyBorder="1" applyAlignment="1" applyProtection="1">
      <alignment/>
      <protection/>
    </xf>
    <xf numFmtId="0" fontId="0" fillId="2" borderId="32" xfId="0" applyFill="1" applyBorder="1" applyAlignment="1" applyProtection="1">
      <alignment/>
      <protection/>
    </xf>
    <xf numFmtId="0" fontId="2" fillId="2" borderId="32" xfId="0" applyFont="1" applyFill="1" applyBorder="1" applyAlignment="1" applyProtection="1">
      <alignment/>
      <protection/>
    </xf>
    <xf numFmtId="0" fontId="2" fillId="2" borderId="23" xfId="0" applyFont="1" applyFill="1" applyBorder="1" applyAlignment="1" applyProtection="1">
      <alignment/>
      <protection/>
    </xf>
    <xf numFmtId="0" fontId="0" fillId="2" borderId="33" xfId="0" applyFill="1" applyBorder="1" applyAlignment="1" applyProtection="1">
      <alignment/>
      <protection/>
    </xf>
    <xf numFmtId="0" fontId="21" fillId="2" borderId="30" xfId="0" applyFont="1" applyFill="1" applyBorder="1" applyAlignment="1" applyProtection="1">
      <alignment/>
      <protection/>
    </xf>
    <xf numFmtId="0" fontId="16" fillId="2" borderId="1" xfId="0" applyFont="1" applyFill="1" applyBorder="1" applyAlignment="1" applyProtection="1">
      <alignment/>
      <protection/>
    </xf>
    <xf numFmtId="0" fontId="21" fillId="2" borderId="31" xfId="0" applyFont="1" applyFill="1" applyBorder="1" applyAlignment="1" applyProtection="1">
      <alignment/>
      <protection/>
    </xf>
    <xf numFmtId="0" fontId="16" fillId="2" borderId="0" xfId="0" applyFont="1" applyFill="1" applyBorder="1" applyAlignment="1" applyProtection="1">
      <alignment/>
      <protection/>
    </xf>
    <xf numFmtId="0" fontId="16" fillId="2" borderId="32" xfId="0" applyFont="1" applyFill="1" applyBorder="1" applyAlignment="1" applyProtection="1">
      <alignment/>
      <protection/>
    </xf>
    <xf numFmtId="0" fontId="16" fillId="2" borderId="23" xfId="0" applyFont="1" applyFill="1" applyBorder="1" applyAlignment="1" applyProtection="1">
      <alignment/>
      <protection/>
    </xf>
    <xf numFmtId="0" fontId="16" fillId="2" borderId="21" xfId="0" applyFont="1" applyFill="1" applyBorder="1" applyAlignment="1" applyProtection="1">
      <alignment/>
      <protection/>
    </xf>
    <xf numFmtId="0" fontId="16" fillId="2" borderId="33" xfId="0" applyFont="1" applyFill="1" applyBorder="1" applyAlignment="1" applyProtection="1">
      <alignment/>
      <protection/>
    </xf>
    <xf numFmtId="0" fontId="16" fillId="2" borderId="22" xfId="0" applyFont="1" applyFill="1" applyBorder="1" applyAlignment="1" applyProtection="1">
      <alignment/>
      <protection/>
    </xf>
    <xf numFmtId="0" fontId="16" fillId="2" borderId="30" xfId="0" applyFont="1" applyFill="1" applyBorder="1" applyAlignment="1" applyProtection="1">
      <alignment/>
      <protection/>
    </xf>
    <xf numFmtId="0" fontId="21" fillId="2" borderId="1" xfId="0" applyFont="1" applyFill="1" applyBorder="1" applyAlignment="1" applyProtection="1">
      <alignment/>
      <protection/>
    </xf>
    <xf numFmtId="0" fontId="21" fillId="0" borderId="23" xfId="0" applyFont="1" applyFill="1" applyBorder="1" applyAlignment="1" applyProtection="1">
      <alignment horizontal="center"/>
      <protection/>
    </xf>
    <xf numFmtId="0" fontId="16" fillId="0" borderId="0" xfId="0" applyFont="1" applyFill="1" applyBorder="1" applyAlignment="1" applyProtection="1">
      <alignment/>
      <protection/>
    </xf>
    <xf numFmtId="0" fontId="16" fillId="0" borderId="23" xfId="0" applyFont="1" applyFill="1" applyBorder="1" applyAlignment="1" applyProtection="1">
      <alignment/>
      <protection/>
    </xf>
    <xf numFmtId="0" fontId="21" fillId="2" borderId="23" xfId="0" applyFont="1" applyFill="1" applyBorder="1" applyAlignment="1" applyProtection="1">
      <alignment/>
      <protection/>
    </xf>
    <xf numFmtId="0" fontId="21" fillId="2" borderId="22" xfId="0" applyFont="1" applyFill="1" applyBorder="1" applyAlignment="1" applyProtection="1">
      <alignment/>
      <protection/>
    </xf>
    <xf numFmtId="0" fontId="19" fillId="0" borderId="34" xfId="0" applyFont="1" applyFill="1" applyBorder="1" applyAlignment="1">
      <alignment vertical="center"/>
    </xf>
    <xf numFmtId="0" fontId="2" fillId="0" borderId="35" xfId="0" applyFont="1" applyFill="1" applyBorder="1" applyAlignment="1">
      <alignment vertical="center"/>
    </xf>
    <xf numFmtId="0" fontId="2" fillId="0" borderId="36" xfId="0" applyFont="1" applyFill="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19" fillId="0" borderId="39" xfId="0" applyFont="1" applyFill="1" applyBorder="1" applyAlignment="1">
      <alignment vertical="center"/>
    </xf>
    <xf numFmtId="0" fontId="2" fillId="0" borderId="40" xfId="0" applyFont="1" applyFill="1" applyBorder="1" applyAlignment="1">
      <alignment horizontal="center" vertical="center"/>
    </xf>
    <xf numFmtId="0" fontId="19" fillId="0" borderId="39" xfId="0" applyFont="1" applyBorder="1" applyAlignment="1">
      <alignment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19" fillId="0" borderId="42" xfId="0" applyFont="1" applyFill="1" applyBorder="1" applyAlignment="1">
      <alignment vertical="center"/>
    </xf>
    <xf numFmtId="0" fontId="2" fillId="0" borderId="43" xfId="0" applyFont="1" applyFill="1" applyBorder="1" applyAlignment="1">
      <alignment horizontal="center" vertical="center"/>
    </xf>
    <xf numFmtId="0" fontId="19" fillId="0" borderId="44" xfId="0" applyFont="1" applyFill="1" applyBorder="1" applyAlignment="1">
      <alignment vertical="center"/>
    </xf>
    <xf numFmtId="0" fontId="2" fillId="0" borderId="45" xfId="0" applyFont="1" applyFill="1" applyBorder="1" applyAlignment="1">
      <alignment horizontal="center" vertical="center"/>
    </xf>
    <xf numFmtId="0" fontId="2" fillId="0" borderId="46" xfId="0" applyFont="1" applyBorder="1" applyAlignment="1">
      <alignment horizontal="left" vertical="center" indent="1"/>
    </xf>
    <xf numFmtId="0" fontId="2" fillId="0" borderId="47" xfId="0" applyFont="1" applyBorder="1" applyAlignment="1">
      <alignment horizontal="left" vertical="center" indent="1"/>
    </xf>
    <xf numFmtId="0" fontId="2" fillId="0" borderId="48" xfId="0" applyFont="1" applyBorder="1" applyAlignment="1">
      <alignment horizontal="left" vertical="center" indent="1"/>
    </xf>
    <xf numFmtId="164" fontId="2" fillId="0" borderId="49" xfId="0" applyNumberFormat="1" applyFont="1" applyBorder="1" applyAlignment="1">
      <alignment horizontal="center" vertical="center"/>
    </xf>
    <xf numFmtId="164" fontId="2" fillId="0" borderId="50" xfId="0" applyNumberFormat="1" applyFont="1" applyBorder="1" applyAlignment="1">
      <alignment horizontal="center" vertical="center"/>
    </xf>
    <xf numFmtId="164" fontId="2" fillId="0" borderId="51" xfId="0" applyNumberFormat="1" applyFont="1" applyFill="1" applyBorder="1" applyAlignment="1">
      <alignment horizontal="center" vertical="center"/>
    </xf>
    <xf numFmtId="164" fontId="2" fillId="0" borderId="51" xfId="0" applyNumberFormat="1" applyFont="1" applyBorder="1" applyAlignment="1">
      <alignment horizontal="center" vertical="center"/>
    </xf>
    <xf numFmtId="164" fontId="2" fillId="0" borderId="52" xfId="0" applyNumberFormat="1" applyFont="1" applyBorder="1" applyAlignment="1">
      <alignment horizontal="center" vertical="center"/>
    </xf>
    <xf numFmtId="164" fontId="2" fillId="0" borderId="53" xfId="0" applyNumberFormat="1" applyFont="1" applyFill="1" applyBorder="1" applyAlignment="1">
      <alignment horizontal="center" vertical="center"/>
    </xf>
    <xf numFmtId="164" fontId="2" fillId="0" borderId="54" xfId="0" applyNumberFormat="1" applyFont="1" applyFill="1" applyBorder="1" applyAlignment="1">
      <alignment horizontal="center" vertical="center"/>
    </xf>
    <xf numFmtId="0" fontId="16" fillId="0" borderId="0" xfId="0" applyFont="1" applyAlignment="1" applyProtection="1">
      <alignment/>
      <protection/>
    </xf>
    <xf numFmtId="0" fontId="24" fillId="0" borderId="0" xfId="0" applyFont="1" applyAlignment="1" applyProtection="1">
      <alignment/>
      <protection/>
    </xf>
    <xf numFmtId="0" fontId="7" fillId="0" borderId="0" xfId="0" applyFont="1" applyAlignment="1" applyProtection="1">
      <alignment horizontal="right" indent="1"/>
      <protection/>
    </xf>
    <xf numFmtId="3" fontId="25" fillId="3" borderId="33" xfId="0" applyNumberFormat="1" applyFont="1" applyFill="1" applyBorder="1" applyAlignment="1" applyProtection="1">
      <alignment horizontal="center"/>
      <protection/>
    </xf>
    <xf numFmtId="0" fontId="16" fillId="2" borderId="31" xfId="0" applyFont="1" applyFill="1" applyBorder="1" applyAlignment="1" applyProtection="1">
      <alignment/>
      <protection/>
    </xf>
    <xf numFmtId="0" fontId="21" fillId="2" borderId="28" xfId="0" applyFont="1" applyFill="1" applyBorder="1" applyAlignment="1" applyProtection="1">
      <alignment/>
      <protection/>
    </xf>
    <xf numFmtId="0" fontId="2" fillId="2" borderId="33" xfId="0" applyFont="1" applyFill="1" applyBorder="1" applyAlignment="1" applyProtection="1">
      <alignment/>
      <protection/>
    </xf>
    <xf numFmtId="0" fontId="2" fillId="0" borderId="39" xfId="0" applyFont="1" applyBorder="1" applyAlignment="1">
      <alignment vertical="center"/>
    </xf>
    <xf numFmtId="164" fontId="2" fillId="0" borderId="55" xfId="0" applyNumberFormat="1" applyFont="1" applyBorder="1" applyAlignment="1">
      <alignment horizontal="center" vertical="center"/>
    </xf>
    <xf numFmtId="0" fontId="2" fillId="0" borderId="56" xfId="0" applyFont="1" applyBorder="1" applyAlignment="1">
      <alignment horizontal="center" vertical="center"/>
    </xf>
    <xf numFmtId="0" fontId="2" fillId="0" borderId="46" xfId="0" applyFont="1" applyBorder="1" applyAlignment="1">
      <alignment vertical="center"/>
    </xf>
    <xf numFmtId="164" fontId="2" fillId="0" borderId="2" xfId="0" applyNumberFormat="1" applyFont="1" applyBorder="1" applyAlignment="1">
      <alignment horizontal="center" vertical="center"/>
    </xf>
    <xf numFmtId="0" fontId="2" fillId="0" borderId="3" xfId="0" applyFont="1" applyBorder="1" applyAlignment="1">
      <alignment horizontal="center" vertical="center"/>
    </xf>
    <xf numFmtId="164" fontId="2" fillId="0" borderId="2" xfId="0" applyNumberFormat="1" applyFont="1" applyFill="1" applyBorder="1" applyAlignment="1">
      <alignment horizontal="center" vertical="center"/>
    </xf>
    <xf numFmtId="0" fontId="2" fillId="0" borderId="3" xfId="0" applyFont="1" applyFill="1" applyBorder="1" applyAlignment="1">
      <alignment horizontal="center" vertical="center"/>
    </xf>
    <xf numFmtId="0" fontId="2" fillId="0" borderId="57" xfId="0" applyFont="1" applyBorder="1" applyAlignment="1">
      <alignment vertical="center"/>
    </xf>
    <xf numFmtId="164" fontId="2" fillId="0" borderId="5" xfId="0" applyNumberFormat="1" applyFont="1" applyBorder="1" applyAlignment="1">
      <alignment horizontal="center" vertical="center"/>
    </xf>
    <xf numFmtId="0" fontId="2" fillId="0" borderId="14" xfId="0" applyFont="1" applyBorder="1" applyAlignment="1">
      <alignment horizontal="center" vertical="center"/>
    </xf>
    <xf numFmtId="0" fontId="0" fillId="0" borderId="6" xfId="20" applyFont="1" applyBorder="1">
      <alignment/>
      <protection/>
    </xf>
    <xf numFmtId="0" fontId="0" fillId="0" borderId="58" xfId="20" applyFont="1" applyBorder="1">
      <alignment/>
      <protection/>
    </xf>
    <xf numFmtId="0" fontId="0" fillId="4" borderId="59" xfId="20" applyFont="1" applyFill="1" applyBorder="1" applyAlignment="1">
      <alignment horizontal="center"/>
      <protection/>
    </xf>
    <xf numFmtId="0" fontId="0" fillId="5" borderId="59" xfId="20" applyFont="1" applyFill="1" applyBorder="1" applyAlignment="1" quotePrefix="1">
      <alignment horizontal="center"/>
      <protection/>
    </xf>
    <xf numFmtId="0" fontId="0" fillId="2" borderId="60" xfId="20" applyFont="1" applyFill="1" applyBorder="1" applyAlignment="1">
      <alignment horizontal="right"/>
      <protection/>
    </xf>
    <xf numFmtId="0" fontId="0" fillId="2" borderId="61" xfId="20" applyFont="1" applyFill="1" applyBorder="1" applyAlignment="1">
      <alignment horizontal="right"/>
      <protection/>
    </xf>
    <xf numFmtId="0" fontId="0" fillId="4" borderId="62" xfId="20" applyFont="1" applyFill="1" applyBorder="1" applyAlignment="1">
      <alignment horizontal="center"/>
      <protection/>
    </xf>
    <xf numFmtId="0" fontId="0" fillId="0" borderId="63" xfId="20" applyFont="1" applyBorder="1">
      <alignment/>
      <protection/>
    </xf>
    <xf numFmtId="0" fontId="0" fillId="0" borderId="64" xfId="20" applyFont="1" applyBorder="1">
      <alignment/>
      <protection/>
    </xf>
    <xf numFmtId="0" fontId="0" fillId="4" borderId="65" xfId="20" applyFont="1" applyFill="1" applyBorder="1" applyAlignment="1">
      <alignment horizontal="center"/>
      <protection/>
    </xf>
    <xf numFmtId="0" fontId="0" fillId="5" borderId="65" xfId="20" applyFont="1" applyFill="1" applyBorder="1" applyAlignment="1">
      <alignment horizontal="center"/>
      <protection/>
    </xf>
    <xf numFmtId="0" fontId="0" fillId="2" borderId="66" xfId="20" applyFont="1" applyFill="1" applyBorder="1" applyAlignment="1">
      <alignment horizontal="center"/>
      <protection/>
    </xf>
    <xf numFmtId="0" fontId="0" fillId="2" borderId="67" xfId="20" applyFont="1" applyFill="1" applyBorder="1" applyAlignment="1">
      <alignment horizontal="center"/>
      <protection/>
    </xf>
    <xf numFmtId="0" fontId="0" fillId="4" borderId="68" xfId="20" applyFont="1" applyFill="1" applyBorder="1" applyAlignment="1">
      <alignment horizontal="center"/>
      <protection/>
    </xf>
    <xf numFmtId="0" fontId="0" fillId="4" borderId="65" xfId="20" applyFont="1" applyFill="1" applyBorder="1" applyAlignment="1" applyProtection="1">
      <alignment horizontal="center"/>
      <protection/>
    </xf>
    <xf numFmtId="0" fontId="0" fillId="2" borderId="69" xfId="20" applyFont="1" applyFill="1" applyBorder="1" applyAlignment="1">
      <alignment horizontal="center"/>
      <protection/>
    </xf>
    <xf numFmtId="0" fontId="0" fillId="4" borderId="68" xfId="20" applyFont="1" applyFill="1" applyBorder="1" applyAlignment="1" applyProtection="1">
      <alignment horizontal="center"/>
      <protection/>
    </xf>
    <xf numFmtId="0" fontId="0" fillId="0" borderId="70" xfId="20" applyFont="1" applyBorder="1">
      <alignment/>
      <protection/>
    </xf>
    <xf numFmtId="0" fontId="0" fillId="0" borderId="71" xfId="20" applyFont="1" applyBorder="1" applyAlignment="1" applyProtection="1" quotePrefix="1">
      <alignment horizontal="left"/>
      <protection/>
    </xf>
    <xf numFmtId="0" fontId="0" fillId="4" borderId="72" xfId="20" applyFont="1" applyFill="1" applyBorder="1" applyAlignment="1" applyProtection="1">
      <alignment horizontal="center"/>
      <protection/>
    </xf>
    <xf numFmtId="0" fontId="0" fillId="5" borderId="72" xfId="20" applyFont="1" applyFill="1" applyBorder="1" applyAlignment="1" applyProtection="1">
      <alignment horizontal="center"/>
      <protection/>
    </xf>
    <xf numFmtId="0" fontId="0" fillId="2" borderId="73" xfId="20" applyFont="1" applyFill="1" applyBorder="1" applyAlignment="1" applyProtection="1">
      <alignment horizontal="center"/>
      <protection/>
    </xf>
    <xf numFmtId="0" fontId="0" fillId="2" borderId="74" xfId="20" applyFont="1" applyFill="1" applyBorder="1" applyAlignment="1" applyProtection="1">
      <alignment horizontal="center"/>
      <protection/>
    </xf>
    <xf numFmtId="0" fontId="0" fillId="4" borderId="75" xfId="20" applyFont="1" applyFill="1" applyBorder="1" applyAlignment="1" applyProtection="1">
      <alignment horizontal="center"/>
      <protection/>
    </xf>
    <xf numFmtId="0" fontId="0" fillId="0" borderId="0" xfId="20" applyFont="1">
      <alignment/>
      <protection/>
    </xf>
    <xf numFmtId="0" fontId="0" fillId="0" borderId="0" xfId="20" applyFont="1" applyAlignment="1">
      <alignment horizontal="center"/>
      <protection/>
    </xf>
    <xf numFmtId="0" fontId="15" fillId="0" borderId="0" xfId="20" applyFont="1">
      <alignment/>
      <protection/>
    </xf>
    <xf numFmtId="0" fontId="22" fillId="0" borderId="0" xfId="20" applyFont="1" applyAlignment="1">
      <alignment horizontal="right"/>
      <protection/>
    </xf>
    <xf numFmtId="0" fontId="0" fillId="2" borderId="76" xfId="0" applyFill="1" applyBorder="1" applyAlignment="1">
      <alignment/>
    </xf>
    <xf numFmtId="0" fontId="0" fillId="2" borderId="77" xfId="0" applyFill="1" applyBorder="1" applyAlignment="1">
      <alignment/>
    </xf>
    <xf numFmtId="0" fontId="1" fillId="2" borderId="78" xfId="0" applyFont="1" applyFill="1" applyBorder="1" applyAlignment="1">
      <alignment horizontal="right"/>
    </xf>
    <xf numFmtId="0" fontId="30" fillId="2" borderId="79" xfId="0" applyFont="1" applyFill="1" applyBorder="1" applyAlignment="1">
      <alignment horizontal="center"/>
    </xf>
    <xf numFmtId="0" fontId="0" fillId="2" borderId="80" xfId="0" applyFill="1" applyBorder="1" applyAlignment="1">
      <alignment horizontal="left"/>
    </xf>
    <xf numFmtId="0" fontId="0" fillId="2" borderId="78" xfId="0" applyFill="1" applyBorder="1" applyAlignment="1">
      <alignment/>
    </xf>
    <xf numFmtId="0" fontId="30" fillId="2" borderId="81" xfId="0" applyFont="1" applyFill="1" applyBorder="1" applyAlignment="1">
      <alignment horizontal="center"/>
    </xf>
    <xf numFmtId="0" fontId="11" fillId="2" borderId="82" xfId="0" applyFont="1" applyFill="1" applyBorder="1" applyAlignment="1">
      <alignment horizontal="center"/>
    </xf>
    <xf numFmtId="165" fontId="0" fillId="2" borderId="83" xfId="0" applyNumberFormat="1" applyFill="1" applyBorder="1" applyAlignment="1">
      <alignment horizontal="center"/>
    </xf>
    <xf numFmtId="165" fontId="0" fillId="2" borderId="84" xfId="0" applyNumberFormat="1" applyFill="1" applyBorder="1" applyAlignment="1">
      <alignment horizontal="center"/>
    </xf>
    <xf numFmtId="165" fontId="0" fillId="2" borderId="85" xfId="0" applyNumberFormat="1" applyFill="1" applyBorder="1" applyAlignment="1">
      <alignment horizontal="center"/>
    </xf>
    <xf numFmtId="165" fontId="0" fillId="2" borderId="86" xfId="0" applyNumberFormat="1" applyFill="1" applyBorder="1" applyAlignment="1">
      <alignment horizontal="center"/>
    </xf>
    <xf numFmtId="0" fontId="11" fillId="2" borderId="87" xfId="0" applyFont="1" applyFill="1" applyBorder="1" applyAlignment="1">
      <alignment horizontal="center"/>
    </xf>
    <xf numFmtId="165" fontId="0" fillId="2" borderId="88" xfId="0" applyNumberFormat="1" applyFill="1" applyBorder="1" applyAlignment="1">
      <alignment horizontal="center"/>
    </xf>
    <xf numFmtId="165" fontId="0" fillId="2" borderId="89" xfId="0" applyNumberFormat="1" applyFill="1" applyBorder="1" applyAlignment="1">
      <alignment horizontal="center"/>
    </xf>
    <xf numFmtId="0" fontId="0" fillId="2" borderId="90" xfId="0" applyFill="1" applyBorder="1" applyAlignment="1">
      <alignment horizontal="center" vertical="center"/>
    </xf>
    <xf numFmtId="0" fontId="0" fillId="2" borderId="87" xfId="0" applyFill="1" applyBorder="1" applyAlignment="1">
      <alignment horizontal="center" vertical="center"/>
    </xf>
    <xf numFmtId="0" fontId="0" fillId="2" borderId="91" xfId="0" applyFill="1" applyBorder="1" applyAlignment="1">
      <alignment horizontal="center" vertical="center"/>
    </xf>
    <xf numFmtId="0" fontId="0" fillId="2" borderId="92" xfId="0" applyFill="1" applyBorder="1" applyAlignment="1">
      <alignment horizontal="center" vertical="center"/>
    </xf>
    <xf numFmtId="0" fontId="0" fillId="2" borderId="93" xfId="0" applyFill="1" applyBorder="1" applyAlignment="1">
      <alignment horizontal="center" vertical="center"/>
    </xf>
    <xf numFmtId="0" fontId="1" fillId="0" borderId="0" xfId="0" applyFont="1" applyAlignment="1">
      <alignment/>
    </xf>
    <xf numFmtId="0" fontId="0" fillId="0" borderId="0" xfId="0" applyAlignment="1">
      <alignment horizontal="right"/>
    </xf>
    <xf numFmtId="0" fontId="0" fillId="5" borderId="80" xfId="0" applyFill="1" applyBorder="1" applyAlignment="1" applyProtection="1">
      <alignment horizontal="right"/>
      <protection/>
    </xf>
    <xf numFmtId="0" fontId="33" fillId="5" borderId="78" xfId="0" applyFont="1" applyFill="1" applyBorder="1" applyAlignment="1" applyProtection="1">
      <alignment horizontal="center" vertical="center"/>
      <protection/>
    </xf>
    <xf numFmtId="0" fontId="33" fillId="5" borderId="94" xfId="0" applyFont="1" applyFill="1" applyBorder="1" applyAlignment="1" applyProtection="1">
      <alignment vertical="center"/>
      <protection/>
    </xf>
    <xf numFmtId="0" fontId="0" fillId="5" borderId="94" xfId="0" applyFill="1" applyBorder="1" applyAlignment="1" applyProtection="1">
      <alignment/>
      <protection/>
    </xf>
    <xf numFmtId="0" fontId="22" fillId="5" borderId="94" xfId="0" applyFont="1" applyFill="1" applyBorder="1" applyAlignment="1" applyProtection="1">
      <alignment/>
      <protection/>
    </xf>
    <xf numFmtId="0" fontId="33" fillId="5" borderId="78" xfId="0" applyFont="1" applyFill="1" applyBorder="1" applyAlignment="1" applyProtection="1">
      <alignment vertical="center"/>
      <protection/>
    </xf>
    <xf numFmtId="0" fontId="0" fillId="5" borderId="95" xfId="0" applyFill="1" applyBorder="1" applyAlignment="1" applyProtection="1">
      <alignment/>
      <protection/>
    </xf>
    <xf numFmtId="0" fontId="0" fillId="5" borderId="96" xfId="0" applyFill="1" applyBorder="1" applyAlignment="1" applyProtection="1">
      <alignment horizontal="right"/>
      <protection/>
    </xf>
    <xf numFmtId="0" fontId="0" fillId="2" borderId="97" xfId="0" applyFont="1" applyFill="1" applyBorder="1" applyAlignment="1" applyProtection="1">
      <alignment horizontal="center"/>
      <protection/>
    </xf>
    <xf numFmtId="0" fontId="0" fillId="2" borderId="98" xfId="0" applyFill="1" applyBorder="1" applyAlignment="1" applyProtection="1">
      <alignment horizontal="center"/>
      <protection/>
    </xf>
    <xf numFmtId="0" fontId="0" fillId="2" borderId="2" xfId="0" applyFill="1" applyBorder="1" applyAlignment="1" applyProtection="1">
      <alignment horizontal="center"/>
      <protection/>
    </xf>
    <xf numFmtId="0" fontId="0" fillId="2" borderId="99" xfId="0" applyFill="1" applyBorder="1" applyAlignment="1" applyProtection="1">
      <alignment horizontal="center"/>
      <protection/>
    </xf>
    <xf numFmtId="0" fontId="22" fillId="5" borderId="96" xfId="0" applyFont="1" applyFill="1" applyBorder="1" applyAlignment="1" applyProtection="1">
      <alignment horizontal="right" vertical="center" textRotation="90"/>
      <protection/>
    </xf>
    <xf numFmtId="0" fontId="0" fillId="2" borderId="12" xfId="0" applyFont="1" applyFill="1" applyBorder="1" applyAlignment="1" applyProtection="1">
      <alignment horizontal="center"/>
      <protection/>
    </xf>
    <xf numFmtId="3" fontId="2" fillId="0" borderId="2" xfId="0" applyNumberFormat="1" applyFont="1" applyBorder="1" applyAlignment="1" applyProtection="1">
      <alignment horizontal="center" vertical="center"/>
      <protection/>
    </xf>
    <xf numFmtId="3" fontId="2" fillId="0" borderId="99" xfId="0" applyNumberFormat="1" applyFont="1" applyBorder="1" applyAlignment="1" applyProtection="1">
      <alignment horizontal="center" vertical="center"/>
      <protection/>
    </xf>
    <xf numFmtId="0" fontId="0" fillId="2" borderId="2" xfId="0" applyFont="1" applyFill="1" applyBorder="1" applyAlignment="1" applyProtection="1">
      <alignment horizontal="center"/>
      <protection/>
    </xf>
    <xf numFmtId="0" fontId="22" fillId="5" borderId="96" xfId="0" applyFont="1" applyFill="1" applyBorder="1" applyAlignment="1" applyProtection="1">
      <alignment horizontal="right" textRotation="90"/>
      <protection/>
    </xf>
    <xf numFmtId="0" fontId="16" fillId="5" borderId="96" xfId="0" applyFont="1" applyFill="1" applyBorder="1" applyAlignment="1" applyProtection="1">
      <alignment horizontal="right"/>
      <protection/>
    </xf>
    <xf numFmtId="0" fontId="0" fillId="5" borderId="100" xfId="0" applyFill="1" applyBorder="1" applyAlignment="1" applyProtection="1">
      <alignment horizontal="right"/>
      <protection/>
    </xf>
    <xf numFmtId="0" fontId="0" fillId="2" borderId="101" xfId="0" applyFont="1" applyFill="1" applyBorder="1" applyAlignment="1" applyProtection="1">
      <alignment horizontal="center"/>
      <protection/>
    </xf>
    <xf numFmtId="3" fontId="2" fillId="0" borderId="101" xfId="0" applyNumberFormat="1" applyFont="1" applyBorder="1" applyAlignment="1" applyProtection="1">
      <alignment horizontal="center" vertical="center"/>
      <protection/>
    </xf>
    <xf numFmtId="3" fontId="2" fillId="0" borderId="102" xfId="0" applyNumberFormat="1" applyFont="1" applyBorder="1" applyAlignment="1" applyProtection="1">
      <alignment horizontal="center" vertical="center"/>
      <protection/>
    </xf>
    <xf numFmtId="0" fontId="0" fillId="0" borderId="0" xfId="0" applyAlignment="1" applyProtection="1">
      <alignment horizontal="center"/>
      <protection/>
    </xf>
    <xf numFmtId="0" fontId="0" fillId="0" borderId="0" xfId="0" applyFill="1" applyBorder="1" applyAlignment="1" applyProtection="1">
      <alignment horizontal="right"/>
      <protection/>
    </xf>
    <xf numFmtId="0" fontId="0" fillId="0" borderId="0" xfId="0" applyFont="1" applyFill="1" applyBorder="1" applyAlignment="1" applyProtection="1">
      <alignment horizontal="center"/>
      <protection/>
    </xf>
    <xf numFmtId="3" fontId="2" fillId="0" borderId="0" xfId="0" applyNumberFormat="1" applyFont="1" applyBorder="1" applyAlignment="1" applyProtection="1">
      <alignment horizontal="center" vertical="center"/>
      <protection/>
    </xf>
    <xf numFmtId="3" fontId="2" fillId="0" borderId="0" xfId="0" applyNumberFormat="1" applyFont="1" applyFill="1" applyBorder="1" applyAlignment="1" applyProtection="1">
      <alignment horizontal="center" vertical="center"/>
      <protection/>
    </xf>
    <xf numFmtId="0" fontId="0" fillId="0" borderId="0" xfId="0" applyFill="1" applyAlignment="1" applyProtection="1">
      <alignment horizontal="left"/>
      <protection/>
    </xf>
    <xf numFmtId="0" fontId="26" fillId="0" borderId="0" xfId="0" applyFont="1" applyFill="1" applyAlignment="1" applyProtection="1">
      <alignment horizontal="left"/>
      <protection/>
    </xf>
    <xf numFmtId="0" fontId="2" fillId="0" borderId="0" xfId="0" applyFont="1" applyFill="1" applyAlignment="1" applyProtection="1">
      <alignment horizontal="left"/>
      <protection/>
    </xf>
    <xf numFmtId="0" fontId="17" fillId="0" borderId="0" xfId="0" applyFont="1" applyFill="1" applyAlignment="1" applyProtection="1">
      <alignment horizontal="right"/>
      <protection/>
    </xf>
    <xf numFmtId="0" fontId="17" fillId="0" borderId="0" xfId="0" applyFont="1" applyFill="1" applyBorder="1" applyAlignment="1" applyProtection="1">
      <alignment horizontal="right"/>
      <protection/>
    </xf>
    <xf numFmtId="0" fontId="2" fillId="0" borderId="0" xfId="0" applyFont="1" applyFill="1" applyBorder="1" applyAlignment="1" applyProtection="1">
      <alignment horizontal="left"/>
      <protection/>
    </xf>
    <xf numFmtId="0" fontId="17" fillId="0" borderId="0" xfId="0" applyFont="1" applyFill="1" applyBorder="1" applyAlignment="1" applyProtection="1">
      <alignment horizontal="left"/>
      <protection/>
    </xf>
    <xf numFmtId="0" fontId="2" fillId="0" borderId="103" xfId="0" applyFont="1" applyFill="1" applyBorder="1" applyAlignment="1" applyProtection="1">
      <alignment horizontal="left"/>
      <protection/>
    </xf>
    <xf numFmtId="0" fontId="0" fillId="0" borderId="104" xfId="0" applyFill="1" applyBorder="1" applyAlignment="1" applyProtection="1">
      <alignment horizontal="left"/>
      <protection/>
    </xf>
    <xf numFmtId="0" fontId="27" fillId="0" borderId="104" xfId="0" applyFont="1" applyFill="1" applyBorder="1" applyAlignment="1" applyProtection="1">
      <alignment horizontal="left"/>
      <protection/>
    </xf>
    <xf numFmtId="0" fontId="2" fillId="0" borderId="0" xfId="0" applyFont="1" applyFill="1" applyBorder="1" applyAlignment="1" applyProtection="1">
      <alignment horizontal="centerContinuous"/>
      <protection/>
    </xf>
    <xf numFmtId="0" fontId="2" fillId="0" borderId="0" xfId="0" applyFont="1" applyFill="1" applyAlignment="1" applyProtection="1">
      <alignment horizontal="centerContinuous"/>
      <protection/>
    </xf>
    <xf numFmtId="0" fontId="2" fillId="0" borderId="0" xfId="0" applyFont="1" applyFill="1" applyBorder="1" applyAlignment="1" applyProtection="1">
      <alignment/>
      <protection/>
    </xf>
    <xf numFmtId="0" fontId="17" fillId="0" borderId="0" xfId="0" applyFont="1" applyFill="1" applyBorder="1" applyAlignment="1" applyProtection="1">
      <alignment horizontal="right" vertical="center"/>
      <protection/>
    </xf>
    <xf numFmtId="0" fontId="2" fillId="0" borderId="103" xfId="0" applyFont="1" applyFill="1" applyBorder="1" applyAlignment="1" applyProtection="1">
      <alignment horizontal="right" vertical="center"/>
      <protection/>
    </xf>
    <xf numFmtId="0" fontId="2" fillId="0" borderId="103" xfId="0" applyFont="1" applyFill="1" applyBorder="1" applyAlignment="1" applyProtection="1">
      <alignment/>
      <protection/>
    </xf>
    <xf numFmtId="0" fontId="26" fillId="0" borderId="0" xfId="0" applyFont="1" applyFill="1" applyBorder="1" applyAlignment="1" applyProtection="1">
      <alignment horizontal="left"/>
      <protection/>
    </xf>
    <xf numFmtId="0" fontId="0" fillId="0" borderId="0" xfId="0" applyFill="1" applyBorder="1" applyAlignment="1" applyProtection="1">
      <alignment horizontal="left"/>
      <protection/>
    </xf>
    <xf numFmtId="165" fontId="17" fillId="0" borderId="0" xfId="0" applyNumberFormat="1" applyFont="1" applyFill="1" applyBorder="1" applyAlignment="1" applyProtection="1">
      <alignment horizontal="center" vertical="center"/>
      <protection/>
    </xf>
    <xf numFmtId="0" fontId="17" fillId="0" borderId="0" xfId="0" applyFont="1" applyFill="1" applyBorder="1" applyAlignment="1" applyProtection="1">
      <alignment horizontal="left" vertical="center"/>
      <protection/>
    </xf>
    <xf numFmtId="1" fontId="17" fillId="0" borderId="0" xfId="0" applyNumberFormat="1" applyFont="1" applyFill="1" applyBorder="1" applyAlignment="1" applyProtection="1" quotePrefix="1">
      <alignment horizontal="right" vertical="center"/>
      <protection/>
    </xf>
    <xf numFmtId="0" fontId="2" fillId="0" borderId="0" xfId="0" applyFont="1" applyFill="1" applyBorder="1" applyAlignment="1" applyProtection="1">
      <alignment horizontal="center"/>
      <protection/>
    </xf>
    <xf numFmtId="0" fontId="17" fillId="0" borderId="0" xfId="0" applyFont="1" applyFill="1" applyBorder="1" applyAlignment="1" applyProtection="1">
      <alignment horizontal="center"/>
      <protection/>
    </xf>
    <xf numFmtId="0" fontId="2" fillId="0" borderId="0" xfId="0" applyFont="1" applyFill="1" applyAlignment="1" applyProtection="1">
      <alignment horizontal="center"/>
      <protection/>
    </xf>
    <xf numFmtId="165" fontId="16" fillId="0" borderId="0" xfId="0" applyNumberFormat="1"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1" fontId="2" fillId="0" borderId="0" xfId="0" applyNumberFormat="1" applyFont="1" applyFill="1" applyBorder="1" applyAlignment="1" applyProtection="1">
      <alignment horizontal="center" vertical="center"/>
      <protection/>
    </xf>
    <xf numFmtId="1" fontId="16" fillId="0" borderId="0"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165" fontId="16" fillId="0" borderId="0" xfId="0" applyNumberFormat="1" applyFont="1" applyFill="1" applyBorder="1" applyAlignment="1" applyProtection="1">
      <alignment horizontal="center"/>
      <protection/>
    </xf>
    <xf numFmtId="1" fontId="16" fillId="0" borderId="0" xfId="0" applyNumberFormat="1" applyFont="1" applyFill="1" applyBorder="1" applyAlignment="1" applyProtection="1">
      <alignment horizontal="right" vertical="center"/>
      <protection/>
    </xf>
    <xf numFmtId="0" fontId="2" fillId="0" borderId="0" xfId="0" applyFont="1" applyFill="1" applyBorder="1" applyAlignment="1" applyProtection="1">
      <alignment horizontal="left" vertical="center"/>
      <protection/>
    </xf>
    <xf numFmtId="165" fontId="2" fillId="0" borderId="0" xfId="0" applyNumberFormat="1" applyFont="1" applyFill="1" applyBorder="1" applyAlignment="1" applyProtection="1">
      <alignment horizontal="right" vertical="center"/>
      <protection/>
    </xf>
    <xf numFmtId="165" fontId="17" fillId="0" borderId="0" xfId="0" applyNumberFormat="1" applyFont="1" applyFill="1" applyBorder="1" applyAlignment="1" applyProtection="1">
      <alignment horizontal="left" vertical="center"/>
      <protection/>
    </xf>
    <xf numFmtId="165" fontId="2" fillId="0" borderId="0" xfId="0" applyNumberFormat="1" applyFont="1" applyFill="1" applyBorder="1" applyAlignment="1" applyProtection="1">
      <alignment horizontal="left" vertical="center"/>
      <protection/>
    </xf>
    <xf numFmtId="1" fontId="2" fillId="0" borderId="0" xfId="0" applyNumberFormat="1" applyFont="1" applyFill="1" applyBorder="1" applyAlignment="1" applyProtection="1">
      <alignment horizontal="left" vertical="center"/>
      <protection/>
    </xf>
    <xf numFmtId="1" fontId="2" fillId="0" borderId="0" xfId="0" applyNumberFormat="1" applyFont="1" applyFill="1" applyBorder="1" applyAlignment="1" applyProtection="1">
      <alignment horizontal="right" vertical="center"/>
      <protection/>
    </xf>
    <xf numFmtId="2" fontId="16" fillId="0" borderId="0" xfId="0" applyNumberFormat="1" applyFont="1" applyFill="1" applyBorder="1" applyAlignment="1" applyProtection="1">
      <alignment horizontal="center" vertical="center"/>
      <protection/>
    </xf>
    <xf numFmtId="0" fontId="16" fillId="0" borderId="0" xfId="0" applyFont="1" applyFill="1" applyBorder="1" applyAlignment="1" applyProtection="1">
      <alignment horizontal="center"/>
      <protection/>
    </xf>
    <xf numFmtId="2" fontId="16" fillId="0" borderId="0" xfId="0" applyNumberFormat="1" applyFont="1" applyFill="1" applyBorder="1" applyAlignment="1" applyProtection="1">
      <alignment horizontal="center"/>
      <protection/>
    </xf>
    <xf numFmtId="2" fontId="2" fillId="0" borderId="0" xfId="0" applyNumberFormat="1" applyFont="1" applyFill="1" applyBorder="1" applyAlignment="1" applyProtection="1">
      <alignment horizontal="left" vertical="center"/>
      <protection/>
    </xf>
    <xf numFmtId="0" fontId="2" fillId="0" borderId="0" xfId="0" applyFont="1" applyFill="1" applyBorder="1" applyAlignment="1" applyProtection="1">
      <alignment horizontal="right" vertical="center"/>
      <protection/>
    </xf>
    <xf numFmtId="0" fontId="19" fillId="0" borderId="0" xfId="0" applyFont="1" applyFill="1" applyBorder="1" applyAlignment="1" applyProtection="1">
      <alignment horizontal="right"/>
      <protection/>
    </xf>
    <xf numFmtId="0" fontId="0" fillId="0" borderId="103" xfId="0" applyFill="1" applyBorder="1" applyAlignment="1" applyProtection="1">
      <alignment horizontal="left"/>
      <protection/>
    </xf>
    <xf numFmtId="0" fontId="19" fillId="0" borderId="0" xfId="0" applyFont="1" applyFill="1" applyBorder="1" applyAlignment="1" applyProtection="1">
      <alignment horizontal="left"/>
      <protection/>
    </xf>
    <xf numFmtId="0" fontId="16" fillId="0" borderId="0" xfId="0" applyFont="1" applyFill="1" applyBorder="1" applyAlignment="1" applyProtection="1">
      <alignment horizontal="centerContinuous" vertical="center"/>
      <protection/>
    </xf>
    <xf numFmtId="0" fontId="26" fillId="0" borderId="104" xfId="0" applyFont="1" applyFill="1" applyBorder="1" applyAlignment="1" applyProtection="1">
      <alignment horizontal="centerContinuous"/>
      <protection/>
    </xf>
    <xf numFmtId="0" fontId="19" fillId="0" borderId="0" xfId="0" applyFont="1" applyFill="1" applyAlignment="1" applyProtection="1">
      <alignment horizontal="right"/>
      <protection/>
    </xf>
    <xf numFmtId="0" fontId="2" fillId="0" borderId="0" xfId="0" applyFont="1" applyFill="1" applyAlignment="1" applyProtection="1">
      <alignment horizontal="right"/>
      <protection/>
    </xf>
    <xf numFmtId="0" fontId="16" fillId="0" borderId="0" xfId="0" applyFont="1" applyFill="1" applyAlignment="1" applyProtection="1">
      <alignment horizontal="right"/>
      <protection/>
    </xf>
    <xf numFmtId="0" fontId="2" fillId="0" borderId="105" xfId="0" applyFont="1" applyFill="1" applyBorder="1" applyAlignment="1" applyProtection="1">
      <alignment horizontal="left"/>
      <protection/>
    </xf>
    <xf numFmtId="0" fontId="2" fillId="0" borderId="104" xfId="0" applyFont="1" applyFill="1" applyBorder="1" applyAlignment="1" applyProtection="1">
      <alignment horizontal="left"/>
      <protection/>
    </xf>
    <xf numFmtId="0" fontId="1" fillId="0" borderId="0" xfId="0" applyFont="1" applyFill="1" applyAlignment="1" applyProtection="1">
      <alignment horizontal="left"/>
      <protection/>
    </xf>
    <xf numFmtId="0" fontId="22" fillId="0" borderId="0" xfId="0" applyFont="1" applyFill="1" applyAlignment="1" applyProtection="1">
      <alignment horizontal="center" vertical="center"/>
      <protection/>
    </xf>
    <xf numFmtId="0" fontId="16" fillId="0" borderId="0" xfId="0" applyFont="1" applyFill="1" applyAlignment="1" applyProtection="1">
      <alignment horizontal="centerContinuous"/>
      <protection/>
    </xf>
    <xf numFmtId="2" fontId="2" fillId="0" borderId="106" xfId="0" applyNumberFormat="1" applyFont="1" applyBorder="1" applyAlignment="1">
      <alignment horizontal="center" vertical="center"/>
    </xf>
    <xf numFmtId="2" fontId="2" fillId="0" borderId="12" xfId="0" applyNumberFormat="1" applyFont="1" applyBorder="1" applyAlignment="1">
      <alignment horizontal="center" vertical="center"/>
    </xf>
    <xf numFmtId="2" fontId="2" fillId="0" borderId="107" xfId="0" applyNumberFormat="1" applyFont="1" applyBorder="1" applyAlignment="1">
      <alignment horizontal="center" vertical="center"/>
    </xf>
    <xf numFmtId="2" fontId="2" fillId="0" borderId="108" xfId="0" applyNumberFormat="1" applyFont="1" applyBorder="1" applyAlignment="1">
      <alignment horizontal="center" vertical="center"/>
    </xf>
    <xf numFmtId="2" fontId="2" fillId="0" borderId="2" xfId="0" applyNumberFormat="1" applyFont="1" applyBorder="1" applyAlignment="1">
      <alignment horizontal="center" vertical="center"/>
    </xf>
    <xf numFmtId="2" fontId="2" fillId="0" borderId="99" xfId="0" applyNumberFormat="1" applyFont="1" applyBorder="1" applyAlignment="1">
      <alignment horizontal="center" vertical="center"/>
    </xf>
    <xf numFmtId="2" fontId="2" fillId="0" borderId="109" xfId="0" applyNumberFormat="1" applyFont="1" applyBorder="1" applyAlignment="1">
      <alignment horizontal="center" vertical="center"/>
    </xf>
    <xf numFmtId="2" fontId="2" fillId="0" borderId="101" xfId="0" applyNumberFormat="1" applyFont="1" applyBorder="1" applyAlignment="1">
      <alignment horizontal="center" vertical="center"/>
    </xf>
    <xf numFmtId="2" fontId="2" fillId="0" borderId="102" xfId="0" applyNumberFormat="1" applyFont="1" applyBorder="1" applyAlignment="1">
      <alignment horizontal="center" vertical="center"/>
    </xf>
    <xf numFmtId="2" fontId="2" fillId="0" borderId="110" xfId="0" applyNumberFormat="1" applyFont="1" applyBorder="1" applyAlignment="1">
      <alignment horizontal="center" vertical="center"/>
    </xf>
    <xf numFmtId="2" fontId="2" fillId="0" borderId="19" xfId="0" applyNumberFormat="1" applyFont="1" applyBorder="1" applyAlignment="1">
      <alignment horizontal="center" vertical="center"/>
    </xf>
    <xf numFmtId="2" fontId="2" fillId="0" borderId="111" xfId="0" applyNumberFormat="1" applyFont="1" applyBorder="1" applyAlignment="1">
      <alignment horizontal="center" vertical="center"/>
    </xf>
    <xf numFmtId="0" fontId="34" fillId="0" borderId="0" xfId="0" applyFont="1" applyAlignment="1">
      <alignment horizontal="center"/>
    </xf>
    <xf numFmtId="0" fontId="34" fillId="0" borderId="0" xfId="0" applyFont="1" applyFill="1" applyBorder="1" applyAlignment="1">
      <alignment/>
    </xf>
    <xf numFmtId="165" fontId="34" fillId="0" borderId="0" xfId="20" applyNumberFormat="1" applyFont="1" applyFill="1" applyBorder="1" applyAlignment="1" applyProtection="1">
      <alignment horizontal="center"/>
      <protection/>
    </xf>
    <xf numFmtId="165" fontId="34" fillId="0" borderId="0" xfId="20" applyNumberFormat="1" applyFont="1" applyFill="1" applyBorder="1" applyAlignment="1">
      <alignment horizontal="center"/>
      <protection/>
    </xf>
    <xf numFmtId="0" fontId="34" fillId="6" borderId="0" xfId="0" applyFont="1" applyFill="1" applyAlignment="1">
      <alignment horizontal="left" indent="1"/>
    </xf>
    <xf numFmtId="0" fontId="34" fillId="6" borderId="0" xfId="0" applyFont="1" applyFill="1" applyBorder="1" applyAlignment="1">
      <alignment/>
    </xf>
    <xf numFmtId="165" fontId="35" fillId="4" borderId="112" xfId="20" applyNumberFormat="1" applyFont="1" applyFill="1" applyBorder="1" applyAlignment="1">
      <alignment horizontal="center"/>
      <protection/>
    </xf>
    <xf numFmtId="1" fontId="35" fillId="5" borderId="112" xfId="20" applyNumberFormat="1" applyFont="1" applyFill="1" applyBorder="1" applyAlignment="1">
      <alignment horizontal="center"/>
      <protection/>
    </xf>
    <xf numFmtId="9" fontId="35" fillId="2" borderId="113" xfId="20" applyNumberFormat="1" applyFont="1" applyFill="1" applyBorder="1" applyAlignment="1">
      <alignment horizontal="center"/>
      <protection/>
    </xf>
    <xf numFmtId="9" fontId="35" fillId="2" borderId="114" xfId="20" applyNumberFormat="1" applyFont="1" applyFill="1" applyBorder="1" applyAlignment="1">
      <alignment horizontal="center"/>
      <protection/>
    </xf>
    <xf numFmtId="165" fontId="35" fillId="4" borderId="36" xfId="20" applyNumberFormat="1" applyFont="1" applyFill="1" applyBorder="1" applyAlignment="1">
      <alignment horizontal="center"/>
      <protection/>
    </xf>
    <xf numFmtId="165" fontId="2" fillId="4" borderId="115" xfId="20" applyNumberFormat="1" applyFont="1" applyFill="1" applyBorder="1" applyAlignment="1" applyProtection="1" quotePrefix="1">
      <alignment horizontal="center"/>
      <protection/>
    </xf>
    <xf numFmtId="1" fontId="2" fillId="5" borderId="115" xfId="20" applyNumberFormat="1" applyFont="1" applyFill="1" applyBorder="1" applyAlignment="1">
      <alignment horizontal="center"/>
      <protection/>
    </xf>
    <xf numFmtId="9" fontId="2" fillId="2" borderId="116" xfId="0" applyNumberFormat="1" applyFont="1" applyFill="1" applyBorder="1" applyAlignment="1">
      <alignment horizontal="center"/>
    </xf>
    <xf numFmtId="9" fontId="2" fillId="2" borderId="117" xfId="0" applyNumberFormat="1" applyFont="1" applyFill="1" applyBorder="1" applyAlignment="1">
      <alignment horizontal="center"/>
    </xf>
    <xf numFmtId="165" fontId="2" fillId="4" borderId="37" xfId="20" applyNumberFormat="1" applyFont="1" applyFill="1" applyBorder="1" applyAlignment="1" applyProtection="1" quotePrefix="1">
      <alignment horizontal="center"/>
      <protection/>
    </xf>
    <xf numFmtId="165" fontId="2" fillId="4" borderId="115" xfId="20" applyNumberFormat="1" applyFont="1" applyFill="1" applyBorder="1" applyAlignment="1" applyProtection="1">
      <alignment horizontal="center"/>
      <protection/>
    </xf>
    <xf numFmtId="1" fontId="2" fillId="5" borderId="115" xfId="20" applyNumberFormat="1" applyFont="1" applyFill="1" applyBorder="1" applyAlignment="1" applyProtection="1">
      <alignment horizontal="center"/>
      <protection/>
    </xf>
    <xf numFmtId="165" fontId="2" fillId="4" borderId="37" xfId="20" applyNumberFormat="1" applyFont="1" applyFill="1" applyBorder="1" applyAlignment="1" applyProtection="1">
      <alignment horizontal="center"/>
      <protection/>
    </xf>
    <xf numFmtId="165" fontId="35" fillId="4" borderId="115" xfId="20" applyNumberFormat="1" applyFont="1" applyFill="1" applyBorder="1" applyAlignment="1" applyProtection="1">
      <alignment horizontal="center"/>
      <protection/>
    </xf>
    <xf numFmtId="1" fontId="35" fillId="5" borderId="115" xfId="20" applyNumberFormat="1" applyFont="1" applyFill="1" applyBorder="1" applyAlignment="1">
      <alignment horizontal="center"/>
      <protection/>
    </xf>
    <xf numFmtId="9" fontId="35" fillId="2" borderId="116" xfId="0" applyNumberFormat="1" applyFont="1" applyFill="1" applyBorder="1" applyAlignment="1">
      <alignment horizontal="center"/>
    </xf>
    <xf numFmtId="9" fontId="35" fillId="2" borderId="117" xfId="0" applyNumberFormat="1" applyFont="1" applyFill="1" applyBorder="1" applyAlignment="1">
      <alignment horizontal="center"/>
    </xf>
    <xf numFmtId="165" fontId="35" fillId="4" borderId="37" xfId="20" applyNumberFormat="1" applyFont="1" applyFill="1" applyBorder="1" applyAlignment="1" applyProtection="1">
      <alignment horizontal="center"/>
      <protection/>
    </xf>
    <xf numFmtId="9" fontId="2" fillId="2" borderId="116" xfId="20" applyNumberFormat="1" applyFont="1" applyFill="1" applyBorder="1" applyAlignment="1" applyProtection="1">
      <alignment horizontal="center"/>
      <protection/>
    </xf>
    <xf numFmtId="9" fontId="2" fillId="2" borderId="117" xfId="20" applyNumberFormat="1" applyFont="1" applyFill="1" applyBorder="1" applyAlignment="1" applyProtection="1">
      <alignment horizontal="center"/>
      <protection/>
    </xf>
    <xf numFmtId="165" fontId="2" fillId="4" borderId="115" xfId="20" applyNumberFormat="1" applyFont="1" applyFill="1" applyBorder="1" applyAlignment="1">
      <alignment horizontal="center"/>
      <protection/>
    </xf>
    <xf numFmtId="165" fontId="2" fillId="4" borderId="37" xfId="20" applyNumberFormat="1" applyFont="1" applyFill="1" applyBorder="1" applyAlignment="1">
      <alignment horizontal="center"/>
      <protection/>
    </xf>
    <xf numFmtId="165" fontId="35" fillId="4" borderId="115" xfId="20" applyNumberFormat="1" applyFont="1" applyFill="1" applyBorder="1" applyAlignment="1">
      <alignment horizontal="center"/>
      <protection/>
    </xf>
    <xf numFmtId="9" fontId="35" fillId="2" borderId="116" xfId="20" applyNumberFormat="1" applyFont="1" applyFill="1" applyBorder="1" applyAlignment="1">
      <alignment horizontal="center"/>
      <protection/>
    </xf>
    <xf numFmtId="9" fontId="35" fillId="2" borderId="117" xfId="20" applyNumberFormat="1" applyFont="1" applyFill="1" applyBorder="1" applyAlignment="1">
      <alignment horizontal="center"/>
      <protection/>
    </xf>
    <xf numFmtId="165" fontId="35" fillId="4" borderId="37" xfId="20" applyNumberFormat="1" applyFont="1" applyFill="1" applyBorder="1" applyAlignment="1">
      <alignment horizontal="center"/>
      <protection/>
    </xf>
    <xf numFmtId="9" fontId="2" fillId="2" borderId="116" xfId="20" applyNumberFormat="1" applyFont="1" applyFill="1" applyBorder="1" applyAlignment="1">
      <alignment horizontal="center"/>
      <protection/>
    </xf>
    <xf numFmtId="9" fontId="2" fillId="2" borderId="117" xfId="20" applyNumberFormat="1" applyFont="1" applyFill="1" applyBorder="1" applyAlignment="1">
      <alignment horizontal="center"/>
      <protection/>
    </xf>
    <xf numFmtId="165" fontId="2" fillId="4" borderId="118" xfId="20" applyNumberFormat="1" applyFont="1" applyFill="1" applyBorder="1" applyAlignment="1" applyProtection="1">
      <alignment horizontal="center"/>
      <protection/>
    </xf>
    <xf numFmtId="1" fontId="2" fillId="5" borderId="118" xfId="20" applyNumberFormat="1" applyFont="1" applyFill="1" applyBorder="1" applyAlignment="1">
      <alignment horizontal="center"/>
      <protection/>
    </xf>
    <xf numFmtId="9" fontId="2" fillId="2" borderId="119" xfId="20" applyNumberFormat="1" applyFont="1" applyFill="1" applyBorder="1" applyAlignment="1" applyProtection="1">
      <alignment horizontal="center"/>
      <protection/>
    </xf>
    <xf numFmtId="9" fontId="2" fillId="2" borderId="120" xfId="20" applyNumberFormat="1" applyFont="1" applyFill="1" applyBorder="1" applyAlignment="1" applyProtection="1">
      <alignment horizontal="center"/>
      <protection/>
    </xf>
    <xf numFmtId="165" fontId="2" fillId="4" borderId="121" xfId="20" applyNumberFormat="1" applyFont="1" applyFill="1" applyBorder="1" applyAlignment="1" applyProtection="1">
      <alignment horizontal="center"/>
      <protection/>
    </xf>
    <xf numFmtId="0" fontId="35" fillId="0" borderId="122" xfId="20" applyFont="1" applyBorder="1" applyAlignment="1" applyProtection="1">
      <alignment horizontal="left"/>
      <protection/>
    </xf>
    <xf numFmtId="0" fontId="35" fillId="0" borderId="35" xfId="20" applyFont="1" applyBorder="1">
      <alignment/>
      <protection/>
    </xf>
    <xf numFmtId="0" fontId="2" fillId="0" borderId="4" xfId="20" applyFont="1" applyBorder="1">
      <alignment/>
      <protection/>
    </xf>
    <xf numFmtId="0" fontId="2" fillId="0" borderId="49" xfId="20" applyFont="1" applyBorder="1" applyAlignment="1" applyProtection="1" quotePrefix="1">
      <alignment horizontal="left"/>
      <protection/>
    </xf>
    <xf numFmtId="0" fontId="2" fillId="0" borderId="49" xfId="20" applyFont="1" applyBorder="1" applyAlignment="1" applyProtection="1">
      <alignment horizontal="left"/>
      <protection/>
    </xf>
    <xf numFmtId="0" fontId="2" fillId="0" borderId="4" xfId="20" applyFont="1" applyBorder="1" applyAlignment="1" quotePrefix="1">
      <alignment horizontal="left"/>
      <protection/>
    </xf>
    <xf numFmtId="0" fontId="2" fillId="0" borderId="4" xfId="20" applyFont="1" applyBorder="1" applyAlignment="1" applyProtection="1" quotePrefix="1">
      <alignment horizontal="left"/>
      <protection/>
    </xf>
    <xf numFmtId="0" fontId="35" fillId="0" borderId="4" xfId="20" applyFont="1" applyBorder="1" applyAlignment="1" applyProtection="1">
      <alignment horizontal="left"/>
      <protection/>
    </xf>
    <xf numFmtId="0" fontId="35" fillId="0" borderId="49" xfId="20" applyFont="1" applyBorder="1" applyAlignment="1" applyProtection="1">
      <alignment horizontal="left"/>
      <protection/>
    </xf>
    <xf numFmtId="0" fontId="2" fillId="0" borderId="4" xfId="20" applyFont="1" applyBorder="1" applyAlignment="1" applyProtection="1">
      <alignment horizontal="left"/>
      <protection/>
    </xf>
    <xf numFmtId="0" fontId="2" fillId="0" borderId="4" xfId="20" applyFont="1" applyBorder="1" applyAlignment="1">
      <alignment horizontal="left"/>
      <protection/>
    </xf>
    <xf numFmtId="0" fontId="2" fillId="0" borderId="49" xfId="20" applyFont="1" applyBorder="1">
      <alignment/>
      <protection/>
    </xf>
    <xf numFmtId="0" fontId="35" fillId="0" borderId="49" xfId="20" applyFont="1" applyBorder="1">
      <alignment/>
      <protection/>
    </xf>
    <xf numFmtId="0" fontId="2" fillId="0" borderId="123" xfId="20" applyFont="1" applyBorder="1">
      <alignment/>
      <protection/>
    </xf>
    <xf numFmtId="0" fontId="2" fillId="0" borderId="124" xfId="20" applyFont="1" applyBorder="1" applyAlignment="1" applyProtection="1">
      <alignment horizontal="left"/>
      <protection/>
    </xf>
    <xf numFmtId="0" fontId="2" fillId="4" borderId="27" xfId="20" applyFont="1" applyFill="1" applyBorder="1" applyAlignment="1" applyProtection="1" quotePrefix="1">
      <alignment horizontal="left"/>
      <protection/>
    </xf>
    <xf numFmtId="0" fontId="2" fillId="4" borderId="27" xfId="20" applyFont="1" applyFill="1" applyBorder="1" applyAlignment="1" applyProtection="1">
      <alignment horizontal="left"/>
      <protection/>
    </xf>
    <xf numFmtId="0" fontId="2" fillId="0" borderId="0" xfId="20" applyFont="1" applyFill="1" applyBorder="1" applyAlignment="1" applyProtection="1" quotePrefix="1">
      <alignment horizontal="left"/>
      <protection/>
    </xf>
    <xf numFmtId="0" fontId="2" fillId="0" borderId="0" xfId="20" applyFont="1" applyFill="1" applyBorder="1" applyAlignment="1" applyProtection="1">
      <alignment horizontal="left"/>
      <protection/>
    </xf>
    <xf numFmtId="0" fontId="21" fillId="2" borderId="0" xfId="0" applyFont="1" applyFill="1" applyAlignment="1" applyProtection="1">
      <alignment/>
      <protection/>
    </xf>
    <xf numFmtId="0" fontId="16" fillId="2" borderId="21" xfId="0" applyFont="1" applyFill="1" applyBorder="1" applyAlignment="1" applyProtection="1">
      <alignment/>
      <protection/>
    </xf>
    <xf numFmtId="0" fontId="21" fillId="2" borderId="27" xfId="0" applyFont="1" applyFill="1" applyBorder="1" applyAlignment="1" applyProtection="1">
      <alignment/>
      <protection/>
    </xf>
    <xf numFmtId="0" fontId="16" fillId="2" borderId="0" xfId="0" applyFont="1" applyFill="1" applyBorder="1" applyAlignment="1" applyProtection="1">
      <alignment/>
      <protection/>
    </xf>
    <xf numFmtId="0" fontId="16" fillId="2" borderId="32" xfId="0" applyFont="1" applyFill="1" applyBorder="1" applyAlignment="1" applyProtection="1">
      <alignment/>
      <protection/>
    </xf>
    <xf numFmtId="0" fontId="16" fillId="2" borderId="0" xfId="0" applyFont="1" applyFill="1" applyAlignment="1" applyProtection="1">
      <alignment/>
      <protection/>
    </xf>
    <xf numFmtId="0" fontId="0" fillId="0" borderId="21" xfId="0" applyBorder="1" applyAlignment="1">
      <alignment/>
    </xf>
    <xf numFmtId="0" fontId="17" fillId="0" borderId="21" xfId="0" applyFont="1" applyBorder="1" applyAlignment="1">
      <alignment horizontal="right"/>
    </xf>
    <xf numFmtId="0" fontId="21" fillId="0" borderId="1" xfId="0" applyFont="1" applyBorder="1" applyAlignment="1">
      <alignment/>
    </xf>
    <xf numFmtId="0" fontId="0" fillId="0" borderId="1" xfId="0" applyBorder="1" applyAlignment="1">
      <alignment/>
    </xf>
    <xf numFmtId="0" fontId="2" fillId="0" borderId="0" xfId="0" applyFont="1" applyAlignment="1">
      <alignment/>
    </xf>
    <xf numFmtId="0" fontId="17" fillId="0" borderId="0" xfId="0" applyFont="1" applyAlignment="1">
      <alignment/>
    </xf>
    <xf numFmtId="0" fontId="7" fillId="0" borderId="0" xfId="0" applyFont="1" applyAlignment="1">
      <alignment/>
    </xf>
    <xf numFmtId="0" fontId="2" fillId="7" borderId="0" xfId="0" applyFont="1" applyFill="1" applyAlignment="1">
      <alignment/>
    </xf>
    <xf numFmtId="0" fontId="0" fillId="7" borderId="0" xfId="0" applyFill="1" applyAlignment="1">
      <alignment/>
    </xf>
    <xf numFmtId="0" fontId="16" fillId="0" borderId="0" xfId="0" applyFont="1" applyAlignment="1">
      <alignment/>
    </xf>
    <xf numFmtId="0" fontId="16" fillId="0" borderId="125" xfId="0" applyFont="1" applyFill="1" applyBorder="1" applyAlignment="1">
      <alignment vertical="top"/>
    </xf>
    <xf numFmtId="0" fontId="21" fillId="0" borderId="0" xfId="0" applyFont="1" applyAlignment="1">
      <alignment/>
    </xf>
    <xf numFmtId="3" fontId="16" fillId="3" borderId="2" xfId="0" applyNumberFormat="1" applyFont="1" applyFill="1" applyBorder="1" applyAlignment="1" applyProtection="1">
      <alignment horizontal="center"/>
      <protection/>
    </xf>
    <xf numFmtId="3" fontId="16" fillId="3" borderId="126" xfId="0" applyNumberFormat="1" applyFont="1" applyFill="1" applyBorder="1" applyAlignment="1" applyProtection="1">
      <alignment horizontal="center"/>
      <protection/>
    </xf>
    <xf numFmtId="3" fontId="16" fillId="3" borderId="127" xfId="0" applyNumberFormat="1" applyFont="1" applyFill="1" applyBorder="1" applyAlignment="1" applyProtection="1">
      <alignment horizontal="center"/>
      <protection/>
    </xf>
    <xf numFmtId="3" fontId="16" fillId="3" borderId="128" xfId="0" applyNumberFormat="1" applyFont="1" applyFill="1" applyBorder="1" applyAlignment="1" applyProtection="1">
      <alignment horizontal="center"/>
      <protection/>
    </xf>
    <xf numFmtId="3" fontId="16" fillId="3" borderId="12" xfId="0" applyNumberFormat="1" applyFont="1" applyFill="1" applyBorder="1" applyAlignment="1" applyProtection="1">
      <alignment horizontal="center"/>
      <protection/>
    </xf>
    <xf numFmtId="3" fontId="16" fillId="3" borderId="129" xfId="0" applyNumberFormat="1" applyFont="1" applyFill="1" applyBorder="1" applyAlignment="1" applyProtection="1">
      <alignment horizontal="center"/>
      <protection/>
    </xf>
    <xf numFmtId="0" fontId="7" fillId="2" borderId="30" xfId="0" applyFont="1" applyFill="1" applyBorder="1" applyAlignment="1">
      <alignment/>
    </xf>
    <xf numFmtId="0" fontId="7" fillId="2" borderId="130" xfId="0" applyFont="1" applyFill="1" applyBorder="1" applyAlignment="1">
      <alignment horizontal="center"/>
    </xf>
    <xf numFmtId="0" fontId="7" fillId="2" borderId="62" xfId="0" applyFont="1" applyFill="1" applyBorder="1" applyAlignment="1">
      <alignment horizontal="center"/>
    </xf>
    <xf numFmtId="0" fontId="7" fillId="2" borderId="23" xfId="0" applyFont="1" applyFill="1" applyBorder="1" applyAlignment="1">
      <alignment horizontal="center"/>
    </xf>
    <xf numFmtId="0" fontId="7" fillId="2" borderId="69" xfId="0" applyFont="1" applyFill="1" applyBorder="1" applyAlignment="1">
      <alignment horizontal="center"/>
    </xf>
    <xf numFmtId="0" fontId="7" fillId="2" borderId="68" xfId="0" applyFont="1" applyFill="1" applyBorder="1" applyAlignment="1">
      <alignment horizontal="center"/>
    </xf>
    <xf numFmtId="0" fontId="7" fillId="2" borderId="23" xfId="0" applyFont="1" applyFill="1" applyBorder="1" applyAlignment="1">
      <alignment/>
    </xf>
    <xf numFmtId="0" fontId="7" fillId="2" borderId="38" xfId="0" applyFont="1" applyFill="1" applyBorder="1" applyAlignment="1">
      <alignment horizontal="center" wrapText="1"/>
    </xf>
    <xf numFmtId="0" fontId="17" fillId="2" borderId="50" xfId="0" applyFont="1" applyFill="1" applyBorder="1" applyAlignment="1">
      <alignment horizontal="center" wrapText="1"/>
    </xf>
    <xf numFmtId="0" fontId="7" fillId="0" borderId="0" xfId="0" applyFont="1" applyAlignment="1">
      <alignment horizontal="right" indent="1"/>
    </xf>
    <xf numFmtId="0" fontId="0" fillId="0" borderId="0" xfId="0" applyFont="1" applyAlignment="1">
      <alignment/>
    </xf>
    <xf numFmtId="0" fontId="2" fillId="0" borderId="0" xfId="0" applyFont="1" applyAlignment="1">
      <alignment horizontal="right"/>
    </xf>
    <xf numFmtId="0" fontId="17" fillId="0" borderId="1" xfId="0" applyFont="1" applyBorder="1" applyAlignment="1">
      <alignment horizontal="right"/>
    </xf>
    <xf numFmtId="0" fontId="7" fillId="7" borderId="0" xfId="0" applyFont="1" applyFill="1" applyAlignment="1">
      <alignment/>
    </xf>
    <xf numFmtId="0" fontId="0" fillId="7" borderId="0" xfId="0" applyFont="1" applyFill="1" applyAlignment="1">
      <alignment/>
    </xf>
    <xf numFmtId="0" fontId="7" fillId="7" borderId="0" xfId="0" applyFont="1" applyFill="1" applyAlignment="1">
      <alignment/>
    </xf>
    <xf numFmtId="0" fontId="0" fillId="7" borderId="0" xfId="0" applyFont="1" applyFill="1" applyAlignment="1">
      <alignment/>
    </xf>
    <xf numFmtId="0" fontId="17" fillId="0" borderId="0" xfId="0" applyFont="1" applyAlignment="1">
      <alignment/>
    </xf>
    <xf numFmtId="0" fontId="2" fillId="2" borderId="0" xfId="0" applyFont="1" applyFill="1" applyAlignment="1">
      <alignment/>
    </xf>
    <xf numFmtId="0" fontId="17" fillId="0" borderId="1" xfId="0" applyNumberFormat="1" applyFont="1" applyFill="1" applyBorder="1" applyAlignment="1">
      <alignment horizontal="right" indent="1"/>
    </xf>
    <xf numFmtId="3" fontId="16" fillId="3" borderId="49" xfId="0" applyNumberFormat="1" applyFont="1" applyFill="1" applyBorder="1" applyAlignment="1" applyProtection="1">
      <alignment horizontal="center"/>
      <protection/>
    </xf>
    <xf numFmtId="3" fontId="25" fillId="3" borderId="5" xfId="0" applyNumberFormat="1" applyFont="1" applyFill="1" applyBorder="1" applyAlignment="1" applyProtection="1">
      <alignment horizontal="center"/>
      <protection/>
    </xf>
    <xf numFmtId="0" fontId="7" fillId="0" borderId="0" xfId="0" applyFont="1" applyFill="1" applyAlignment="1" applyProtection="1">
      <alignment horizontal="right" indent="1"/>
      <protection/>
    </xf>
    <xf numFmtId="0" fontId="7" fillId="0" borderId="0" xfId="0" applyFont="1" applyFill="1" applyBorder="1" applyAlignment="1" applyProtection="1">
      <alignment horizontal="right" indent="1"/>
      <protection/>
    </xf>
    <xf numFmtId="0" fontId="16" fillId="2" borderId="31" xfId="0" applyFont="1" applyFill="1" applyBorder="1" applyAlignment="1" applyProtection="1">
      <alignment/>
      <protection/>
    </xf>
    <xf numFmtId="0" fontId="16" fillId="2" borderId="33" xfId="0" applyFont="1" applyFill="1" applyBorder="1" applyAlignment="1" applyProtection="1">
      <alignment/>
      <protection/>
    </xf>
    <xf numFmtId="0" fontId="16" fillId="2" borderId="24" xfId="0" applyFont="1" applyFill="1" applyBorder="1" applyAlignment="1" applyProtection="1">
      <alignment/>
      <protection/>
    </xf>
    <xf numFmtId="0" fontId="16" fillId="2" borderId="25" xfId="0" applyFont="1" applyFill="1" applyBorder="1" applyAlignment="1" applyProtection="1">
      <alignment/>
      <protection/>
    </xf>
    <xf numFmtId="0" fontId="21" fillId="2" borderId="29" xfId="0" applyFont="1" applyFill="1" applyBorder="1" applyAlignment="1" applyProtection="1">
      <alignment/>
      <protection/>
    </xf>
    <xf numFmtId="0" fontId="0" fillId="0" borderId="4" xfId="0" applyFont="1" applyFill="1" applyBorder="1" applyAlignment="1">
      <alignment horizontal="left" indent="2"/>
    </xf>
    <xf numFmtId="0" fontId="0" fillId="0" borderId="123" xfId="0" applyFont="1" applyFill="1" applyBorder="1" applyAlignment="1">
      <alignment horizontal="left" indent="2"/>
    </xf>
    <xf numFmtId="0" fontId="15" fillId="0" borderId="0" xfId="0" applyFont="1" applyFill="1" applyAlignment="1">
      <alignment horizontal="left" vertical="center" wrapText="1"/>
    </xf>
    <xf numFmtId="0" fontId="4" fillId="0" borderId="0" xfId="0" applyFont="1" applyFill="1" applyBorder="1" applyAlignment="1">
      <alignment horizontal="left" vertical="center" wrapText="1"/>
    </xf>
    <xf numFmtId="0" fontId="21" fillId="2" borderId="31" xfId="0" applyFont="1" applyFill="1" applyBorder="1" applyAlignment="1" applyProtection="1">
      <alignment/>
      <protection/>
    </xf>
    <xf numFmtId="0" fontId="16" fillId="2" borderId="23" xfId="0" applyFont="1" applyFill="1" applyBorder="1" applyAlignment="1" applyProtection="1">
      <alignment/>
      <protection/>
    </xf>
    <xf numFmtId="0" fontId="16" fillId="2" borderId="32" xfId="0" applyFont="1" applyFill="1" applyBorder="1" applyAlignment="1" applyProtection="1">
      <alignment/>
      <protection/>
    </xf>
    <xf numFmtId="0" fontId="16" fillId="2" borderId="22" xfId="0" applyFont="1" applyFill="1" applyBorder="1" applyAlignment="1" applyProtection="1">
      <alignment/>
      <protection/>
    </xf>
    <xf numFmtId="0" fontId="16" fillId="2" borderId="33" xfId="0" applyFont="1" applyFill="1" applyBorder="1" applyAlignment="1" applyProtection="1">
      <alignment/>
      <protection/>
    </xf>
    <xf numFmtId="0" fontId="0" fillId="0" borderId="0" xfId="0" applyFont="1" applyFill="1" applyBorder="1" applyAlignment="1">
      <alignment horizontal="center" vertical="center"/>
    </xf>
    <xf numFmtId="0" fontId="0" fillId="0" borderId="0" xfId="0" applyFill="1" applyBorder="1" applyAlignment="1">
      <alignment horizontal="center"/>
    </xf>
    <xf numFmtId="0" fontId="17" fillId="0" borderId="0" xfId="0" applyFont="1" applyAlignment="1">
      <alignment horizontal="center"/>
    </xf>
    <xf numFmtId="0" fontId="17" fillId="2" borderId="131" xfId="0" applyFont="1" applyFill="1" applyBorder="1" applyAlignment="1">
      <alignment horizontal="center"/>
    </xf>
    <xf numFmtId="0" fontId="17" fillId="2" borderId="24" xfId="0" applyFont="1" applyFill="1" applyBorder="1" applyAlignment="1">
      <alignment horizontal="center"/>
    </xf>
    <xf numFmtId="0" fontId="17" fillId="2" borderId="29" xfId="0" applyFont="1" applyFill="1" applyBorder="1" applyAlignment="1">
      <alignment horizontal="center"/>
    </xf>
    <xf numFmtId="0" fontId="17" fillId="2" borderId="30" xfId="0" applyFont="1" applyFill="1" applyBorder="1" applyAlignment="1">
      <alignment/>
    </xf>
    <xf numFmtId="0" fontId="2" fillId="2" borderId="1" xfId="0" applyFont="1" applyFill="1" applyBorder="1" applyAlignment="1">
      <alignment/>
    </xf>
    <xf numFmtId="0" fontId="2" fillId="2" borderId="132" xfId="0" applyFont="1" applyFill="1" applyBorder="1" applyAlignment="1">
      <alignment/>
    </xf>
    <xf numFmtId="0" fontId="2" fillId="2" borderId="23" xfId="0" applyFont="1" applyFill="1" applyBorder="1" applyAlignment="1">
      <alignment/>
    </xf>
    <xf numFmtId="0" fontId="2" fillId="2" borderId="0" xfId="0" applyFont="1" applyFill="1" applyBorder="1" applyAlignment="1">
      <alignment/>
    </xf>
    <xf numFmtId="0" fontId="2" fillId="2" borderId="133" xfId="0" applyFont="1" applyFill="1" applyBorder="1" applyAlignment="1">
      <alignment/>
    </xf>
    <xf numFmtId="0" fontId="17" fillId="2" borderId="23" xfId="0" applyFont="1" applyFill="1" applyBorder="1" applyAlignment="1">
      <alignment/>
    </xf>
    <xf numFmtId="0" fontId="17" fillId="2" borderId="134" xfId="0" applyFont="1" applyFill="1" applyBorder="1" applyAlignment="1">
      <alignment/>
    </xf>
    <xf numFmtId="0" fontId="2" fillId="2" borderId="125" xfId="0" applyFont="1" applyFill="1" applyBorder="1" applyAlignment="1">
      <alignment/>
    </xf>
    <xf numFmtId="0" fontId="2" fillId="2" borderId="135" xfId="0" applyFont="1" applyFill="1" applyBorder="1" applyAlignment="1">
      <alignment/>
    </xf>
    <xf numFmtId="0" fontId="2" fillId="2" borderId="136" xfId="0" applyFont="1" applyFill="1" applyBorder="1" applyAlignment="1">
      <alignment/>
    </xf>
    <xf numFmtId="0" fontId="2" fillId="2" borderId="137" xfId="0" applyFont="1" applyFill="1" applyBorder="1" applyAlignment="1">
      <alignment/>
    </xf>
    <xf numFmtId="0" fontId="2" fillId="2" borderId="138" xfId="0" applyFont="1" applyFill="1" applyBorder="1" applyAlignment="1">
      <alignment/>
    </xf>
    <xf numFmtId="0" fontId="16" fillId="2" borderId="0" xfId="0" applyFont="1" applyFill="1" applyBorder="1" applyAlignment="1" applyProtection="1">
      <alignment horizontal="left" vertical="center"/>
      <protection/>
    </xf>
    <xf numFmtId="0" fontId="17" fillId="4" borderId="29" xfId="0" applyFont="1" applyFill="1" applyBorder="1" applyAlignment="1" applyProtection="1">
      <alignment horizontal="center"/>
      <protection/>
    </xf>
    <xf numFmtId="0" fontId="2" fillId="4" borderId="27" xfId="0" applyFont="1" applyFill="1" applyBorder="1" applyAlignment="1" applyProtection="1">
      <alignment/>
      <protection/>
    </xf>
    <xf numFmtId="0" fontId="2" fillId="4" borderId="26" xfId="0" applyFont="1" applyFill="1" applyBorder="1" applyAlignment="1" applyProtection="1">
      <alignment/>
      <protection/>
    </xf>
    <xf numFmtId="0" fontId="2" fillId="4" borderId="30" xfId="0" applyFont="1" applyFill="1" applyBorder="1" applyAlignment="1" applyProtection="1">
      <alignment/>
      <protection/>
    </xf>
    <xf numFmtId="0" fontId="2" fillId="4" borderId="1" xfId="0" applyFont="1" applyFill="1" applyBorder="1" applyAlignment="1" applyProtection="1">
      <alignment/>
      <protection/>
    </xf>
    <xf numFmtId="0" fontId="0" fillId="4" borderId="1" xfId="0" applyFill="1" applyBorder="1" applyAlignment="1" applyProtection="1">
      <alignment/>
      <protection/>
    </xf>
    <xf numFmtId="0" fontId="0" fillId="4" borderId="31" xfId="0" applyFill="1" applyBorder="1" applyAlignment="1" applyProtection="1">
      <alignment/>
      <protection/>
    </xf>
    <xf numFmtId="14" fontId="16" fillId="0" borderId="0" xfId="0" applyNumberFormat="1" applyFont="1" applyFill="1" applyBorder="1" applyAlignment="1" applyProtection="1">
      <alignment horizontal="left"/>
      <protection/>
    </xf>
    <xf numFmtId="0" fontId="2" fillId="4" borderId="27" xfId="20" applyFont="1" applyFill="1" applyBorder="1" applyProtection="1">
      <alignment/>
      <protection/>
    </xf>
    <xf numFmtId="0" fontId="2" fillId="4" borderId="23" xfId="0" applyFont="1" applyFill="1" applyBorder="1" applyAlignment="1" applyProtection="1">
      <alignment/>
      <protection/>
    </xf>
    <xf numFmtId="0" fontId="2" fillId="4" borderId="0" xfId="0" applyFont="1" applyFill="1" applyBorder="1" applyAlignment="1" applyProtection="1">
      <alignment/>
      <protection/>
    </xf>
    <xf numFmtId="0" fontId="0" fillId="4" borderId="0" xfId="0" applyFill="1" applyBorder="1" applyAlignment="1" applyProtection="1">
      <alignment/>
      <protection/>
    </xf>
    <xf numFmtId="0" fontId="0" fillId="4" borderId="32" xfId="0" applyFill="1" applyBorder="1" applyAlignment="1" applyProtection="1">
      <alignment/>
      <protection/>
    </xf>
    <xf numFmtId="0" fontId="16" fillId="0" borderId="0" xfId="0" applyFont="1" applyFill="1" applyBorder="1" applyAlignment="1" applyProtection="1">
      <alignment horizontal="left"/>
      <protection/>
    </xf>
    <xf numFmtId="0" fontId="0" fillId="0" borderId="0" xfId="0" applyFill="1" applyAlignment="1" applyProtection="1">
      <alignment/>
      <protection/>
    </xf>
    <xf numFmtId="0" fontId="2" fillId="4" borderId="28" xfId="0" applyFont="1" applyFill="1" applyBorder="1" applyAlignment="1" applyProtection="1">
      <alignment/>
      <protection/>
    </xf>
    <xf numFmtId="0" fontId="2" fillId="0" borderId="32" xfId="0" applyFont="1" applyFill="1" applyBorder="1" applyAlignment="1" applyProtection="1">
      <alignment/>
      <protection/>
    </xf>
    <xf numFmtId="0" fontId="2" fillId="4" borderId="32" xfId="0" applyFont="1" applyFill="1" applyBorder="1" applyAlignment="1" applyProtection="1">
      <alignment/>
      <protection/>
    </xf>
    <xf numFmtId="0" fontId="2" fillId="4" borderId="22" xfId="0" applyFont="1" applyFill="1" applyBorder="1" applyAlignment="1" applyProtection="1">
      <alignment/>
      <protection/>
    </xf>
    <xf numFmtId="0" fontId="2" fillId="4" borderId="21" xfId="0" applyFont="1" applyFill="1" applyBorder="1" applyAlignment="1" applyProtection="1">
      <alignment/>
      <protection/>
    </xf>
    <xf numFmtId="0" fontId="0" fillId="4" borderId="21" xfId="0" applyFill="1" applyBorder="1" applyAlignment="1" applyProtection="1">
      <alignment/>
      <protection/>
    </xf>
    <xf numFmtId="0" fontId="0" fillId="4" borderId="33" xfId="0" applyFill="1" applyBorder="1" applyAlignment="1" applyProtection="1">
      <alignment/>
      <protection/>
    </xf>
    <xf numFmtId="0" fontId="2" fillId="0" borderId="1" xfId="20" applyFont="1" applyFill="1" applyBorder="1" applyProtection="1">
      <alignment/>
      <protection/>
    </xf>
    <xf numFmtId="0" fontId="2" fillId="0" borderId="0" xfId="20" applyFont="1" applyFill="1" applyBorder="1" applyProtection="1">
      <alignment/>
      <protection/>
    </xf>
    <xf numFmtId="165" fontId="16" fillId="3" borderId="21" xfId="0" applyNumberFormat="1" applyFont="1" applyFill="1" applyBorder="1" applyAlignment="1" applyProtection="1">
      <alignment horizontal="center"/>
      <protection/>
    </xf>
    <xf numFmtId="3" fontId="16" fillId="3" borderId="21" xfId="0" applyNumberFormat="1" applyFont="1" applyFill="1" applyBorder="1" applyAlignment="1" applyProtection="1">
      <alignment horizontal="center"/>
      <protection/>
    </xf>
    <xf numFmtId="2" fontId="16" fillId="3" borderId="21" xfId="0" applyNumberFormat="1" applyFont="1" applyFill="1" applyBorder="1" applyAlignment="1" applyProtection="1">
      <alignment horizontal="center"/>
      <protection/>
    </xf>
    <xf numFmtId="0" fontId="16" fillId="3" borderId="21" xfId="0" applyFont="1" applyFill="1" applyBorder="1" applyAlignment="1" applyProtection="1">
      <alignment horizontal="center" vertical="center"/>
      <protection/>
    </xf>
    <xf numFmtId="3" fontId="25" fillId="3" borderId="139" xfId="0" applyNumberFormat="1" applyFont="1" applyFill="1" applyBorder="1" applyAlignment="1" applyProtection="1">
      <alignment horizontal="center"/>
      <protection/>
    </xf>
    <xf numFmtId="0" fontId="16" fillId="2" borderId="0" xfId="0" applyFont="1" applyFill="1" applyBorder="1" applyAlignment="1">
      <alignment vertical="center"/>
    </xf>
    <xf numFmtId="0" fontId="2" fillId="0" borderId="0" xfId="0" applyFont="1" applyFill="1" applyBorder="1" applyAlignment="1" applyProtection="1">
      <alignment horizontal="center"/>
      <protection/>
    </xf>
    <xf numFmtId="3" fontId="16" fillId="3" borderId="140" xfId="0" applyNumberFormat="1" applyFont="1" applyFill="1" applyBorder="1" applyAlignment="1" applyProtection="1">
      <alignment horizontal="center"/>
      <protection/>
    </xf>
    <xf numFmtId="0" fontId="7" fillId="0" borderId="0" xfId="0" applyFont="1" applyFill="1" applyBorder="1" applyAlignment="1">
      <alignment horizontal="center"/>
    </xf>
    <xf numFmtId="0" fontId="17" fillId="2" borderId="29" xfId="0" applyFont="1" applyFill="1" applyBorder="1" applyAlignment="1">
      <alignment horizontal="center"/>
    </xf>
    <xf numFmtId="3" fontId="2" fillId="0" borderId="0" xfId="0" applyNumberFormat="1" applyFont="1" applyBorder="1" applyAlignment="1" applyProtection="1">
      <alignment vertical="center"/>
      <protection/>
    </xf>
    <xf numFmtId="0" fontId="16" fillId="3" borderId="21" xfId="0" applyFont="1" applyFill="1" applyBorder="1" applyAlignment="1" applyProtection="1">
      <alignment horizontal="center"/>
      <protection/>
    </xf>
    <xf numFmtId="0" fontId="17" fillId="2" borderId="0" xfId="0" applyFont="1" applyFill="1" applyBorder="1" applyAlignment="1">
      <alignment horizontal="center"/>
    </xf>
    <xf numFmtId="0" fontId="17" fillId="2" borderId="0" xfId="0" applyFont="1" applyFill="1" applyAlignment="1">
      <alignment horizontal="center"/>
    </xf>
    <xf numFmtId="3" fontId="2" fillId="0" borderId="0" xfId="0" applyNumberFormat="1" applyFont="1" applyAlignment="1">
      <alignment/>
    </xf>
    <xf numFmtId="3" fontId="2" fillId="0" borderId="0" xfId="0" applyNumberFormat="1" applyFont="1" applyBorder="1" applyAlignment="1">
      <alignment/>
    </xf>
    <xf numFmtId="0" fontId="2" fillId="0" borderId="21" xfId="0" applyFont="1" applyBorder="1" applyAlignment="1">
      <alignment horizontal="center"/>
    </xf>
    <xf numFmtId="0" fontId="0" fillId="0" borderId="0" xfId="0" applyBorder="1" applyAlignment="1">
      <alignment/>
    </xf>
    <xf numFmtId="0" fontId="21" fillId="0" borderId="26" xfId="0" applyFont="1" applyBorder="1" applyAlignment="1">
      <alignment horizontal="center" vertical="center"/>
    </xf>
    <xf numFmtId="0" fontId="16" fillId="0" borderId="29" xfId="0" applyFont="1" applyBorder="1" applyAlignment="1">
      <alignment horizontal="center" vertical="center"/>
    </xf>
    <xf numFmtId="0" fontId="0" fillId="0" borderId="0" xfId="0" applyNumberFormat="1" applyAlignment="1">
      <alignment horizontal="center" vertical="top"/>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vertical="center"/>
    </xf>
    <xf numFmtId="0" fontId="0" fillId="0" borderId="0" xfId="0" applyNumberFormat="1" applyAlignment="1">
      <alignment/>
    </xf>
    <xf numFmtId="0" fontId="42" fillId="0" borderId="0" xfId="0" applyFont="1" applyAlignment="1">
      <alignment/>
    </xf>
    <xf numFmtId="49" fontId="0" fillId="0" borderId="0" xfId="0" applyNumberFormat="1" applyAlignment="1">
      <alignment wrapText="1"/>
    </xf>
    <xf numFmtId="0" fontId="0" fillId="0" borderId="0" xfId="0" applyAlignment="1">
      <alignment vertical="distributed"/>
    </xf>
    <xf numFmtId="0" fontId="62" fillId="8" borderId="33" xfId="0" applyFont="1" applyFill="1" applyBorder="1" applyAlignment="1">
      <alignment horizontal="right" vertical="center"/>
    </xf>
    <xf numFmtId="0" fontId="2" fillId="0" borderId="0" xfId="0" applyFont="1" applyBorder="1" applyAlignment="1">
      <alignment/>
    </xf>
    <xf numFmtId="0" fontId="21" fillId="0" borderId="26" xfId="0" applyFont="1" applyBorder="1" applyAlignment="1">
      <alignment horizontal="right" vertical="center"/>
    </xf>
    <xf numFmtId="0" fontId="21" fillId="0" borderId="23" xfId="0" applyFont="1" applyBorder="1" applyAlignment="1">
      <alignment horizontal="right" vertical="center"/>
    </xf>
    <xf numFmtId="0" fontId="21" fillId="0" borderId="28" xfId="0" applyFont="1" applyBorder="1" applyAlignment="1">
      <alignment horizontal="right" vertical="center"/>
    </xf>
    <xf numFmtId="0" fontId="63" fillId="0" borderId="0" xfId="0" applyFont="1" applyBorder="1" applyAlignment="1">
      <alignment horizontal="left" vertical="center"/>
    </xf>
    <xf numFmtId="0" fontId="63" fillId="0" borderId="30" xfId="0" applyFont="1" applyBorder="1" applyAlignment="1">
      <alignment/>
    </xf>
    <xf numFmtId="0" fontId="2" fillId="0" borderId="1" xfId="0" applyFont="1" applyBorder="1" applyAlignment="1">
      <alignment horizontal="right"/>
    </xf>
    <xf numFmtId="0" fontId="16" fillId="0" borderId="1" xfId="0" applyFont="1" applyBorder="1" applyAlignment="1">
      <alignment/>
    </xf>
    <xf numFmtId="0" fontId="16" fillId="0" borderId="1" xfId="0" applyFont="1" applyBorder="1" applyAlignment="1">
      <alignment horizontal="center"/>
    </xf>
    <xf numFmtId="0" fontId="2" fillId="0" borderId="1" xfId="0" applyFont="1" applyBorder="1" applyAlignment="1">
      <alignment/>
    </xf>
    <xf numFmtId="0" fontId="21" fillId="0" borderId="1" xfId="0" applyFont="1" applyBorder="1" applyAlignment="1">
      <alignment horizontal="right"/>
    </xf>
    <xf numFmtId="0" fontId="2" fillId="0" borderId="1" xfId="0" applyFont="1" applyBorder="1" applyAlignment="1">
      <alignment horizontal="left"/>
    </xf>
    <xf numFmtId="0" fontId="21" fillId="0" borderId="31" xfId="0" applyFont="1" applyBorder="1" applyAlignment="1">
      <alignment horizontal="right"/>
    </xf>
    <xf numFmtId="0" fontId="17" fillId="0" borderId="23"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xf>
    <xf numFmtId="0" fontId="2" fillId="0" borderId="0" xfId="0" applyFont="1" applyBorder="1" applyAlignment="1">
      <alignment horizontal="center"/>
    </xf>
    <xf numFmtId="0" fontId="17" fillId="0" borderId="0" xfId="0" applyFont="1" applyBorder="1" applyAlignment="1">
      <alignment horizontal="right"/>
    </xf>
    <xf numFmtId="0" fontId="17" fillId="0" borderId="32" xfId="0" applyFont="1" applyBorder="1" applyAlignment="1">
      <alignment horizontal="right"/>
    </xf>
    <xf numFmtId="0" fontId="17" fillId="0" borderId="22" xfId="0" applyFont="1" applyBorder="1" applyAlignment="1">
      <alignment horizontal="left"/>
    </xf>
    <xf numFmtId="0" fontId="2" fillId="0" borderId="21" xfId="0" applyFont="1" applyBorder="1" applyAlignment="1">
      <alignment/>
    </xf>
    <xf numFmtId="0" fontId="2" fillId="0" borderId="21" xfId="0" applyFont="1" applyBorder="1" applyAlignment="1">
      <alignment/>
    </xf>
    <xf numFmtId="0" fontId="2" fillId="0" borderId="21" xfId="0" applyFont="1" applyBorder="1" applyAlignment="1">
      <alignment horizontal="left"/>
    </xf>
    <xf numFmtId="0" fontId="17" fillId="0" borderId="33" xfId="0" applyFont="1" applyBorder="1" applyAlignment="1">
      <alignment horizontal="right"/>
    </xf>
    <xf numFmtId="0" fontId="64" fillId="0" borderId="0" xfId="0" applyFont="1" applyFill="1" applyBorder="1" applyAlignment="1">
      <alignment horizontal="center" vertical="center"/>
    </xf>
    <xf numFmtId="0" fontId="21" fillId="0" borderId="26" xfId="0" applyFont="1" applyFill="1" applyBorder="1" applyAlignment="1">
      <alignment horizontal="center" vertical="center"/>
    </xf>
    <xf numFmtId="49" fontId="16" fillId="0" borderId="0" xfId="0" applyNumberFormat="1" applyFont="1" applyAlignment="1">
      <alignment/>
    </xf>
    <xf numFmtId="0" fontId="17" fillId="0" borderId="0" xfId="0" applyFont="1" applyBorder="1" applyAlignment="1">
      <alignment/>
    </xf>
    <xf numFmtId="0" fontId="17" fillId="0" borderId="32" xfId="0" applyFont="1" applyBorder="1" applyAlignment="1">
      <alignment/>
    </xf>
    <xf numFmtId="0" fontId="21" fillId="0" borderId="131" xfId="0" applyFont="1" applyBorder="1" applyAlignment="1" applyProtection="1">
      <alignment horizontal="right" vertical="center"/>
      <protection/>
    </xf>
    <xf numFmtId="0" fontId="16" fillId="0" borderId="131" xfId="0" applyFont="1" applyBorder="1" applyAlignment="1" applyProtection="1">
      <alignment horizontal="center"/>
      <protection/>
    </xf>
    <xf numFmtId="0" fontId="16" fillId="0" borderId="29" xfId="0" applyFont="1" applyBorder="1" applyAlignment="1" applyProtection="1">
      <alignment horizontal="center" vertical="center"/>
      <protection/>
    </xf>
    <xf numFmtId="0" fontId="16" fillId="0" borderId="131" xfId="0" applyFont="1" applyBorder="1" applyAlignment="1" applyProtection="1">
      <alignment horizontal="center" vertical="center"/>
      <protection/>
    </xf>
    <xf numFmtId="0" fontId="2" fillId="0" borderId="0" xfId="0" applyFont="1" applyBorder="1" applyAlignment="1">
      <alignment horizontal="center" vertical="center"/>
    </xf>
    <xf numFmtId="0" fontId="16" fillId="2" borderId="29" xfId="0" applyFont="1" applyFill="1" applyBorder="1" applyAlignment="1" applyProtection="1">
      <alignment horizontal="center" vertical="center"/>
      <protection locked="0"/>
    </xf>
    <xf numFmtId="0" fontId="16" fillId="0" borderId="131" xfId="0" applyFont="1" applyBorder="1" applyAlignment="1">
      <alignment horizontal="center" vertical="center"/>
    </xf>
    <xf numFmtId="0" fontId="16" fillId="0" borderId="25" xfId="0" applyFont="1" applyBorder="1" applyAlignment="1">
      <alignment horizontal="left" vertical="center"/>
    </xf>
    <xf numFmtId="0" fontId="2" fillId="0" borderId="0" xfId="0" applyFont="1" applyBorder="1" applyAlignment="1">
      <alignment horizontal="right"/>
    </xf>
    <xf numFmtId="0" fontId="16" fillId="0" borderId="131" xfId="0" applyFont="1" applyFill="1" applyBorder="1" applyAlignment="1">
      <alignment horizontal="center" vertical="center" wrapText="1"/>
    </xf>
    <xf numFmtId="0" fontId="16" fillId="0" borderId="0" xfId="0" applyFont="1" applyBorder="1" applyAlignment="1">
      <alignment horizontal="center" vertical="center" wrapText="1"/>
    </xf>
    <xf numFmtId="0" fontId="2" fillId="0" borderId="31" xfId="0" applyFont="1" applyBorder="1" applyAlignment="1">
      <alignment horizontal="right"/>
    </xf>
    <xf numFmtId="0" fontId="2" fillId="0" borderId="23" xfId="0" applyFont="1" applyBorder="1" applyAlignment="1">
      <alignment/>
    </xf>
    <xf numFmtId="0" fontId="2" fillId="0" borderId="32" xfId="0" applyFont="1" applyBorder="1" applyAlignment="1">
      <alignment horizontal="right"/>
    </xf>
    <xf numFmtId="0" fontId="2" fillId="0" borderId="21" xfId="0" applyFont="1" applyBorder="1" applyAlignment="1">
      <alignment horizontal="right"/>
    </xf>
    <xf numFmtId="0" fontId="2" fillId="0" borderId="33" xfId="0" applyFont="1" applyBorder="1" applyAlignment="1">
      <alignment horizontal="right"/>
    </xf>
    <xf numFmtId="0" fontId="2" fillId="0" borderId="0" xfId="0" applyFont="1" applyAlignment="1">
      <alignment horizontal="left"/>
    </xf>
    <xf numFmtId="49" fontId="16" fillId="0" borderId="23" xfId="0" applyNumberFormat="1" applyFont="1" applyBorder="1" applyAlignment="1">
      <alignment horizontal="right" vertical="center" wrapText="1"/>
    </xf>
    <xf numFmtId="0" fontId="22" fillId="0" borderId="23" xfId="0" applyFont="1" applyBorder="1" applyAlignment="1">
      <alignment/>
    </xf>
    <xf numFmtId="49" fontId="16" fillId="0" borderId="23" xfId="0" applyNumberFormat="1" applyFont="1" applyBorder="1" applyAlignment="1">
      <alignment horizontal="right" vertical="center"/>
    </xf>
    <xf numFmtId="49" fontId="16" fillId="0" borderId="0" xfId="0" applyNumberFormat="1" applyFont="1" applyBorder="1" applyAlignment="1">
      <alignment horizontal="right" vertical="center" wrapText="1"/>
    </xf>
    <xf numFmtId="49" fontId="22" fillId="0" borderId="23" xfId="0" applyNumberFormat="1" applyFont="1" applyBorder="1" applyAlignment="1">
      <alignment horizontal="right" vertical="center"/>
    </xf>
    <xf numFmtId="0" fontId="22" fillId="0" borderId="22" xfId="0" applyFont="1" applyBorder="1" applyAlignment="1">
      <alignment/>
    </xf>
    <xf numFmtId="0" fontId="22" fillId="0" borderId="21" xfId="0" applyFont="1" applyBorder="1" applyAlignment="1">
      <alignment/>
    </xf>
    <xf numFmtId="0" fontId="22" fillId="0" borderId="21" xfId="0" applyFont="1" applyBorder="1" applyAlignment="1">
      <alignment horizontal="left"/>
    </xf>
    <xf numFmtId="0" fontId="16" fillId="0" borderId="33" xfId="0" applyFont="1" applyBorder="1" applyAlignment="1">
      <alignment horizontal="left" vertical="top" wrapText="1"/>
    </xf>
    <xf numFmtId="0" fontId="2" fillId="0" borderId="0" xfId="0" applyFont="1" applyAlignment="1">
      <alignment horizontal="left" vertical="top" wrapText="1"/>
    </xf>
    <xf numFmtId="49" fontId="2" fillId="0" borderId="0" xfId="0" applyNumberFormat="1" applyFont="1" applyAlignment="1">
      <alignment horizontal="center" vertical="top"/>
    </xf>
    <xf numFmtId="49" fontId="0" fillId="0" borderId="0" xfId="0" applyNumberFormat="1" applyAlignment="1">
      <alignment horizontal="center" vertical="top"/>
    </xf>
    <xf numFmtId="49" fontId="2" fillId="0" borderId="0" xfId="0" applyNumberFormat="1" applyFont="1" applyAlignment="1">
      <alignment horizontal="left" vertical="center"/>
    </xf>
    <xf numFmtId="49" fontId="2" fillId="0" borderId="0" xfId="0" applyNumberFormat="1" applyFont="1" applyAlignment="1">
      <alignment horizontal="center" vertical="center"/>
    </xf>
    <xf numFmtId="1" fontId="16" fillId="3" borderId="28" xfId="0" applyNumberFormat="1" applyFont="1" applyFill="1" applyBorder="1" applyAlignment="1" applyProtection="1">
      <alignment horizontal="center" vertical="center"/>
      <protection/>
    </xf>
    <xf numFmtId="1" fontId="16" fillId="3" borderId="29" xfId="0" applyNumberFormat="1" applyFont="1" applyFill="1" applyBorder="1" applyAlignment="1">
      <alignment horizontal="center" vertical="center"/>
    </xf>
    <xf numFmtId="1" fontId="16" fillId="3" borderId="131" xfId="0" applyNumberFormat="1" applyFont="1" applyFill="1" applyBorder="1" applyAlignment="1">
      <alignment horizontal="center" vertical="center"/>
    </xf>
    <xf numFmtId="1" fontId="16" fillId="3" borderId="29" xfId="0" applyNumberFormat="1" applyFont="1" applyFill="1" applyBorder="1" applyAlignment="1">
      <alignment horizontal="center" vertical="distributed"/>
    </xf>
    <xf numFmtId="1" fontId="16" fillId="3" borderId="28" xfId="0" applyNumberFormat="1" applyFont="1" applyFill="1" applyBorder="1" applyAlignment="1">
      <alignment horizontal="center" vertical="center"/>
    </xf>
    <xf numFmtId="1" fontId="16" fillId="3" borderId="29" xfId="0" applyNumberFormat="1" applyFont="1" applyFill="1" applyBorder="1" applyAlignment="1">
      <alignment horizontal="center" vertical="center"/>
    </xf>
    <xf numFmtId="0" fontId="16" fillId="0" borderId="30" xfId="0" applyFont="1" applyBorder="1" applyAlignment="1">
      <alignment/>
    </xf>
    <xf numFmtId="0" fontId="16" fillId="0" borderId="1" xfId="0" applyFont="1" applyBorder="1" applyAlignment="1">
      <alignment horizontal="left" indent="1"/>
    </xf>
    <xf numFmtId="0" fontId="16" fillId="0" borderId="23" xfId="0" applyFont="1" applyBorder="1" applyAlignment="1">
      <alignment/>
    </xf>
    <xf numFmtId="0" fontId="16" fillId="0" borderId="0" xfId="0" applyFont="1" applyBorder="1" applyAlignment="1">
      <alignment horizontal="left" indent="1"/>
    </xf>
    <xf numFmtId="0" fontId="16" fillId="0" borderId="22" xfId="0" applyFont="1" applyBorder="1" applyAlignment="1">
      <alignment/>
    </xf>
    <xf numFmtId="0" fontId="16" fillId="0" borderId="21" xfId="0" applyFont="1" applyBorder="1" applyAlignment="1">
      <alignment horizontal="left" indent="1"/>
    </xf>
    <xf numFmtId="0" fontId="2" fillId="0" borderId="0" xfId="0" applyFont="1" applyFill="1" applyBorder="1" applyAlignment="1">
      <alignment horizontal="left"/>
    </xf>
    <xf numFmtId="0" fontId="16" fillId="0" borderId="1" xfId="0" applyFont="1" applyBorder="1" applyAlignment="1">
      <alignment horizontal="left"/>
    </xf>
    <xf numFmtId="0" fontId="16" fillId="0" borderId="0" xfId="0" applyFont="1" applyBorder="1" applyAlignment="1">
      <alignment horizontal="left"/>
    </xf>
    <xf numFmtId="0" fontId="16" fillId="0" borderId="21" xfId="0" applyFont="1" applyBorder="1" applyAlignment="1">
      <alignment/>
    </xf>
    <xf numFmtId="0" fontId="63" fillId="0" borderId="23" xfId="0" applyFont="1" applyBorder="1" applyAlignment="1">
      <alignment horizontal="left" vertical="center"/>
    </xf>
    <xf numFmtId="0" fontId="0" fillId="0" borderId="23" xfId="0" applyBorder="1" applyAlignment="1">
      <alignment/>
    </xf>
    <xf numFmtId="0" fontId="16" fillId="0" borderId="0" xfId="0" applyFont="1" applyBorder="1" applyAlignment="1">
      <alignment horizontal="left" vertical="top" wrapText="1"/>
    </xf>
    <xf numFmtId="0" fontId="16" fillId="0" borderId="23" xfId="0" applyFont="1" applyBorder="1" applyAlignment="1">
      <alignment horizontal="left" vertical="top" wrapText="1"/>
    </xf>
    <xf numFmtId="0" fontId="16" fillId="0" borderId="21" xfId="0" applyFont="1" applyBorder="1" applyAlignment="1">
      <alignment horizontal="left" vertical="top" wrapText="1"/>
    </xf>
    <xf numFmtId="0" fontId="63" fillId="0" borderId="0" xfId="0" applyFont="1" applyAlignment="1">
      <alignment horizontal="left" vertical="center"/>
    </xf>
    <xf numFmtId="0" fontId="16" fillId="0" borderId="29" xfId="0" applyFont="1" applyFill="1" applyBorder="1" applyAlignment="1">
      <alignment horizontal="center" vertical="center" wrapText="1"/>
    </xf>
    <xf numFmtId="0" fontId="21" fillId="0" borderId="0" xfId="0" applyFont="1" applyFill="1" applyBorder="1" applyAlignment="1">
      <alignment horizontal="center" vertical="top" wrapText="1"/>
    </xf>
    <xf numFmtId="0" fontId="16" fillId="0" borderId="30" xfId="0" applyFont="1" applyBorder="1" applyAlignment="1">
      <alignment horizontal="center" vertical="top" wrapText="1"/>
    </xf>
    <xf numFmtId="0" fontId="16" fillId="0" borderId="26" xfId="0" applyFont="1" applyBorder="1" applyAlignment="1">
      <alignment horizontal="center" vertical="top" wrapText="1"/>
    </xf>
    <xf numFmtId="0" fontId="16" fillId="0" borderId="23" xfId="0" applyFont="1" applyBorder="1" applyAlignment="1">
      <alignment horizontal="center" vertical="top" wrapText="1"/>
    </xf>
    <xf numFmtId="0" fontId="16" fillId="0" borderId="27" xfId="0" applyFont="1" applyBorder="1" applyAlignment="1">
      <alignment horizontal="center" vertical="top" wrapText="1"/>
    </xf>
    <xf numFmtId="0" fontId="16" fillId="0" borderId="22" xfId="0" applyFont="1" applyBorder="1" applyAlignment="1">
      <alignment horizontal="center" vertical="top" wrapText="1"/>
    </xf>
    <xf numFmtId="0" fontId="16" fillId="0" borderId="28" xfId="0" applyFont="1" applyBorder="1" applyAlignment="1">
      <alignment horizontal="center" vertical="top" wrapText="1"/>
    </xf>
    <xf numFmtId="0" fontId="16" fillId="0" borderId="26" xfId="0" applyFont="1" applyBorder="1" applyAlignment="1">
      <alignment/>
    </xf>
    <xf numFmtId="0" fontId="16" fillId="0" borderId="26" xfId="0" applyFont="1" applyBorder="1" applyAlignment="1">
      <alignment horizontal="center" vertical="center"/>
    </xf>
    <xf numFmtId="0" fontId="16" fillId="0" borderId="23" xfId="0" applyFont="1" applyBorder="1" applyAlignment="1">
      <alignment horizontal="center" vertical="center" wrapText="1"/>
    </xf>
    <xf numFmtId="0" fontId="16" fillId="0" borderId="27" xfId="0" applyFont="1" applyBorder="1" applyAlignment="1">
      <alignment horizontal="center" vertical="center" wrapText="1"/>
    </xf>
    <xf numFmtId="2" fontId="16" fillId="0" borderId="26" xfId="0" applyNumberFormat="1" applyFont="1" applyBorder="1" applyAlignment="1">
      <alignment horizontal="center" vertical="center"/>
    </xf>
    <xf numFmtId="0" fontId="16" fillId="0" borderId="27" xfId="0" applyFont="1" applyBorder="1" applyAlignment="1">
      <alignment/>
    </xf>
    <xf numFmtId="0" fontId="16" fillId="0" borderId="27" xfId="0" applyFont="1" applyBorder="1" applyAlignment="1">
      <alignment horizontal="center" vertical="center"/>
    </xf>
    <xf numFmtId="2" fontId="16" fillId="0" borderId="27" xfId="0" applyNumberFormat="1" applyFont="1" applyBorder="1" applyAlignment="1">
      <alignment horizontal="center" vertical="center"/>
    </xf>
    <xf numFmtId="0" fontId="21" fillId="0" borderId="27" xfId="0" applyFont="1" applyFill="1" applyBorder="1" applyAlignment="1">
      <alignment horizontal="center" vertical="center"/>
    </xf>
    <xf numFmtId="0" fontId="21" fillId="0" borderId="27"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0" fillId="0" borderId="27" xfId="0" applyBorder="1" applyAlignment="1">
      <alignment/>
    </xf>
    <xf numFmtId="0" fontId="0" fillId="0" borderId="27" xfId="0" applyBorder="1" applyAlignment="1">
      <alignment horizontal="center" vertical="center"/>
    </xf>
    <xf numFmtId="0" fontId="16" fillId="0" borderId="27" xfId="0" applyFont="1" applyBorder="1" applyAlignment="1">
      <alignment horizontal="center" wrapText="1"/>
    </xf>
    <xf numFmtId="0" fontId="16" fillId="0" borderId="23" xfId="0" applyFont="1" applyBorder="1" applyAlignment="1">
      <alignment horizontal="center" wrapText="1"/>
    </xf>
    <xf numFmtId="0" fontId="16" fillId="0" borderId="28" xfId="0" applyFont="1" applyBorder="1" applyAlignment="1">
      <alignment/>
    </xf>
    <xf numFmtId="0" fontId="16" fillId="0" borderId="28" xfId="0" applyFont="1" applyBorder="1" applyAlignment="1">
      <alignment horizontal="center" wrapText="1"/>
    </xf>
    <xf numFmtId="0" fontId="16" fillId="0" borderId="22" xfId="0" applyFont="1" applyBorder="1" applyAlignment="1">
      <alignment horizontal="center" wrapText="1"/>
    </xf>
    <xf numFmtId="0" fontId="0" fillId="0" borderId="28" xfId="0" applyBorder="1" applyAlignment="1">
      <alignment/>
    </xf>
    <xf numFmtId="0" fontId="0" fillId="0" borderId="28" xfId="0" applyBorder="1" applyAlignment="1">
      <alignment horizontal="center" vertical="center"/>
    </xf>
    <xf numFmtId="0" fontId="63" fillId="0" borderId="23" xfId="0" applyFont="1" applyBorder="1" applyAlignment="1">
      <alignment horizontal="left" vertical="top" wrapText="1"/>
    </xf>
    <xf numFmtId="0" fontId="63" fillId="0" borderId="0" xfId="0" applyFont="1" applyBorder="1" applyAlignment="1">
      <alignment horizontal="left" vertical="top" wrapText="1"/>
    </xf>
    <xf numFmtId="0" fontId="16" fillId="0" borderId="26" xfId="0" applyFont="1" applyBorder="1" applyAlignment="1">
      <alignment wrapText="1"/>
    </xf>
    <xf numFmtId="1" fontId="16" fillId="0" borderId="26" xfId="0" applyNumberFormat="1" applyFont="1" applyBorder="1" applyAlignment="1">
      <alignment horizontal="center" wrapText="1"/>
    </xf>
    <xf numFmtId="0" fontId="16" fillId="0" borderId="27" xfId="0" applyFont="1" applyBorder="1" applyAlignment="1">
      <alignment wrapText="1"/>
    </xf>
    <xf numFmtId="165" fontId="16" fillId="0" borderId="27" xfId="0" applyNumberFormat="1" applyFont="1" applyBorder="1" applyAlignment="1">
      <alignment horizontal="center" wrapText="1"/>
    </xf>
    <xf numFmtId="0" fontId="42" fillId="0" borderId="0" xfId="0" applyFont="1" applyAlignment="1">
      <alignment wrapText="1"/>
    </xf>
    <xf numFmtId="0" fontId="16" fillId="0" borderId="28" xfId="0" applyFont="1" applyBorder="1" applyAlignment="1">
      <alignment wrapText="1"/>
    </xf>
    <xf numFmtId="165" fontId="16" fillId="0" borderId="28" xfId="0" applyNumberFormat="1" applyFont="1" applyBorder="1" applyAlignment="1">
      <alignment horizontal="center" wrapText="1"/>
    </xf>
    <xf numFmtId="0" fontId="2" fillId="0" borderId="23" xfId="0" applyFont="1" applyBorder="1" applyAlignment="1">
      <alignment/>
    </xf>
    <xf numFmtId="0" fontId="2" fillId="0" borderId="0" xfId="0" applyFont="1" applyBorder="1" applyAlignment="1">
      <alignment/>
    </xf>
    <xf numFmtId="0" fontId="0" fillId="0" borderId="32" xfId="0" applyBorder="1" applyAlignment="1">
      <alignment/>
    </xf>
    <xf numFmtId="165" fontId="2" fillId="0" borderId="0" xfId="0" applyNumberFormat="1" applyFont="1" applyFill="1" applyBorder="1" applyAlignment="1">
      <alignment horizontal="center" vertical="center"/>
    </xf>
    <xf numFmtId="165" fontId="2" fillId="0" borderId="23" xfId="0" applyNumberFormat="1" applyFont="1" applyFill="1" applyBorder="1" applyAlignment="1">
      <alignment horizontal="center" vertical="center"/>
    </xf>
    <xf numFmtId="165" fontId="0" fillId="0" borderId="0" xfId="0" applyNumberFormat="1" applyBorder="1" applyAlignment="1">
      <alignment horizontal="center" vertical="center"/>
    </xf>
    <xf numFmtId="0" fontId="0" fillId="0" borderId="31" xfId="0" applyBorder="1" applyAlignment="1">
      <alignment/>
    </xf>
    <xf numFmtId="165" fontId="0" fillId="0" borderId="0" xfId="0" applyNumberFormat="1" applyFill="1" applyBorder="1" applyAlignment="1">
      <alignment horizontal="center" vertical="center"/>
    </xf>
    <xf numFmtId="165" fontId="2" fillId="0" borderId="0" xfId="0" applyNumberFormat="1" applyFont="1" applyAlignment="1">
      <alignment horizontal="center" vertical="center"/>
    </xf>
    <xf numFmtId="165" fontId="2" fillId="0" borderId="23" xfId="0" applyNumberFormat="1" applyFont="1" applyBorder="1" applyAlignment="1">
      <alignment horizontal="center" vertical="center"/>
    </xf>
    <xf numFmtId="165" fontId="0" fillId="0" borderId="23" xfId="0" applyNumberFormat="1" applyFill="1" applyBorder="1" applyAlignment="1">
      <alignment horizontal="center" vertical="center"/>
    </xf>
    <xf numFmtId="0" fontId="0" fillId="0" borderId="33" xfId="0" applyBorder="1" applyAlignment="1">
      <alignment/>
    </xf>
    <xf numFmtId="0" fontId="63" fillId="0" borderId="0" xfId="0" applyFont="1" applyFill="1" applyBorder="1" applyAlignment="1">
      <alignment horizontal="left" vertical="center" wrapText="1"/>
    </xf>
    <xf numFmtId="0" fontId="63" fillId="0" borderId="30" xfId="0" applyFont="1" applyFill="1" applyBorder="1" applyAlignment="1">
      <alignment horizontal="left" vertical="center" wrapText="1"/>
    </xf>
    <xf numFmtId="0" fontId="63" fillId="0" borderId="1" xfId="0" applyFont="1" applyFill="1" applyBorder="1" applyAlignment="1">
      <alignment horizontal="left" vertical="center" wrapText="1"/>
    </xf>
    <xf numFmtId="0" fontId="63" fillId="0" borderId="31" xfId="0" applyFont="1" applyFill="1" applyBorder="1" applyAlignment="1">
      <alignment horizontal="left" vertical="center" wrapText="1"/>
    </xf>
    <xf numFmtId="165" fontId="2" fillId="0" borderId="26" xfId="0" applyNumberFormat="1" applyFont="1" applyFill="1" applyBorder="1" applyAlignment="1">
      <alignment horizontal="center" vertical="center"/>
    </xf>
    <xf numFmtId="165" fontId="2" fillId="0" borderId="27" xfId="0" applyNumberFormat="1" applyFont="1" applyFill="1" applyBorder="1" applyAlignment="1">
      <alignment horizontal="center" vertical="center"/>
    </xf>
    <xf numFmtId="0" fontId="42" fillId="7" borderId="0" xfId="0" applyFont="1" applyFill="1" applyAlignment="1" applyProtection="1">
      <alignment horizontal="center"/>
      <protection/>
    </xf>
    <xf numFmtId="0" fontId="42" fillId="7" borderId="0" xfId="0" applyFont="1" applyFill="1" applyAlignment="1" applyProtection="1">
      <alignment horizontal="left" vertical="top" wrapText="1"/>
      <protection/>
    </xf>
    <xf numFmtId="0" fontId="44" fillId="7" borderId="0" xfId="0" applyFont="1" applyFill="1" applyAlignment="1" applyProtection="1">
      <alignment horizontal="center"/>
      <protection/>
    </xf>
    <xf numFmtId="0" fontId="7" fillId="7" borderId="0" xfId="0" applyFont="1" applyFill="1" applyAlignment="1" applyProtection="1">
      <alignment horizontal="center"/>
      <protection/>
    </xf>
    <xf numFmtId="0" fontId="42" fillId="7" borderId="0" xfId="0" applyFont="1" applyFill="1" applyAlignment="1" applyProtection="1">
      <alignment/>
      <protection/>
    </xf>
    <xf numFmtId="0" fontId="40" fillId="7" borderId="0" xfId="0" applyFont="1" applyFill="1" applyBorder="1" applyAlignment="1" applyProtection="1">
      <alignment horizontal="center" vertical="center" wrapText="1"/>
      <protection/>
    </xf>
    <xf numFmtId="0" fontId="44" fillId="7" borderId="0" xfId="0" applyFont="1" applyFill="1" applyAlignment="1" applyProtection="1">
      <alignment horizontal="center" wrapText="1"/>
      <protection/>
    </xf>
    <xf numFmtId="0" fontId="17" fillId="7" borderId="0" xfId="0" applyFont="1" applyFill="1" applyBorder="1" applyAlignment="1" applyProtection="1">
      <alignment horizontal="center" vertical="center" wrapText="1"/>
      <protection/>
    </xf>
    <xf numFmtId="0" fontId="0" fillId="7" borderId="0" xfId="0" applyFill="1" applyAlignment="1" applyProtection="1">
      <alignment/>
      <protection/>
    </xf>
    <xf numFmtId="0" fontId="47" fillId="7" borderId="0" xfId="0" applyFont="1" applyFill="1" applyAlignment="1" applyProtection="1">
      <alignment/>
      <protection/>
    </xf>
    <xf numFmtId="0" fontId="44" fillId="7" borderId="0" xfId="0" applyFont="1" applyFill="1" applyBorder="1" applyAlignment="1" applyProtection="1">
      <alignment horizontal="left" vertical="top" wrapText="1"/>
      <protection/>
    </xf>
    <xf numFmtId="0" fontId="44" fillId="7" borderId="0" xfId="0" applyFont="1" applyFill="1" applyBorder="1" applyAlignment="1" applyProtection="1">
      <alignment vertical="distributed"/>
      <protection/>
    </xf>
    <xf numFmtId="0" fontId="44" fillId="7" borderId="0" xfId="0" applyFont="1" applyFill="1" applyBorder="1" applyAlignment="1" applyProtection="1">
      <alignment wrapText="1"/>
      <protection/>
    </xf>
    <xf numFmtId="0" fontId="44" fillId="7" borderId="0" xfId="0" applyFont="1" applyFill="1" applyAlignment="1" applyProtection="1">
      <alignment horizontal="left" vertical="top" wrapText="1"/>
      <protection/>
    </xf>
    <xf numFmtId="0" fontId="44" fillId="7" borderId="0" xfId="0" applyFont="1" applyFill="1" applyAlignment="1" applyProtection="1">
      <alignment vertical="distributed"/>
      <protection/>
    </xf>
    <xf numFmtId="0" fontId="42" fillId="7" borderId="0" xfId="0" applyFont="1" applyFill="1" applyAlignment="1">
      <alignment horizontal="left" vertical="top" wrapText="1"/>
    </xf>
    <xf numFmtId="49" fontId="0" fillId="7" borderId="0" xfId="0" applyNumberFormat="1" applyFill="1" applyAlignment="1">
      <alignment/>
    </xf>
    <xf numFmtId="0" fontId="17" fillId="0" borderId="0" xfId="0" applyFont="1" applyFill="1" applyBorder="1" applyAlignment="1">
      <alignment horizontal="right"/>
    </xf>
    <xf numFmtId="0" fontId="17" fillId="0" borderId="0" xfId="0" applyFont="1" applyBorder="1" applyAlignment="1">
      <alignment horizontal="left" indent="1"/>
    </xf>
    <xf numFmtId="0" fontId="17" fillId="0" borderId="0" xfId="0" applyFont="1" applyBorder="1" applyAlignment="1" applyProtection="1">
      <alignment/>
      <protection locked="0"/>
    </xf>
    <xf numFmtId="0" fontId="0" fillId="0" borderId="0" xfId="0" applyFont="1" applyBorder="1" applyAlignment="1">
      <alignment/>
    </xf>
    <xf numFmtId="0" fontId="7" fillId="0" borderId="0" xfId="0" applyFont="1" applyBorder="1" applyAlignment="1">
      <alignment/>
    </xf>
    <xf numFmtId="0" fontId="16" fillId="0" borderId="21" xfId="0" applyFont="1" applyBorder="1" applyAlignment="1">
      <alignment horizontal="left" vertical="top" wrapText="1"/>
    </xf>
    <xf numFmtId="0" fontId="2" fillId="0" borderId="21" xfId="0" applyFont="1" applyFill="1" applyBorder="1" applyAlignment="1">
      <alignment/>
    </xf>
    <xf numFmtId="0" fontId="21" fillId="0" borderId="0" xfId="0" applyFont="1" applyAlignment="1">
      <alignment horizontal="right" indent="1"/>
    </xf>
    <xf numFmtId="0" fontId="16" fillId="3" borderId="131" xfId="0" applyFont="1" applyFill="1" applyBorder="1" applyAlignment="1" applyProtection="1">
      <alignment horizontal="right" vertical="center"/>
      <protection/>
    </xf>
    <xf numFmtId="0" fontId="16" fillId="3" borderId="25" xfId="0" applyFont="1" applyFill="1" applyBorder="1" applyAlignment="1" applyProtection="1">
      <alignment horizontal="left" vertical="center"/>
      <protection/>
    </xf>
    <xf numFmtId="0" fontId="69" fillId="2" borderId="23" xfId="0" applyFont="1" applyFill="1" applyBorder="1" applyAlignment="1">
      <alignment/>
    </xf>
    <xf numFmtId="0" fontId="2" fillId="2" borderId="0" xfId="0" applyFont="1" applyFill="1" applyAlignment="1">
      <alignment/>
    </xf>
    <xf numFmtId="0" fontId="2" fillId="2" borderId="30" xfId="0" applyFont="1" applyFill="1" applyBorder="1" applyAlignment="1">
      <alignment/>
    </xf>
    <xf numFmtId="0" fontId="2" fillId="2" borderId="31" xfId="0" applyFont="1" applyFill="1" applyBorder="1" applyAlignment="1">
      <alignment/>
    </xf>
    <xf numFmtId="0" fontId="2" fillId="2" borderId="32" xfId="0" applyFont="1" applyFill="1" applyBorder="1" applyAlignment="1">
      <alignment/>
    </xf>
    <xf numFmtId="49" fontId="16" fillId="2" borderId="32" xfId="0" applyNumberFormat="1" applyFont="1" applyFill="1" applyBorder="1" applyAlignment="1">
      <alignment/>
    </xf>
    <xf numFmtId="0" fontId="0" fillId="2" borderId="32" xfId="0" applyFill="1" applyBorder="1" applyAlignment="1">
      <alignment/>
    </xf>
    <xf numFmtId="0" fontId="69" fillId="2" borderId="22" xfId="0" applyNumberFormat="1" applyFont="1" applyFill="1" applyBorder="1" applyAlignment="1" applyProtection="1">
      <alignment/>
      <protection/>
    </xf>
    <xf numFmtId="0" fontId="2" fillId="2" borderId="33" xfId="0" applyFont="1" applyFill="1" applyBorder="1" applyAlignment="1">
      <alignment/>
    </xf>
    <xf numFmtId="1" fontId="16" fillId="5" borderId="141" xfId="0" applyNumberFormat="1" applyFont="1" applyFill="1" applyBorder="1" applyAlignment="1" applyProtection="1">
      <alignment horizontal="center" vertical="center"/>
      <protection locked="0"/>
    </xf>
    <xf numFmtId="1" fontId="16" fillId="5" borderId="142" xfId="0" applyNumberFormat="1" applyFont="1" applyFill="1" applyBorder="1" applyAlignment="1" applyProtection="1">
      <alignment horizontal="center" vertical="center"/>
      <protection locked="0"/>
    </xf>
    <xf numFmtId="1" fontId="16" fillId="5" borderId="143" xfId="0" applyNumberFormat="1" applyFont="1" applyFill="1" applyBorder="1" applyAlignment="1" applyProtection="1">
      <alignment horizontal="center" vertical="center"/>
      <protection locked="0"/>
    </xf>
    <xf numFmtId="1" fontId="16" fillId="5" borderId="144" xfId="0" applyNumberFormat="1" applyFont="1" applyFill="1" applyBorder="1" applyAlignment="1" applyProtection="1">
      <alignment horizontal="center" vertical="center"/>
      <protection locked="0"/>
    </xf>
    <xf numFmtId="1" fontId="16" fillId="5" borderId="145" xfId="0" applyNumberFormat="1" applyFont="1" applyFill="1" applyBorder="1" applyAlignment="1" applyProtection="1">
      <alignment horizontal="center" vertical="center"/>
      <protection locked="0"/>
    </xf>
    <xf numFmtId="1" fontId="16" fillId="5" borderId="146" xfId="0" applyNumberFormat="1" applyFont="1" applyFill="1" applyBorder="1" applyAlignment="1" applyProtection="1">
      <alignment horizontal="center" vertical="center"/>
      <protection locked="0"/>
    </xf>
    <xf numFmtId="0" fontId="16" fillId="5" borderId="29" xfId="0" applyFont="1" applyFill="1" applyBorder="1" applyAlignment="1" applyProtection="1">
      <alignment horizontal="center" vertical="center" wrapText="1"/>
      <protection locked="0"/>
    </xf>
    <xf numFmtId="0" fontId="16" fillId="5" borderId="29" xfId="0" applyFont="1" applyFill="1" applyBorder="1" applyAlignment="1" applyProtection="1">
      <alignment horizontal="center" vertical="center"/>
      <protection locked="0"/>
    </xf>
    <xf numFmtId="0" fontId="21" fillId="5" borderId="26" xfId="0" applyFont="1" applyFill="1" applyBorder="1" applyAlignment="1" applyProtection="1">
      <alignment horizontal="center" vertical="center"/>
      <protection locked="0"/>
    </xf>
    <xf numFmtId="1" fontId="16" fillId="5" borderId="147" xfId="0" applyNumberFormat="1" applyFont="1" applyFill="1" applyBorder="1" applyAlignment="1" applyProtection="1">
      <alignment horizontal="center" vertical="center"/>
      <protection locked="0"/>
    </xf>
    <xf numFmtId="1" fontId="16" fillId="5" borderId="143" xfId="0" applyNumberFormat="1" applyFont="1" applyFill="1" applyBorder="1" applyAlignment="1" applyProtection="1">
      <alignment horizontal="center" vertical="center"/>
      <protection locked="0"/>
    </xf>
    <xf numFmtId="1" fontId="16" fillId="5" borderId="144" xfId="0" applyNumberFormat="1" applyFont="1" applyFill="1" applyBorder="1" applyAlignment="1" applyProtection="1">
      <alignment horizontal="center" vertical="center"/>
      <protection locked="0"/>
    </xf>
    <xf numFmtId="1" fontId="16" fillId="5" borderId="148" xfId="0" applyNumberFormat="1" applyFont="1" applyFill="1" applyBorder="1" applyAlignment="1" applyProtection="1">
      <alignment horizontal="center" vertical="center"/>
      <protection locked="0"/>
    </xf>
    <xf numFmtId="1" fontId="16" fillId="5" borderId="145" xfId="0" applyNumberFormat="1" applyFont="1" applyFill="1" applyBorder="1" applyAlignment="1" applyProtection="1">
      <alignment horizontal="center" vertical="center"/>
      <protection locked="0"/>
    </xf>
    <xf numFmtId="1" fontId="16" fillId="5" borderId="146" xfId="0" applyNumberFormat="1" applyFont="1" applyFill="1" applyBorder="1" applyAlignment="1" applyProtection="1">
      <alignment horizontal="center" vertical="center"/>
      <protection locked="0"/>
    </xf>
    <xf numFmtId="49" fontId="2" fillId="5" borderId="149" xfId="0" applyNumberFormat="1" applyFont="1" applyFill="1" applyBorder="1" applyAlignment="1" applyProtection="1">
      <alignment horizontal="center" vertical="center"/>
      <protection locked="0"/>
    </xf>
    <xf numFmtId="49" fontId="2" fillId="5" borderId="141" xfId="0" applyNumberFormat="1" applyFont="1" applyFill="1" applyBorder="1" applyAlignment="1" applyProtection="1">
      <alignment horizontal="center" vertical="center"/>
      <protection locked="0"/>
    </xf>
    <xf numFmtId="49" fontId="66" fillId="5" borderId="141" xfId="0" applyNumberFormat="1" applyFont="1" applyFill="1" applyBorder="1" applyAlignment="1" applyProtection="1">
      <alignment horizontal="center" vertical="center"/>
      <protection locked="0"/>
    </xf>
    <xf numFmtId="49" fontId="16" fillId="5" borderId="141" xfId="0" applyNumberFormat="1" applyFont="1" applyFill="1" applyBorder="1" applyAlignment="1" applyProtection="1">
      <alignment horizontal="center" vertical="center"/>
      <protection locked="0"/>
    </xf>
    <xf numFmtId="49" fontId="16" fillId="5" borderId="142" xfId="0" applyNumberFormat="1" applyFont="1" applyFill="1" applyBorder="1" applyAlignment="1" applyProtection="1">
      <alignment horizontal="center" vertical="center"/>
      <protection locked="0"/>
    </xf>
    <xf numFmtId="49" fontId="2" fillId="5" borderId="147" xfId="0" applyNumberFormat="1" applyFont="1" applyFill="1" applyBorder="1" applyAlignment="1" applyProtection="1">
      <alignment horizontal="center" vertical="center"/>
      <protection locked="0"/>
    </xf>
    <xf numFmtId="49" fontId="2" fillId="5" borderId="143" xfId="0" applyNumberFormat="1" applyFont="1" applyFill="1" applyBorder="1" applyAlignment="1" applyProtection="1">
      <alignment horizontal="center" vertical="center"/>
      <protection locked="0"/>
    </xf>
    <xf numFmtId="49" fontId="66" fillId="5" borderId="143" xfId="0" applyNumberFormat="1" applyFont="1" applyFill="1" applyBorder="1" applyAlignment="1" applyProtection="1">
      <alignment horizontal="center" vertical="center"/>
      <protection locked="0"/>
    </xf>
    <xf numFmtId="49" fontId="16" fillId="5" borderId="143" xfId="0" applyNumberFormat="1" applyFont="1" applyFill="1" applyBorder="1" applyAlignment="1" applyProtection="1">
      <alignment horizontal="center" vertical="center"/>
      <protection locked="0"/>
    </xf>
    <xf numFmtId="49" fontId="16" fillId="5" borderId="144" xfId="0" applyNumberFormat="1" applyFont="1" applyFill="1" applyBorder="1" applyAlignment="1" applyProtection="1">
      <alignment horizontal="center" vertical="center"/>
      <protection locked="0"/>
    </xf>
    <xf numFmtId="49" fontId="16" fillId="5" borderId="150" xfId="0" applyNumberFormat="1" applyFont="1" applyFill="1" applyBorder="1" applyAlignment="1" applyProtection="1">
      <alignment horizontal="center" vertical="center"/>
      <protection locked="0"/>
    </xf>
    <xf numFmtId="49" fontId="16" fillId="5" borderId="145" xfId="0" applyNumberFormat="1" applyFont="1" applyFill="1" applyBorder="1" applyAlignment="1" applyProtection="1">
      <alignment horizontal="center" vertical="center"/>
      <protection locked="0"/>
    </xf>
    <xf numFmtId="49" fontId="16" fillId="5" borderId="146" xfId="0" applyNumberFormat="1" applyFont="1" applyFill="1" applyBorder="1" applyAlignment="1" applyProtection="1">
      <alignment horizontal="center" vertical="center"/>
      <protection locked="0"/>
    </xf>
    <xf numFmtId="0" fontId="2" fillId="5" borderId="0" xfId="0" applyFont="1" applyFill="1" applyBorder="1" applyAlignment="1">
      <alignment/>
    </xf>
    <xf numFmtId="0" fontId="21" fillId="5" borderId="0" xfId="0" applyFont="1" applyFill="1" applyBorder="1" applyAlignment="1">
      <alignment horizontal="center" vertical="center"/>
    </xf>
    <xf numFmtId="0" fontId="21" fillId="5" borderId="0" xfId="0" applyFont="1" applyFill="1" applyBorder="1" applyAlignment="1">
      <alignment vertical="center"/>
    </xf>
    <xf numFmtId="0" fontId="2" fillId="5" borderId="32" xfId="0" applyFont="1" applyFill="1" applyBorder="1" applyAlignment="1">
      <alignment/>
    </xf>
    <xf numFmtId="0" fontId="16" fillId="0" borderId="151" xfId="0" applyFont="1" applyBorder="1" applyAlignment="1">
      <alignment/>
    </xf>
    <xf numFmtId="0" fontId="16" fillId="0" borderId="152" xfId="0" applyFont="1" applyBorder="1" applyAlignment="1">
      <alignment/>
    </xf>
    <xf numFmtId="164" fontId="16" fillId="0" borderId="151" xfId="0" applyNumberFormat="1" applyFont="1" applyBorder="1" applyAlignment="1">
      <alignment/>
    </xf>
    <xf numFmtId="164" fontId="16" fillId="0" borderId="152" xfId="0" applyNumberFormat="1" applyFont="1" applyBorder="1" applyAlignment="1">
      <alignment/>
    </xf>
    <xf numFmtId="0" fontId="16" fillId="0" borderId="29" xfId="0" applyFont="1" applyBorder="1" applyAlignment="1">
      <alignment horizontal="center"/>
    </xf>
    <xf numFmtId="0" fontId="16" fillId="0" borderId="29" xfId="0" applyFont="1" applyFill="1" applyBorder="1" applyAlignment="1">
      <alignment horizontal="center" vertical="center" wrapText="1"/>
    </xf>
    <xf numFmtId="0" fontId="16" fillId="0" borderId="153" xfId="0" applyFont="1" applyFill="1" applyBorder="1" applyAlignment="1">
      <alignment wrapText="1"/>
    </xf>
    <xf numFmtId="0" fontId="16" fillId="0" borderId="153" xfId="0" applyFont="1" applyFill="1" applyBorder="1" applyAlignment="1">
      <alignment horizontal="center" wrapText="1"/>
    </xf>
    <xf numFmtId="0" fontId="16" fillId="0" borderId="153" xfId="0" applyFont="1" applyFill="1" applyBorder="1" applyAlignment="1">
      <alignment horizontal="left" wrapText="1"/>
    </xf>
    <xf numFmtId="0" fontId="16" fillId="0" borderId="153" xfId="0" applyFont="1" applyFill="1" applyBorder="1" applyAlignment="1">
      <alignment horizontal="right" wrapText="1"/>
    </xf>
    <xf numFmtId="2" fontId="16" fillId="0" borderId="153" xfId="0" applyNumberFormat="1" applyFont="1" applyFill="1" applyBorder="1" applyAlignment="1">
      <alignment wrapText="1"/>
    </xf>
    <xf numFmtId="164" fontId="16" fillId="0" borderId="153" xfId="0" applyNumberFormat="1" applyFont="1" applyBorder="1" applyAlignment="1">
      <alignment/>
    </xf>
    <xf numFmtId="0" fontId="16" fillId="0" borderId="151" xfId="0" applyFont="1" applyFill="1" applyBorder="1" applyAlignment="1">
      <alignment wrapText="1"/>
    </xf>
    <xf numFmtId="0" fontId="16" fillId="0" borderId="151" xfId="0" applyFont="1" applyFill="1" applyBorder="1" applyAlignment="1">
      <alignment horizontal="center" wrapText="1"/>
    </xf>
    <xf numFmtId="0" fontId="16" fillId="0" borderId="151" xfId="0" applyFont="1" applyFill="1" applyBorder="1" applyAlignment="1">
      <alignment horizontal="left" wrapText="1"/>
    </xf>
    <xf numFmtId="0" fontId="16" fillId="0" borderId="151" xfId="0" applyFont="1" applyFill="1" applyBorder="1" applyAlignment="1">
      <alignment horizontal="right" wrapText="1"/>
    </xf>
    <xf numFmtId="2" fontId="16" fillId="0" borderId="151" xfId="0" applyNumberFormat="1" applyFont="1" applyFill="1" applyBorder="1" applyAlignment="1">
      <alignment wrapText="1"/>
    </xf>
    <xf numFmtId="3" fontId="16" fillId="0" borderId="151" xfId="0" applyNumberFormat="1" applyFont="1" applyFill="1" applyBorder="1" applyAlignment="1">
      <alignment horizontal="center" wrapText="1"/>
    </xf>
    <xf numFmtId="0" fontId="16" fillId="0" borderId="151" xfId="0" applyNumberFormat="1" applyFont="1" applyFill="1" applyBorder="1" applyAlignment="1" applyProtection="1">
      <alignment wrapText="1"/>
      <protection/>
    </xf>
    <xf numFmtId="0" fontId="16" fillId="0" borderId="152" xfId="0" applyFont="1" applyFill="1" applyBorder="1" applyAlignment="1">
      <alignment wrapText="1"/>
    </xf>
    <xf numFmtId="0" fontId="16" fillId="0" borderId="152" xfId="0" applyFont="1" applyFill="1" applyBorder="1" applyAlignment="1">
      <alignment horizontal="center" wrapText="1"/>
    </xf>
    <xf numFmtId="0" fontId="16" fillId="0" borderId="152" xfId="0" applyFont="1" applyFill="1" applyBorder="1" applyAlignment="1">
      <alignment horizontal="left" wrapText="1"/>
    </xf>
    <xf numFmtId="0" fontId="16" fillId="0" borderId="152" xfId="0" applyFont="1" applyFill="1" applyBorder="1" applyAlignment="1">
      <alignment horizontal="right" wrapText="1"/>
    </xf>
    <xf numFmtId="2" fontId="16" fillId="0" borderId="152" xfId="0" applyNumberFormat="1" applyFont="1" applyFill="1" applyBorder="1" applyAlignment="1">
      <alignment wrapText="1"/>
    </xf>
    <xf numFmtId="0" fontId="21" fillId="0" borderId="23" xfId="0" applyFont="1" applyBorder="1" applyAlignment="1">
      <alignment horizontal="center" vertical="center"/>
    </xf>
    <xf numFmtId="0" fontId="62" fillId="8" borderId="21" xfId="0" applyFont="1" applyFill="1" applyBorder="1" applyAlignment="1">
      <alignment horizontal="left" vertical="center"/>
    </xf>
    <xf numFmtId="164" fontId="16" fillId="0" borderId="151" xfId="0" applyNumberFormat="1" applyFont="1" applyFill="1" applyBorder="1" applyAlignment="1">
      <alignment/>
    </xf>
    <xf numFmtId="0" fontId="17" fillId="0" borderId="32" xfId="0" applyFont="1" applyBorder="1" applyAlignment="1" applyProtection="1">
      <alignment horizontal="left" vertical="center" wrapText="1"/>
      <protection/>
    </xf>
    <xf numFmtId="0" fontId="21" fillId="9" borderId="30" xfId="0" applyFont="1" applyFill="1" applyBorder="1" applyAlignment="1" applyProtection="1">
      <alignment horizontal="center"/>
      <protection/>
    </xf>
    <xf numFmtId="0" fontId="21" fillId="0" borderId="30" xfId="0" applyFont="1" applyBorder="1" applyAlignment="1" applyProtection="1">
      <alignment horizontal="center"/>
      <protection/>
    </xf>
    <xf numFmtId="0" fontId="21" fillId="0" borderId="23" xfId="0" applyFont="1" applyBorder="1" applyAlignment="1" applyProtection="1">
      <alignment horizontal="center" vertical="center"/>
      <protection/>
    </xf>
    <xf numFmtId="0" fontId="7" fillId="0" borderId="23" xfId="0" applyFont="1" applyBorder="1" applyAlignment="1" applyProtection="1">
      <alignment horizontal="center" vertical="center"/>
      <protection/>
    </xf>
    <xf numFmtId="1" fontId="16" fillId="3" borderId="141" xfId="0" applyNumberFormat="1" applyFont="1" applyFill="1" applyBorder="1" applyAlignment="1" applyProtection="1">
      <alignment horizontal="center" vertical="center"/>
      <protection/>
    </xf>
    <xf numFmtId="0" fontId="16" fillId="3" borderId="29" xfId="0" applyNumberFormat="1" applyFont="1" applyFill="1" applyBorder="1" applyAlignment="1" applyProtection="1">
      <alignment horizontal="center" vertical="center"/>
      <protection/>
    </xf>
    <xf numFmtId="1" fontId="16" fillId="3" borderId="29" xfId="0" applyNumberFormat="1" applyFont="1" applyFill="1" applyBorder="1" applyAlignment="1" applyProtection="1">
      <alignment horizontal="center" vertical="center"/>
      <protection/>
    </xf>
    <xf numFmtId="0" fontId="26" fillId="0" borderId="0" xfId="0" applyFont="1" applyAlignment="1" applyProtection="1">
      <alignment horizontal="left"/>
      <protection/>
    </xf>
    <xf numFmtId="0" fontId="2" fillId="0" borderId="0" xfId="0" applyFont="1" applyAlignment="1" applyProtection="1">
      <alignment horizontal="centerContinuous"/>
      <protection/>
    </xf>
    <xf numFmtId="0" fontId="17" fillId="0" borderId="0" xfId="0" applyFont="1" applyAlignment="1" applyProtection="1">
      <alignment horizontal="right" indent="1"/>
      <protection/>
    </xf>
    <xf numFmtId="0" fontId="2" fillId="0" borderId="0" xfId="0" applyFont="1" applyFill="1" applyBorder="1" applyAlignment="1" applyProtection="1">
      <alignment/>
      <protection/>
    </xf>
    <xf numFmtId="0" fontId="17" fillId="0" borderId="0" xfId="0" applyFont="1" applyAlignment="1" applyProtection="1">
      <alignment horizontal="right"/>
      <protection/>
    </xf>
    <xf numFmtId="14" fontId="16" fillId="3" borderId="21" xfId="0" applyNumberFormat="1" applyFont="1" applyFill="1" applyBorder="1" applyAlignment="1" applyProtection="1">
      <alignment horizontal="center"/>
      <protection/>
    </xf>
    <xf numFmtId="3" fontId="16" fillId="3" borderId="5" xfId="0" applyNumberFormat="1" applyFont="1" applyFill="1" applyBorder="1" applyAlignment="1" applyProtection="1">
      <alignment horizontal="center"/>
      <protection/>
    </xf>
    <xf numFmtId="3" fontId="16" fillId="3" borderId="139" xfId="0" applyNumberFormat="1" applyFont="1" applyFill="1" applyBorder="1" applyAlignment="1" applyProtection="1">
      <alignment horizontal="center"/>
      <protection/>
    </xf>
    <xf numFmtId="3" fontId="16" fillId="3" borderId="53" xfId="0" applyNumberFormat="1" applyFont="1" applyFill="1" applyBorder="1" applyAlignment="1" applyProtection="1">
      <alignment horizontal="center"/>
      <protection/>
    </xf>
    <xf numFmtId="3" fontId="16" fillId="3" borderId="35" xfId="0" applyNumberFormat="1" applyFont="1" applyFill="1" applyBorder="1" applyAlignment="1" applyProtection="1">
      <alignment horizontal="center"/>
      <protection/>
    </xf>
    <xf numFmtId="3" fontId="16" fillId="3" borderId="154" xfId="0" applyNumberFormat="1" applyFont="1" applyFill="1" applyBorder="1" applyAlignment="1" applyProtection="1">
      <alignment horizontal="center"/>
      <protection/>
    </xf>
    <xf numFmtId="0" fontId="2" fillId="0" borderId="0" xfId="0" applyFont="1" applyAlignment="1" applyProtection="1">
      <alignment/>
      <protection/>
    </xf>
    <xf numFmtId="0" fontId="17" fillId="0" borderId="0" xfId="0" applyFont="1" applyAlignment="1" applyProtection="1">
      <alignment horizontal="right" indent="1"/>
      <protection/>
    </xf>
    <xf numFmtId="0" fontId="2" fillId="0" borderId="0" xfId="0" applyFont="1" applyFill="1" applyBorder="1" applyAlignment="1">
      <alignment/>
    </xf>
    <xf numFmtId="0" fontId="2" fillId="0" borderId="0" xfId="0" applyFont="1" applyBorder="1" applyAlignment="1">
      <alignment/>
    </xf>
    <xf numFmtId="0" fontId="17" fillId="0" borderId="0" xfId="0" applyFont="1" applyFill="1" applyBorder="1" applyAlignment="1" applyProtection="1">
      <alignment horizontal="right"/>
      <protection/>
    </xf>
    <xf numFmtId="0" fontId="17" fillId="0" borderId="0" xfId="0" applyFont="1" applyAlignment="1" applyProtection="1">
      <alignment horizontal="center"/>
      <protection/>
    </xf>
    <xf numFmtId="0" fontId="2" fillId="0" borderId="0" xfId="0" applyFont="1" applyAlignment="1" applyProtection="1">
      <alignment horizontal="right"/>
      <protection/>
    </xf>
    <xf numFmtId="0" fontId="2" fillId="0" borderId="0" xfId="0" applyFont="1" applyBorder="1" applyAlignment="1" applyProtection="1">
      <alignment/>
      <protection locked="0"/>
    </xf>
    <xf numFmtId="0" fontId="2" fillId="0" borderId="0" xfId="0" applyFont="1" applyBorder="1" applyAlignment="1" applyProtection="1">
      <alignment/>
      <protection/>
    </xf>
    <xf numFmtId="0" fontId="17" fillId="0" borderId="0" xfId="0" applyFont="1" applyBorder="1" applyAlignment="1">
      <alignment horizontal="left" indent="3"/>
    </xf>
    <xf numFmtId="0" fontId="2" fillId="0" borderId="0" xfId="0" applyFont="1" applyAlignment="1">
      <alignment horizontal="right"/>
    </xf>
    <xf numFmtId="3" fontId="25" fillId="3" borderId="124" xfId="0" applyNumberFormat="1" applyFont="1" applyFill="1" applyBorder="1" applyAlignment="1" applyProtection="1">
      <alignment horizontal="center"/>
      <protection/>
    </xf>
    <xf numFmtId="3" fontId="16" fillId="3" borderId="155" xfId="0" applyNumberFormat="1" applyFont="1" applyFill="1" applyBorder="1" applyAlignment="1" applyProtection="1">
      <alignment horizontal="center"/>
      <protection/>
    </xf>
    <xf numFmtId="3" fontId="16" fillId="3" borderId="156" xfId="0" applyNumberFormat="1" applyFont="1" applyFill="1" applyBorder="1" applyAlignment="1" applyProtection="1">
      <alignment horizontal="center"/>
      <protection/>
    </xf>
    <xf numFmtId="3" fontId="16" fillId="3" borderId="157" xfId="0" applyNumberFormat="1" applyFont="1" applyFill="1" applyBorder="1" applyAlignment="1" applyProtection="1">
      <alignment horizontal="center"/>
      <protection/>
    </xf>
    <xf numFmtId="1" fontId="16" fillId="3" borderId="147" xfId="0" applyNumberFormat="1" applyFont="1" applyFill="1" applyBorder="1" applyAlignment="1" applyProtection="1">
      <alignment horizontal="center" vertical="center"/>
      <protection locked="0"/>
    </xf>
    <xf numFmtId="1" fontId="16" fillId="10" borderId="141" xfId="0" applyNumberFormat="1" applyFont="1" applyFill="1" applyBorder="1" applyAlignment="1" applyProtection="1">
      <alignment horizontal="center" vertical="center"/>
      <protection locked="0"/>
    </xf>
    <xf numFmtId="1" fontId="16" fillId="10" borderId="142" xfId="0" applyNumberFormat="1" applyFont="1" applyFill="1" applyBorder="1" applyAlignment="1" applyProtection="1">
      <alignment horizontal="center" vertical="center"/>
      <protection locked="0"/>
    </xf>
    <xf numFmtId="1" fontId="16" fillId="10" borderId="143" xfId="0" applyNumberFormat="1" applyFont="1" applyFill="1" applyBorder="1" applyAlignment="1" applyProtection="1">
      <alignment horizontal="center" vertical="center"/>
      <protection locked="0"/>
    </xf>
    <xf numFmtId="1" fontId="16" fillId="10" borderId="144"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center" wrapText="1"/>
      <protection/>
    </xf>
    <xf numFmtId="0" fontId="7" fillId="0" borderId="23"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left" vertical="center" wrapText="1"/>
      <protection/>
    </xf>
    <xf numFmtId="1" fontId="16" fillId="0" borderId="0" xfId="0" applyNumberFormat="1" applyFont="1" applyFill="1" applyBorder="1" applyAlignment="1" applyProtection="1">
      <alignment horizontal="center" vertical="center"/>
      <protection locked="0"/>
    </xf>
    <xf numFmtId="1" fontId="16" fillId="0" borderId="32" xfId="0" applyNumberFormat="1" applyFont="1" applyFill="1" applyBorder="1" applyAlignment="1" applyProtection="1">
      <alignment horizontal="center" vertical="center"/>
      <protection locked="0"/>
    </xf>
    <xf numFmtId="0" fontId="17" fillId="0" borderId="0" xfId="0" applyFont="1" applyBorder="1" applyAlignment="1">
      <alignment horizontal="left"/>
    </xf>
    <xf numFmtId="0" fontId="16" fillId="0" borderId="0" xfId="0" applyFont="1" applyBorder="1" applyAlignment="1">
      <alignment/>
    </xf>
    <xf numFmtId="0" fontId="21" fillId="0" borderId="0" xfId="0" applyFont="1" applyFill="1" applyBorder="1" applyAlignment="1">
      <alignment horizontal="right" vertical="center"/>
    </xf>
    <xf numFmtId="0" fontId="16" fillId="0" borderId="0" xfId="0" applyNumberFormat="1" applyFont="1" applyFill="1" applyBorder="1" applyAlignment="1" applyProtection="1">
      <alignment horizontal="left" vertical="center" shrinkToFit="1"/>
      <protection locked="0"/>
    </xf>
    <xf numFmtId="49" fontId="16" fillId="0" borderId="0" xfId="0" applyNumberFormat="1" applyFont="1" applyFill="1" applyBorder="1" applyAlignment="1" applyProtection="1">
      <alignment horizontal="center" vertical="center" shrinkToFit="1"/>
      <protection locked="0"/>
    </xf>
    <xf numFmtId="49" fontId="16" fillId="0" borderId="0" xfId="0" applyNumberFormat="1" applyFont="1" applyFill="1" applyBorder="1" applyAlignment="1" applyProtection="1">
      <alignment horizontal="center" vertical="center"/>
      <protection locked="0"/>
    </xf>
    <xf numFmtId="49" fontId="16" fillId="0" borderId="0" xfId="0" applyNumberFormat="1" applyFont="1" applyFill="1" applyAlignment="1">
      <alignment/>
    </xf>
    <xf numFmtId="2" fontId="16" fillId="3" borderId="29" xfId="0" applyNumberFormat="1" applyFont="1" applyFill="1" applyBorder="1" applyAlignment="1" applyProtection="1">
      <alignment horizontal="center" vertical="center"/>
      <protection/>
    </xf>
    <xf numFmtId="0" fontId="16" fillId="3" borderId="29" xfId="0" applyNumberFormat="1" applyFont="1" applyFill="1" applyBorder="1" applyAlignment="1" applyProtection="1">
      <alignment horizontal="center" vertical="center" wrapText="1"/>
      <protection/>
    </xf>
    <xf numFmtId="0" fontId="16" fillId="0" borderId="0" xfId="0" applyFont="1" applyFill="1" applyBorder="1" applyAlignment="1" applyProtection="1">
      <alignment horizontal="center" vertical="center"/>
      <protection locked="0"/>
    </xf>
    <xf numFmtId="0" fontId="16" fillId="0" borderId="0" xfId="0" applyFont="1" applyBorder="1" applyAlignment="1" applyProtection="1">
      <alignment horizontal="right"/>
      <protection/>
    </xf>
    <xf numFmtId="1" fontId="16" fillId="5" borderId="158" xfId="0" applyNumberFormat="1" applyFont="1" applyFill="1" applyBorder="1" applyAlignment="1" applyProtection="1">
      <alignment horizontal="center" vertical="center"/>
      <protection locked="0"/>
    </xf>
    <xf numFmtId="1" fontId="16" fillId="5" borderId="159" xfId="0" applyNumberFormat="1" applyFont="1" applyFill="1" applyBorder="1" applyAlignment="1" applyProtection="1">
      <alignment horizontal="center" vertical="center"/>
      <protection locked="0"/>
    </xf>
    <xf numFmtId="1" fontId="16" fillId="5" borderId="160"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center"/>
      <protection/>
    </xf>
    <xf numFmtId="0" fontId="16" fillId="0" borderId="1" xfId="0" applyNumberFormat="1" applyFont="1" applyFill="1" applyBorder="1" applyAlignment="1" applyProtection="1">
      <alignment horizontal="left" vertical="center"/>
      <protection/>
    </xf>
    <xf numFmtId="0" fontId="16" fillId="0" borderId="1" xfId="0" applyNumberFormat="1" applyFont="1" applyFill="1" applyBorder="1" applyAlignment="1" applyProtection="1">
      <alignment horizontal="center" vertical="center"/>
      <protection/>
    </xf>
    <xf numFmtId="2" fontId="16" fillId="0" borderId="1" xfId="0" applyNumberFormat="1" applyFont="1" applyFill="1" applyBorder="1" applyAlignment="1" applyProtection="1">
      <alignment horizontal="center" vertical="center"/>
      <protection/>
    </xf>
    <xf numFmtId="1" fontId="16" fillId="0" borderId="1" xfId="0" applyNumberFormat="1" applyFont="1" applyFill="1" applyBorder="1" applyAlignment="1" applyProtection="1">
      <alignment horizontal="center" vertical="center"/>
      <protection/>
    </xf>
    <xf numFmtId="0" fontId="16" fillId="0" borderId="27" xfId="0" applyFont="1" applyBorder="1" applyAlignment="1">
      <alignment horizontal="center" vertical="center"/>
    </xf>
    <xf numFmtId="0" fontId="16" fillId="0" borderId="27" xfId="0" applyFont="1" applyFill="1" applyBorder="1" applyAlignment="1" applyProtection="1">
      <alignment horizontal="center" vertical="center"/>
      <protection locked="0"/>
    </xf>
    <xf numFmtId="0" fontId="21" fillId="0" borderId="27" xfId="0" applyFont="1" applyBorder="1" applyAlignment="1">
      <alignment horizontal="center" vertical="center"/>
    </xf>
    <xf numFmtId="0" fontId="77" fillId="0" borderId="0" xfId="0" applyFont="1" applyBorder="1" applyAlignment="1">
      <alignment horizontal="center" vertical="center" wrapText="1"/>
    </xf>
    <xf numFmtId="0" fontId="2" fillId="0" borderId="27" xfId="0" applyFont="1" applyBorder="1" applyAlignment="1">
      <alignment/>
    </xf>
    <xf numFmtId="0" fontId="2" fillId="0" borderId="27" xfId="0" applyFont="1" applyBorder="1" applyAlignment="1">
      <alignment horizontal="left" vertical="center"/>
    </xf>
    <xf numFmtId="0" fontId="16" fillId="0" borderId="0" xfId="0" applyFont="1" applyBorder="1" applyAlignment="1" applyProtection="1">
      <alignment horizontal="left" vertical="center" wrapText="1"/>
      <protection/>
    </xf>
    <xf numFmtId="0" fontId="0" fillId="0" borderId="23" xfId="0" applyBorder="1" applyAlignment="1">
      <alignment horizontal="center" vertical="center"/>
    </xf>
    <xf numFmtId="0" fontId="16" fillId="0" borderId="23" xfId="0" applyNumberFormat="1" applyFont="1" applyFill="1" applyBorder="1" applyAlignment="1" applyProtection="1">
      <alignment horizontal="left" vertical="center"/>
      <protection/>
    </xf>
    <xf numFmtId="1" fontId="16" fillId="0" borderId="31" xfId="0" applyNumberFormat="1" applyFont="1" applyFill="1" applyBorder="1" applyAlignment="1" applyProtection="1">
      <alignment horizontal="center" vertical="center"/>
      <protection/>
    </xf>
    <xf numFmtId="0" fontId="77" fillId="0" borderId="32" xfId="0" applyFont="1" applyBorder="1" applyAlignment="1">
      <alignment horizontal="center" vertical="center" wrapText="1"/>
    </xf>
    <xf numFmtId="0" fontId="2" fillId="0" borderId="0" xfId="0" applyFont="1" applyAlignment="1">
      <alignment/>
    </xf>
    <xf numFmtId="0" fontId="2" fillId="2" borderId="32" xfId="0" applyFont="1" applyFill="1" applyBorder="1" applyAlignment="1">
      <alignment/>
    </xf>
    <xf numFmtId="0" fontId="16" fillId="0" borderId="24" xfId="0" applyFont="1" applyFill="1" applyBorder="1" applyAlignment="1" applyProtection="1">
      <alignment horizontal="left" vertical="center"/>
      <protection/>
    </xf>
    <xf numFmtId="0" fontId="21" fillId="0" borderId="24" xfId="0" applyFont="1" applyFill="1" applyBorder="1" applyAlignment="1" applyProtection="1">
      <alignment horizontal="right" vertical="center"/>
      <protection/>
    </xf>
    <xf numFmtId="167" fontId="16" fillId="0" borderId="24" xfId="0" applyNumberFormat="1" applyFont="1" applyFill="1" applyBorder="1" applyAlignment="1" applyProtection="1">
      <alignment horizontal="center" vertical="center"/>
      <protection/>
    </xf>
    <xf numFmtId="0" fontId="21" fillId="0" borderId="1" xfId="0" applyFont="1" applyFill="1" applyBorder="1" applyAlignment="1" applyProtection="1">
      <alignment horizontal="right" vertical="center"/>
      <protection/>
    </xf>
    <xf numFmtId="0" fontId="16" fillId="0" borderId="1" xfId="0" applyFont="1" applyFill="1" applyBorder="1" applyAlignment="1" applyProtection="1">
      <alignment horizontal="left" vertical="center"/>
      <protection/>
    </xf>
    <xf numFmtId="167" fontId="16" fillId="0" borderId="1" xfId="0" applyNumberFormat="1" applyFont="1" applyFill="1" applyBorder="1" applyAlignment="1" applyProtection="1">
      <alignment horizontal="center" vertical="center"/>
      <protection/>
    </xf>
    <xf numFmtId="0" fontId="21" fillId="0" borderId="131" xfId="0" applyFont="1" applyBorder="1" applyAlignment="1">
      <alignment horizontal="center"/>
    </xf>
    <xf numFmtId="0" fontId="21" fillId="9" borderId="131" xfId="0" applyFont="1" applyFill="1" applyBorder="1" applyAlignment="1">
      <alignment horizontal="center"/>
    </xf>
    <xf numFmtId="0" fontId="21" fillId="3" borderId="29" xfId="0" applyFont="1" applyFill="1" applyBorder="1" applyAlignment="1">
      <alignment horizontal="center"/>
    </xf>
    <xf numFmtId="0" fontId="21" fillId="0" borderId="29" xfId="0" applyFont="1" applyBorder="1" applyAlignment="1">
      <alignment horizontal="center"/>
    </xf>
    <xf numFmtId="0" fontId="21" fillId="5" borderId="29" xfId="0" applyFont="1" applyFill="1" applyBorder="1" applyAlignment="1">
      <alignment horizontal="center"/>
    </xf>
    <xf numFmtId="0" fontId="2" fillId="2" borderId="0" xfId="0" applyFont="1" applyFill="1" applyAlignment="1">
      <alignment/>
    </xf>
    <xf numFmtId="1" fontId="16" fillId="3" borderId="149" xfId="0" applyNumberFormat="1" applyFont="1" applyFill="1" applyBorder="1" applyAlignment="1" applyProtection="1">
      <alignment horizontal="center" vertical="center"/>
      <protection locked="0"/>
    </xf>
    <xf numFmtId="0" fontId="0" fillId="5" borderId="1" xfId="0" applyFill="1" applyBorder="1" applyAlignment="1">
      <alignment/>
    </xf>
    <xf numFmtId="0" fontId="0" fillId="5" borderId="31" xfId="0" applyFill="1" applyBorder="1" applyAlignment="1">
      <alignment/>
    </xf>
    <xf numFmtId="0" fontId="0" fillId="5" borderId="0" xfId="0" applyFill="1" applyBorder="1" applyAlignment="1">
      <alignment/>
    </xf>
    <xf numFmtId="0" fontId="0" fillId="5" borderId="32" xfId="0" applyFill="1" applyBorder="1" applyAlignment="1">
      <alignment/>
    </xf>
    <xf numFmtId="0" fontId="19" fillId="0" borderId="0" xfId="0" applyFont="1" applyFill="1" applyAlignment="1" applyProtection="1">
      <alignment horizontal="left"/>
      <protection/>
    </xf>
    <xf numFmtId="0" fontId="19" fillId="0" borderId="0" xfId="0" applyFont="1" applyFill="1" applyAlignment="1" applyProtection="1">
      <alignment horizontal="left" indent="1"/>
      <protection/>
    </xf>
    <xf numFmtId="0" fontId="16" fillId="2" borderId="0" xfId="0" applyFont="1" applyFill="1" applyAlignment="1">
      <alignment/>
    </xf>
    <xf numFmtId="0" fontId="2" fillId="0" borderId="0" xfId="0" applyFont="1" applyFill="1" applyAlignment="1">
      <alignment/>
    </xf>
    <xf numFmtId="1" fontId="2" fillId="0" borderId="0" xfId="0" applyNumberFormat="1" applyFont="1" applyFill="1" applyAlignment="1">
      <alignment/>
    </xf>
    <xf numFmtId="0" fontId="16" fillId="0" borderId="0" xfId="0" applyFont="1" applyFill="1" applyBorder="1" applyAlignment="1">
      <alignment horizontal="center"/>
    </xf>
    <xf numFmtId="0" fontId="2" fillId="0" borderId="0" xfId="0" applyFont="1" applyFill="1" applyBorder="1" applyAlignment="1" applyProtection="1">
      <alignment/>
      <protection/>
    </xf>
    <xf numFmtId="0" fontId="0" fillId="0" borderId="0" xfId="0" applyFill="1" applyBorder="1" applyAlignment="1">
      <alignment/>
    </xf>
    <xf numFmtId="0" fontId="17" fillId="0" borderId="0" xfId="0" applyFont="1" applyAlignment="1" applyProtection="1">
      <alignment horizontal="center"/>
      <protection/>
    </xf>
    <xf numFmtId="0" fontId="16" fillId="2" borderId="1" xfId="0" applyFont="1" applyFill="1" applyBorder="1" applyAlignment="1">
      <alignment/>
    </xf>
    <xf numFmtId="0" fontId="0" fillId="0" borderId="1" xfId="0" applyBorder="1" applyAlignment="1" applyProtection="1">
      <alignment/>
      <protection/>
    </xf>
    <xf numFmtId="3" fontId="16" fillId="3" borderId="161" xfId="0" applyNumberFormat="1" applyFont="1" applyFill="1" applyBorder="1" applyAlignment="1" applyProtection="1">
      <alignment horizontal="center"/>
      <protection/>
    </xf>
    <xf numFmtId="3" fontId="16" fillId="3" borderId="3" xfId="0" applyNumberFormat="1" applyFont="1" applyFill="1" applyBorder="1" applyAlignment="1" applyProtection="1">
      <alignment horizontal="center"/>
      <protection/>
    </xf>
    <xf numFmtId="3" fontId="16" fillId="3" borderId="162" xfId="0" applyNumberFormat="1" applyFont="1" applyFill="1" applyBorder="1" applyAlignment="1" applyProtection="1">
      <alignment horizontal="center"/>
      <protection/>
    </xf>
    <xf numFmtId="3" fontId="16" fillId="3" borderId="2" xfId="0" applyNumberFormat="1" applyFont="1" applyFill="1" applyBorder="1" applyAlignment="1" applyProtection="1">
      <alignment horizontal="center"/>
      <protection/>
    </xf>
    <xf numFmtId="0" fontId="16" fillId="2" borderId="23" xfId="0" applyNumberFormat="1" applyFont="1" applyFill="1" applyBorder="1" applyAlignment="1" applyProtection="1">
      <alignment/>
      <protection/>
    </xf>
    <xf numFmtId="3" fontId="16" fillId="3" borderId="50" xfId="0" applyNumberFormat="1" applyFont="1" applyFill="1" applyBorder="1" applyAlignment="1" applyProtection="1">
      <alignment horizontal="center"/>
      <protection/>
    </xf>
    <xf numFmtId="3" fontId="16" fillId="3" borderId="16" xfId="0" applyNumberFormat="1" applyFont="1" applyFill="1" applyBorder="1" applyAlignment="1" applyProtection="1">
      <alignment horizontal="center"/>
      <protection/>
    </xf>
    <xf numFmtId="3" fontId="16" fillId="3" borderId="163" xfId="0" applyNumberFormat="1" applyFont="1" applyFill="1" applyBorder="1" applyAlignment="1" applyProtection="1">
      <alignment horizontal="center"/>
      <protection/>
    </xf>
    <xf numFmtId="3" fontId="16" fillId="3" borderId="164" xfId="0" applyNumberFormat="1" applyFont="1" applyFill="1" applyBorder="1" applyAlignment="1" applyProtection="1">
      <alignment horizontal="center"/>
      <protection/>
    </xf>
    <xf numFmtId="3" fontId="16" fillId="3" borderId="165" xfId="0" applyNumberFormat="1" applyFont="1" applyFill="1" applyBorder="1" applyAlignment="1" applyProtection="1">
      <alignment horizontal="center"/>
      <protection/>
    </xf>
    <xf numFmtId="0" fontId="16" fillId="5" borderId="29" xfId="0" applyFont="1" applyFill="1" applyBorder="1" applyAlignment="1" applyProtection="1">
      <alignment horizontal="center" vertical="center" wrapText="1"/>
      <protection locked="0"/>
    </xf>
    <xf numFmtId="0" fontId="16" fillId="5" borderId="29" xfId="0" applyFont="1" applyFill="1" applyBorder="1" applyAlignment="1" applyProtection="1">
      <alignment horizontal="center" vertical="center"/>
      <protection locked="0"/>
    </xf>
    <xf numFmtId="3" fontId="16" fillId="5" borderId="29" xfId="0" applyNumberFormat="1" applyFont="1" applyFill="1" applyBorder="1" applyAlignment="1" applyProtection="1">
      <alignment horizontal="center" vertical="center"/>
      <protection locked="0"/>
    </xf>
    <xf numFmtId="0" fontId="16" fillId="5" borderId="29" xfId="0" applyFont="1" applyFill="1" applyBorder="1" applyAlignment="1" applyProtection="1">
      <alignment horizontal="center"/>
      <protection locked="0"/>
    </xf>
    <xf numFmtId="0" fontId="17" fillId="0" borderId="25" xfId="0" applyFont="1" applyBorder="1" applyAlignment="1" applyProtection="1">
      <alignment horizontal="right" indent="1"/>
      <protection/>
    </xf>
    <xf numFmtId="0" fontId="21" fillId="0" borderId="24" xfId="0" applyFont="1" applyBorder="1" applyAlignment="1" applyProtection="1">
      <alignment/>
      <protection/>
    </xf>
    <xf numFmtId="0" fontId="16" fillId="2" borderId="30" xfId="0" applyFont="1" applyFill="1" applyBorder="1" applyAlignment="1" applyProtection="1">
      <alignment horizontal="left" vertical="center"/>
      <protection/>
    </xf>
    <xf numFmtId="0" fontId="16" fillId="2" borderId="131" xfId="0" applyFont="1" applyFill="1" applyBorder="1" applyAlignment="1" applyProtection="1">
      <alignment horizontal="left" vertical="center"/>
      <protection/>
    </xf>
    <xf numFmtId="0" fontId="0" fillId="2" borderId="24" xfId="0" applyFill="1" applyBorder="1" applyAlignment="1" applyProtection="1">
      <alignment/>
      <protection/>
    </xf>
    <xf numFmtId="0" fontId="0" fillId="2" borderId="25" xfId="0" applyFill="1" applyBorder="1" applyAlignment="1" applyProtection="1">
      <alignment/>
      <protection/>
    </xf>
    <xf numFmtId="0" fontId="16" fillId="2" borderId="23" xfId="0" applyFont="1" applyFill="1" applyBorder="1" applyAlignment="1" applyProtection="1">
      <alignment horizontal="left" vertical="center"/>
      <protection/>
    </xf>
    <xf numFmtId="0" fontId="0" fillId="2" borderId="0" xfId="0" applyFill="1" applyBorder="1" applyAlignment="1" applyProtection="1">
      <alignment/>
      <protection/>
    </xf>
    <xf numFmtId="0" fontId="16" fillId="2" borderId="23" xfId="0" applyFont="1" applyFill="1" applyBorder="1" applyAlignment="1" applyProtection="1">
      <alignment/>
      <protection/>
    </xf>
    <xf numFmtId="0" fontId="16" fillId="3" borderId="29" xfId="0" applyFont="1" applyFill="1" applyBorder="1" applyAlignment="1" applyProtection="1">
      <alignment horizontal="center" vertical="center" wrapText="1"/>
      <protection/>
    </xf>
    <xf numFmtId="0" fontId="16" fillId="3" borderId="131" xfId="0" applyFont="1" applyFill="1" applyBorder="1" applyAlignment="1" applyProtection="1">
      <alignment horizontal="center" vertical="center" wrapText="1"/>
      <protection/>
    </xf>
    <xf numFmtId="0" fontId="0" fillId="0" borderId="0" xfId="0" applyBorder="1" applyAlignment="1" applyProtection="1">
      <alignment/>
      <protection/>
    </xf>
    <xf numFmtId="0" fontId="2" fillId="0" borderId="0" xfId="0" applyFont="1" applyBorder="1" applyAlignment="1" applyProtection="1">
      <alignment horizontal="center" vertical="center" wrapText="1"/>
      <protection/>
    </xf>
    <xf numFmtId="0" fontId="16" fillId="0" borderId="29" xfId="0" applyFont="1" applyBorder="1" applyAlignment="1" applyProtection="1">
      <alignment horizontal="center" vertical="center"/>
      <protection/>
    </xf>
    <xf numFmtId="3" fontId="16" fillId="3" borderId="29" xfId="0" applyNumberFormat="1" applyFont="1" applyFill="1" applyBorder="1" applyAlignment="1" applyProtection="1">
      <alignment horizontal="center"/>
      <protection/>
    </xf>
    <xf numFmtId="0" fontId="16" fillId="3" borderId="29" xfId="0" applyFont="1" applyFill="1" applyBorder="1" applyAlignment="1" applyProtection="1">
      <alignment horizontal="center" wrapText="1"/>
      <protection/>
    </xf>
    <xf numFmtId="3" fontId="16" fillId="3" borderId="29" xfId="0" applyNumberFormat="1" applyFont="1" applyFill="1" applyBorder="1" applyAlignment="1" applyProtection="1">
      <alignment horizontal="center" vertical="center"/>
      <protection/>
    </xf>
    <xf numFmtId="0" fontId="21" fillId="3" borderId="166" xfId="0" applyFont="1" applyFill="1" applyBorder="1" applyAlignment="1" applyProtection="1">
      <alignment horizontal="right"/>
      <protection/>
    </xf>
    <xf numFmtId="1" fontId="16" fillId="3" borderId="167" xfId="0" applyNumberFormat="1" applyFont="1" applyFill="1" applyBorder="1" applyAlignment="1" applyProtection="1">
      <alignment horizontal="center"/>
      <protection/>
    </xf>
    <xf numFmtId="0" fontId="21" fillId="3" borderId="167" xfId="0" applyFont="1" applyFill="1" applyBorder="1" applyAlignment="1" applyProtection="1">
      <alignment horizontal="right"/>
      <protection/>
    </xf>
    <xf numFmtId="0" fontId="16" fillId="0" borderId="30" xfId="0" applyFont="1" applyFill="1" applyBorder="1" applyAlignment="1" applyProtection="1">
      <alignment horizontal="center"/>
      <protection/>
    </xf>
    <xf numFmtId="0" fontId="16" fillId="0" borderId="1" xfId="0" applyFont="1" applyFill="1" applyBorder="1" applyAlignment="1" applyProtection="1">
      <alignment horizontal="center"/>
      <protection/>
    </xf>
    <xf numFmtId="0" fontId="16" fillId="0" borderId="0" xfId="0" applyFont="1" applyFill="1" applyBorder="1" applyAlignment="1" applyProtection="1">
      <alignment horizontal="center" vertical="center"/>
      <protection/>
    </xf>
    <xf numFmtId="0" fontId="21" fillId="2" borderId="22" xfId="0" applyFont="1" applyFill="1" applyBorder="1" applyAlignment="1" applyProtection="1">
      <alignment horizontal="center" vertical="center"/>
      <protection/>
    </xf>
    <xf numFmtId="0" fontId="0" fillId="2" borderId="21" xfId="0" applyFill="1" applyBorder="1" applyAlignment="1" applyProtection="1">
      <alignment/>
      <protection/>
    </xf>
    <xf numFmtId="0" fontId="16" fillId="3" borderId="29" xfId="0" applyFont="1" applyFill="1" applyBorder="1" applyAlignment="1" applyProtection="1">
      <alignment horizontal="center"/>
      <protection/>
    </xf>
    <xf numFmtId="1" fontId="16" fillId="3" borderId="168" xfId="0" applyNumberFormat="1" applyFont="1" applyFill="1" applyBorder="1" applyAlignment="1" applyProtection="1">
      <alignment horizontal="center"/>
      <protection/>
    </xf>
    <xf numFmtId="0" fontId="0" fillId="0" borderId="1" xfId="0" applyBorder="1" applyAlignment="1" applyProtection="1">
      <alignment/>
      <protection/>
    </xf>
    <xf numFmtId="0" fontId="16" fillId="2" borderId="22" xfId="0" applyFont="1" applyFill="1" applyBorder="1" applyAlignment="1" applyProtection="1">
      <alignment/>
      <protection/>
    </xf>
    <xf numFmtId="3" fontId="16" fillId="3" borderId="167" xfId="0" applyNumberFormat="1" applyFont="1" applyFill="1" applyBorder="1" applyAlignment="1" applyProtection="1">
      <alignment horizontal="center"/>
      <protection/>
    </xf>
    <xf numFmtId="3" fontId="16" fillId="3" borderId="169" xfId="0" applyNumberFormat="1" applyFont="1" applyFill="1" applyBorder="1" applyAlignment="1" applyProtection="1">
      <alignment horizontal="center"/>
      <protection/>
    </xf>
    <xf numFmtId="0" fontId="16" fillId="5" borderId="21" xfId="0" applyFont="1" applyFill="1" applyBorder="1" applyAlignment="1" applyProtection="1">
      <alignment horizontal="center"/>
      <protection locked="0"/>
    </xf>
    <xf numFmtId="0" fontId="16" fillId="5" borderId="170" xfId="0" applyNumberFormat="1" applyFont="1" applyFill="1" applyBorder="1" applyAlignment="1" applyProtection="1">
      <alignment horizontal="right"/>
      <protection locked="0"/>
    </xf>
    <xf numFmtId="0" fontId="16" fillId="3" borderId="171" xfId="0" applyNumberFormat="1" applyFont="1" applyFill="1" applyBorder="1" applyAlignment="1" applyProtection="1">
      <alignment horizontal="left"/>
      <protection/>
    </xf>
    <xf numFmtId="49" fontId="16" fillId="5" borderId="172" xfId="0" applyNumberFormat="1" applyFont="1" applyFill="1" applyBorder="1" applyAlignment="1" applyProtection="1">
      <alignment horizontal="center" shrinkToFit="1"/>
      <protection locked="0"/>
    </xf>
    <xf numFmtId="0" fontId="16" fillId="3" borderId="173" xfId="0" applyNumberFormat="1" applyFont="1" applyFill="1" applyBorder="1" applyAlignment="1" applyProtection="1">
      <alignment horizontal="left"/>
      <protection/>
    </xf>
    <xf numFmtId="0" fontId="16" fillId="2" borderId="174" xfId="0" applyFont="1" applyFill="1" applyBorder="1" applyAlignment="1" applyProtection="1">
      <alignment horizontal="center"/>
      <protection locked="0"/>
    </xf>
    <xf numFmtId="0" fontId="16" fillId="2" borderId="34" xfId="0" applyFont="1" applyFill="1" applyBorder="1" applyAlignment="1" applyProtection="1">
      <alignment wrapText="1"/>
      <protection locked="0"/>
    </xf>
    <xf numFmtId="0" fontId="21" fillId="0" borderId="46" xfId="0" applyFont="1" applyFill="1" applyBorder="1" applyAlignment="1" applyProtection="1">
      <alignment vertical="center"/>
      <protection/>
    </xf>
    <xf numFmtId="3" fontId="21" fillId="0" borderId="175" xfId="0" applyNumberFormat="1" applyFont="1" applyFill="1" applyBorder="1" applyAlignment="1" applyProtection="1">
      <alignment horizontal="center" vertical="center"/>
      <protection/>
    </xf>
    <xf numFmtId="3" fontId="21" fillId="0" borderId="98" xfId="0" applyNumberFormat="1" applyFont="1" applyFill="1" applyBorder="1" applyAlignment="1" applyProtection="1">
      <alignment horizontal="center" vertical="center"/>
      <protection/>
    </xf>
    <xf numFmtId="3" fontId="21" fillId="0" borderId="49" xfId="0" applyNumberFormat="1" applyFont="1" applyFill="1" applyBorder="1" applyAlignment="1" applyProtection="1">
      <alignment horizontal="centerContinuous" vertical="center"/>
      <protection/>
    </xf>
    <xf numFmtId="164" fontId="21" fillId="0" borderId="175" xfId="0" applyNumberFormat="1" applyFont="1" applyFill="1" applyBorder="1" applyAlignment="1" applyProtection="1">
      <alignment horizontal="centerContinuous" vertical="center"/>
      <protection/>
    </xf>
    <xf numFmtId="3" fontId="21" fillId="0" borderId="2" xfId="0" applyNumberFormat="1" applyFont="1" applyFill="1" applyBorder="1" applyAlignment="1" applyProtection="1">
      <alignment horizontal="center" vertical="center"/>
      <protection/>
    </xf>
    <xf numFmtId="164" fontId="21" fillId="0" borderId="176" xfId="0" applyNumberFormat="1" applyFont="1" applyFill="1" applyBorder="1" applyAlignment="1" applyProtection="1">
      <alignment horizontal="center" vertical="center"/>
      <protection/>
    </xf>
    <xf numFmtId="164" fontId="21" fillId="0" borderId="49" xfId="0" applyNumberFormat="1" applyFont="1" applyFill="1" applyBorder="1" applyAlignment="1" applyProtection="1">
      <alignment horizontal="center" vertical="center"/>
      <protection/>
    </xf>
    <xf numFmtId="0" fontId="21" fillId="0" borderId="156" xfId="0" applyFont="1" applyFill="1" applyBorder="1" applyAlignment="1" applyProtection="1">
      <alignment horizontal="center"/>
      <protection/>
    </xf>
    <xf numFmtId="0" fontId="21" fillId="0" borderId="177" xfId="0" applyFont="1" applyFill="1" applyBorder="1" applyAlignment="1" applyProtection="1">
      <alignment horizontal="center"/>
      <protection/>
    </xf>
    <xf numFmtId="0" fontId="21" fillId="0" borderId="0" xfId="0" applyFont="1" applyFill="1" applyBorder="1" applyAlignment="1" applyProtection="1">
      <alignment horizontal="center"/>
      <protection/>
    </xf>
    <xf numFmtId="0" fontId="21" fillId="0" borderId="69" xfId="0" applyFont="1" applyFill="1" applyBorder="1" applyAlignment="1" applyProtection="1">
      <alignment horizontal="center"/>
      <protection/>
    </xf>
    <xf numFmtId="0" fontId="21" fillId="0" borderId="37" xfId="0" applyFont="1" applyFill="1" applyBorder="1" applyAlignment="1" applyProtection="1">
      <alignment horizontal="centerContinuous"/>
      <protection/>
    </xf>
    <xf numFmtId="0" fontId="21" fillId="0" borderId="151" xfId="0" applyFont="1" applyFill="1" applyBorder="1" applyAlignment="1" applyProtection="1">
      <alignment horizontal="centerContinuous"/>
      <protection/>
    </xf>
    <xf numFmtId="0" fontId="21" fillId="0" borderId="175" xfId="0" applyFont="1" applyFill="1" applyBorder="1" applyAlignment="1" applyProtection="1">
      <alignment horizontal="centerContinuous"/>
      <protection/>
    </xf>
    <xf numFmtId="0" fontId="21" fillId="0" borderId="0" xfId="0" applyFont="1" applyFill="1" applyBorder="1" applyAlignment="1" applyProtection="1">
      <alignment horizontal="centerContinuous"/>
      <protection/>
    </xf>
    <xf numFmtId="0" fontId="21" fillId="0" borderId="49" xfId="0" applyFont="1" applyFill="1" applyBorder="1" applyAlignment="1" applyProtection="1">
      <alignment horizontal="center"/>
      <protection/>
    </xf>
    <xf numFmtId="0" fontId="21" fillId="0" borderId="116" xfId="0" applyFont="1" applyFill="1" applyBorder="1" applyAlignment="1" applyProtection="1">
      <alignment horizontal="center"/>
      <protection/>
    </xf>
    <xf numFmtId="0" fontId="21" fillId="0" borderId="2" xfId="0" applyFont="1" applyFill="1" applyBorder="1" applyAlignment="1" applyProtection="1">
      <alignment horizontal="center"/>
      <protection/>
    </xf>
    <xf numFmtId="0" fontId="21" fillId="0" borderId="10" xfId="0" applyFont="1" applyFill="1" applyBorder="1" applyAlignment="1" applyProtection="1">
      <alignment horizontal="center"/>
      <protection/>
    </xf>
    <xf numFmtId="0" fontId="21" fillId="0" borderId="178" xfId="0" applyFont="1" applyFill="1" applyBorder="1" applyAlignment="1" applyProtection="1">
      <alignment horizontal="center"/>
      <protection/>
    </xf>
    <xf numFmtId="0" fontId="21" fillId="0" borderId="179" xfId="0" applyFont="1" applyFill="1" applyBorder="1" applyAlignment="1" applyProtection="1">
      <alignment horizontal="center"/>
      <protection/>
    </xf>
    <xf numFmtId="0" fontId="21" fillId="0" borderId="180" xfId="0" applyFont="1" applyFill="1" applyBorder="1" applyAlignment="1" applyProtection="1">
      <alignment horizontal="center"/>
      <protection/>
    </xf>
    <xf numFmtId="0" fontId="21" fillId="0" borderId="181" xfId="0" applyFont="1" applyFill="1" applyBorder="1" applyAlignment="1" applyProtection="1">
      <alignment horizontal="center"/>
      <protection/>
    </xf>
    <xf numFmtId="0" fontId="21" fillId="0" borderId="52" xfId="0" applyFont="1" applyFill="1" applyBorder="1" applyAlignment="1" applyProtection="1">
      <alignment horizontal="center"/>
      <protection/>
    </xf>
    <xf numFmtId="0" fontId="21" fillId="0" borderId="128" xfId="0" applyFont="1" applyFill="1" applyBorder="1" applyAlignment="1" applyProtection="1">
      <alignment horizontal="center"/>
      <protection/>
    </xf>
    <xf numFmtId="0" fontId="21" fillId="0" borderId="163" xfId="0" applyFont="1" applyFill="1" applyBorder="1" applyAlignment="1" applyProtection="1">
      <alignment horizontal="center"/>
      <protection/>
    </xf>
    <xf numFmtId="3" fontId="16" fillId="5" borderId="12" xfId="0" applyNumberFormat="1" applyFont="1" applyFill="1" applyBorder="1" applyAlignment="1" applyProtection="1">
      <alignment horizontal="center"/>
      <protection locked="0"/>
    </xf>
    <xf numFmtId="3" fontId="16" fillId="5" borderId="182" xfId="0" applyNumberFormat="1" applyFont="1" applyFill="1" applyBorder="1" applyAlignment="1" applyProtection="1">
      <alignment horizontal="center"/>
      <protection locked="0"/>
    </xf>
    <xf numFmtId="3" fontId="16" fillId="5" borderId="2" xfId="0" applyNumberFormat="1" applyFont="1" applyFill="1" applyBorder="1" applyAlignment="1" applyProtection="1">
      <alignment horizontal="center"/>
      <protection locked="0"/>
    </xf>
    <xf numFmtId="3" fontId="16" fillId="5" borderId="98" xfId="0" applyNumberFormat="1" applyFont="1" applyFill="1" applyBorder="1" applyAlignment="1" applyProtection="1">
      <alignment horizontal="center"/>
      <protection locked="0"/>
    </xf>
    <xf numFmtId="3" fontId="16" fillId="5" borderId="16" xfId="0" applyNumberFormat="1" applyFont="1" applyFill="1" applyBorder="1" applyAlignment="1" applyProtection="1">
      <alignment horizontal="center"/>
      <protection locked="0"/>
    </xf>
    <xf numFmtId="3" fontId="16" fillId="5" borderId="183" xfId="0" applyNumberFormat="1" applyFont="1" applyFill="1" applyBorder="1" applyAlignment="1" applyProtection="1">
      <alignment horizontal="center"/>
      <protection locked="0"/>
    </xf>
    <xf numFmtId="164" fontId="16" fillId="3" borderId="49" xfId="0" applyNumberFormat="1" applyFont="1" applyFill="1" applyBorder="1" applyAlignment="1" applyProtection="1">
      <alignment horizontal="center"/>
      <protection/>
    </xf>
    <xf numFmtId="164" fontId="16" fillId="3" borderId="117" xfId="0" applyNumberFormat="1" applyFont="1" applyFill="1" applyBorder="1" applyAlignment="1" applyProtection="1">
      <alignment horizontal="center"/>
      <protection/>
    </xf>
    <xf numFmtId="164" fontId="16" fillId="3" borderId="35" xfId="0" applyNumberFormat="1" applyFont="1" applyFill="1" applyBorder="1" applyAlignment="1" applyProtection="1">
      <alignment horizontal="center"/>
      <protection/>
    </xf>
    <xf numFmtId="164" fontId="16" fillId="3" borderId="184" xfId="0" applyNumberFormat="1" applyFont="1" applyFill="1" applyBorder="1" applyAlignment="1" applyProtection="1">
      <alignment horizontal="center"/>
      <protection/>
    </xf>
    <xf numFmtId="164" fontId="16" fillId="3" borderId="127" xfId="0" applyNumberFormat="1" applyFont="1" applyFill="1" applyBorder="1" applyAlignment="1" applyProtection="1">
      <alignment horizontal="center"/>
      <protection/>
    </xf>
    <xf numFmtId="164" fontId="16" fillId="3" borderId="126" xfId="0" applyNumberFormat="1" applyFont="1" applyFill="1" applyBorder="1" applyAlignment="1" applyProtection="1">
      <alignment horizontal="center"/>
      <protection/>
    </xf>
    <xf numFmtId="164" fontId="16" fillId="3" borderId="2" xfId="0" applyNumberFormat="1" applyFont="1" applyFill="1" applyBorder="1" applyAlignment="1" applyProtection="1">
      <alignment horizontal="center"/>
      <protection/>
    </xf>
    <xf numFmtId="164" fontId="16" fillId="3" borderId="177" xfId="0" applyNumberFormat="1" applyFont="1" applyFill="1" applyBorder="1" applyAlignment="1" applyProtection="1">
      <alignment horizontal="center"/>
      <protection/>
    </xf>
    <xf numFmtId="164" fontId="16" fillId="3" borderId="176" xfId="0" applyNumberFormat="1" applyFont="1" applyFill="1" applyBorder="1" applyAlignment="1" applyProtection="1">
      <alignment horizontal="center"/>
      <protection locked="0"/>
    </xf>
    <xf numFmtId="164" fontId="16" fillId="3" borderId="49" xfId="0" applyNumberFormat="1" applyFont="1" applyFill="1" applyBorder="1" applyAlignment="1" applyProtection="1">
      <alignment horizontal="center"/>
      <protection locked="0"/>
    </xf>
    <xf numFmtId="164" fontId="16" fillId="3" borderId="185" xfId="0" applyNumberFormat="1" applyFont="1" applyFill="1" applyBorder="1" applyAlignment="1" applyProtection="1">
      <alignment horizontal="center"/>
      <protection locked="0"/>
    </xf>
    <xf numFmtId="164" fontId="16" fillId="3" borderId="89" xfId="0" applyNumberFormat="1" applyFont="1" applyFill="1" applyBorder="1" applyAlignment="1" applyProtection="1">
      <alignment horizontal="center"/>
      <protection locked="0"/>
    </xf>
    <xf numFmtId="3" fontId="16" fillId="5" borderId="89" xfId="0" applyNumberFormat="1" applyFont="1" applyFill="1" applyBorder="1" applyAlignment="1" applyProtection="1">
      <alignment horizontal="center"/>
      <protection locked="0"/>
    </xf>
    <xf numFmtId="0" fontId="72" fillId="0" borderId="177" xfId="0" applyFont="1" applyFill="1" applyBorder="1" applyAlignment="1" applyProtection="1">
      <alignment horizontal="center"/>
      <protection/>
    </xf>
    <xf numFmtId="0" fontId="0" fillId="9" borderId="0" xfId="0" applyFill="1" applyAlignment="1">
      <alignment/>
    </xf>
    <xf numFmtId="0" fontId="0" fillId="9" borderId="186" xfId="0" applyFill="1" applyBorder="1" applyAlignment="1">
      <alignment/>
    </xf>
    <xf numFmtId="0" fontId="0" fillId="9" borderId="187" xfId="0" applyFill="1" applyBorder="1" applyAlignment="1">
      <alignment/>
    </xf>
    <xf numFmtId="0" fontId="0" fillId="9" borderId="188" xfId="0" applyFill="1" applyBorder="1" applyAlignment="1">
      <alignment/>
    </xf>
    <xf numFmtId="164" fontId="25" fillId="9" borderId="0" xfId="0" applyNumberFormat="1" applyFont="1" applyFill="1" applyBorder="1" applyAlignment="1" applyProtection="1">
      <alignment horizontal="center" vertical="center"/>
      <protection/>
    </xf>
    <xf numFmtId="0" fontId="72" fillId="9" borderId="32" xfId="0" applyFont="1" applyFill="1" applyBorder="1" applyAlignment="1" applyProtection="1">
      <alignment horizontal="center"/>
      <protection/>
    </xf>
    <xf numFmtId="3" fontId="25" fillId="9" borderId="189" xfId="0" applyNumberFormat="1" applyFont="1" applyFill="1" applyBorder="1" applyAlignment="1" applyProtection="1">
      <alignment horizontal="center"/>
      <protection/>
    </xf>
    <xf numFmtId="0" fontId="0" fillId="9" borderId="157" xfId="0" applyFill="1" applyBorder="1" applyAlignment="1" applyProtection="1">
      <alignment/>
      <protection/>
    </xf>
    <xf numFmtId="0" fontId="71" fillId="9" borderId="21" xfId="0" applyFont="1" applyFill="1" applyBorder="1" applyAlignment="1" applyProtection="1">
      <alignment horizontal="right"/>
      <protection/>
    </xf>
    <xf numFmtId="0" fontId="25" fillId="9" borderId="23" xfId="0" applyFont="1" applyFill="1" applyBorder="1" applyAlignment="1" applyProtection="1">
      <alignment vertical="center"/>
      <protection/>
    </xf>
    <xf numFmtId="3" fontId="25" fillId="9" borderId="0" xfId="0" applyNumberFormat="1" applyFont="1" applyFill="1" applyBorder="1" applyAlignment="1" applyProtection="1">
      <alignment horizontal="center" vertical="center"/>
      <protection/>
    </xf>
    <xf numFmtId="0" fontId="71" fillId="9" borderId="0" xfId="0" applyFont="1" applyFill="1" applyBorder="1" applyAlignment="1" applyProtection="1">
      <alignment horizontal="right"/>
      <protection/>
    </xf>
    <xf numFmtId="0" fontId="25" fillId="9" borderId="22" xfId="0" applyFont="1" applyFill="1" applyBorder="1" applyAlignment="1" applyProtection="1">
      <alignment/>
      <protection/>
    </xf>
    <xf numFmtId="0" fontId="71" fillId="9" borderId="21" xfId="0" applyFont="1" applyFill="1" applyBorder="1" applyAlignment="1" applyProtection="1">
      <alignment horizontal="right" vertical="center"/>
      <protection/>
    </xf>
    <xf numFmtId="0" fontId="25" fillId="9" borderId="21" xfId="0" applyFont="1" applyFill="1" applyBorder="1" applyAlignment="1" applyProtection="1">
      <alignment/>
      <protection/>
    </xf>
    <xf numFmtId="0" fontId="72" fillId="9" borderId="0" xfId="0" applyFont="1" applyFill="1" applyBorder="1" applyAlignment="1" applyProtection="1">
      <alignment horizontal="center"/>
      <protection/>
    </xf>
    <xf numFmtId="0" fontId="72" fillId="9" borderId="189" xfId="0" applyFont="1" applyFill="1" applyBorder="1" applyAlignment="1" applyProtection="1">
      <alignment horizontal="center"/>
      <protection/>
    </xf>
    <xf numFmtId="0" fontId="74" fillId="9" borderId="21" xfId="0" applyFont="1" applyFill="1" applyBorder="1" applyAlignment="1" applyProtection="1">
      <alignment horizontal="center"/>
      <protection/>
    </xf>
    <xf numFmtId="0" fontId="82" fillId="0" borderId="190" xfId="0" applyFont="1" applyFill="1" applyBorder="1" applyAlignment="1" applyProtection="1">
      <alignment horizontal="center"/>
      <protection/>
    </xf>
    <xf numFmtId="0" fontId="82" fillId="0" borderId="191" xfId="0" applyFont="1" applyFill="1" applyBorder="1" applyAlignment="1" applyProtection="1">
      <alignment horizontal="center"/>
      <protection/>
    </xf>
    <xf numFmtId="0" fontId="82" fillId="0" borderId="192" xfId="0" applyFont="1" applyFill="1" applyBorder="1" applyAlignment="1" applyProtection="1">
      <alignment horizontal="center"/>
      <protection/>
    </xf>
    <xf numFmtId="0" fontId="82" fillId="0" borderId="193" xfId="0" applyFont="1" applyFill="1" applyBorder="1" applyAlignment="1" applyProtection="1">
      <alignment horizontal="center"/>
      <protection/>
    </xf>
    <xf numFmtId="0" fontId="82" fillId="0" borderId="60" xfId="0" applyFont="1" applyFill="1" applyBorder="1" applyAlignment="1" applyProtection="1">
      <alignment horizontal="center"/>
      <protection/>
    </xf>
    <xf numFmtId="0" fontId="82" fillId="0" borderId="194" xfId="0" applyFont="1" applyFill="1" applyBorder="1" applyAlignment="1" applyProtection="1">
      <alignment horizontal="center"/>
      <protection/>
    </xf>
    <xf numFmtId="0" fontId="82" fillId="0" borderId="58" xfId="0" applyFont="1" applyFill="1" applyBorder="1" applyAlignment="1" applyProtection="1">
      <alignment horizontal="center"/>
      <protection/>
    </xf>
    <xf numFmtId="0" fontId="82" fillId="0" borderId="195" xfId="0" applyFont="1" applyFill="1" applyBorder="1" applyAlignment="1" applyProtection="1">
      <alignment horizontal="center"/>
      <protection/>
    </xf>
    <xf numFmtId="0" fontId="82" fillId="0" borderId="196" xfId="0" applyFont="1" applyFill="1" applyBorder="1" applyAlignment="1" applyProtection="1">
      <alignment horizontal="center"/>
      <protection/>
    </xf>
    <xf numFmtId="0" fontId="83" fillId="0" borderId="196" xfId="0" applyFont="1" applyFill="1" applyBorder="1" applyAlignment="1" applyProtection="1">
      <alignment horizontal="center"/>
      <protection/>
    </xf>
    <xf numFmtId="0" fontId="72" fillId="0" borderId="23" xfId="0" applyFont="1" applyFill="1" applyBorder="1" applyAlignment="1" applyProtection="1">
      <alignment horizontal="center"/>
      <protection/>
    </xf>
    <xf numFmtId="0" fontId="72" fillId="0" borderId="0" xfId="0" applyFont="1" applyFill="1" applyBorder="1" applyAlignment="1" applyProtection="1">
      <alignment horizontal="center"/>
      <protection/>
    </xf>
    <xf numFmtId="0" fontId="72" fillId="0" borderId="69" xfId="0" applyFont="1" applyFill="1" applyBorder="1" applyAlignment="1" applyProtection="1">
      <alignment horizontal="center"/>
      <protection/>
    </xf>
    <xf numFmtId="0" fontId="72" fillId="0" borderId="116" xfId="0" applyFont="1" applyFill="1" applyBorder="1" applyAlignment="1" applyProtection="1">
      <alignment horizontal="center"/>
      <protection/>
    </xf>
    <xf numFmtId="0" fontId="72" fillId="0" borderId="37" xfId="0" applyFont="1" applyFill="1" applyBorder="1" applyAlignment="1" applyProtection="1">
      <alignment horizontal="centerContinuous"/>
      <protection/>
    </xf>
    <xf numFmtId="0" fontId="72" fillId="0" borderId="175" xfId="0" applyFont="1" applyFill="1" applyBorder="1" applyAlignment="1" applyProtection="1">
      <alignment horizontal="centerContinuous"/>
      <protection/>
    </xf>
    <xf numFmtId="0" fontId="72" fillId="0" borderId="0" xfId="0" applyFont="1" applyFill="1" applyBorder="1" applyAlignment="1" applyProtection="1">
      <alignment horizontal="centerContinuous"/>
      <protection/>
    </xf>
    <xf numFmtId="0" fontId="72" fillId="0" borderId="49" xfId="0" applyFont="1" applyFill="1" applyBorder="1" applyAlignment="1" applyProtection="1">
      <alignment horizontal="center"/>
      <protection/>
    </xf>
    <xf numFmtId="0" fontId="72" fillId="0" borderId="2" xfId="0" applyFont="1" applyFill="1" applyBorder="1" applyAlignment="1" applyProtection="1">
      <alignment horizontal="center"/>
      <protection/>
    </xf>
    <xf numFmtId="0" fontId="21" fillId="0" borderId="3" xfId="0" applyFont="1" applyFill="1" applyBorder="1" applyAlignment="1" applyProtection="1">
      <alignment horizontal="center"/>
      <protection/>
    </xf>
    <xf numFmtId="0" fontId="16" fillId="0" borderId="10" xfId="0" applyFont="1" applyFill="1" applyBorder="1" applyAlignment="1" applyProtection="1">
      <alignment horizontal="center"/>
      <protection/>
    </xf>
    <xf numFmtId="0" fontId="16" fillId="0" borderId="178" xfId="0" applyFont="1" applyFill="1" applyBorder="1" applyAlignment="1" applyProtection="1">
      <alignment horizontal="center"/>
      <protection/>
    </xf>
    <xf numFmtId="0" fontId="16" fillId="0" borderId="179" xfId="0" applyFont="1" applyFill="1" applyBorder="1" applyAlignment="1" applyProtection="1">
      <alignment horizontal="center"/>
      <protection/>
    </xf>
    <xf numFmtId="0" fontId="16" fillId="0" borderId="180" xfId="0" applyFont="1" applyFill="1" applyBorder="1" applyAlignment="1" applyProtection="1">
      <alignment horizontal="center"/>
      <protection/>
    </xf>
    <xf numFmtId="0" fontId="16" fillId="0" borderId="52" xfId="0" applyFont="1" applyFill="1" applyBorder="1" applyAlignment="1" applyProtection="1">
      <alignment horizontal="center"/>
      <protection/>
    </xf>
    <xf numFmtId="0" fontId="16" fillId="0" borderId="128" xfId="0" applyFont="1" applyFill="1" applyBorder="1" applyAlignment="1" applyProtection="1">
      <alignment horizontal="center"/>
      <protection/>
    </xf>
    <xf numFmtId="0" fontId="16" fillId="0" borderId="164" xfId="0" applyFont="1" applyFill="1" applyBorder="1" applyAlignment="1" applyProtection="1">
      <alignment horizontal="center"/>
      <protection/>
    </xf>
    <xf numFmtId="0" fontId="16" fillId="2" borderId="34" xfId="0" applyFont="1" applyFill="1" applyBorder="1" applyAlignment="1" applyProtection="1">
      <alignment horizontal="left" wrapText="1"/>
      <protection locked="0"/>
    </xf>
    <xf numFmtId="164" fontId="16" fillId="5" borderId="12" xfId="0" applyNumberFormat="1" applyFont="1" applyFill="1" applyBorder="1" applyAlignment="1" applyProtection="1">
      <alignment horizontal="center"/>
      <protection locked="0"/>
    </xf>
    <xf numFmtId="164" fontId="16" fillId="5" borderId="2" xfId="0" applyNumberFormat="1" applyFont="1" applyFill="1" applyBorder="1" applyAlignment="1" applyProtection="1">
      <alignment horizontal="center"/>
      <protection locked="0"/>
    </xf>
    <xf numFmtId="164" fontId="16" fillId="5" borderId="89" xfId="0" applyNumberFormat="1" applyFont="1" applyFill="1" applyBorder="1" applyAlignment="1" applyProtection="1">
      <alignment horizontal="center"/>
      <protection locked="0"/>
    </xf>
    <xf numFmtId="3" fontId="16" fillId="3" borderId="113" xfId="0" applyNumberFormat="1" applyFont="1" applyFill="1" applyBorder="1" applyAlignment="1" applyProtection="1">
      <alignment horizontal="center"/>
      <protection/>
    </xf>
    <xf numFmtId="164" fontId="16" fillId="3" borderId="197" xfId="0" applyNumberFormat="1" applyFont="1" applyFill="1" applyBorder="1" applyAlignment="1" applyProtection="1">
      <alignment horizontal="center"/>
      <protection locked="0"/>
    </xf>
    <xf numFmtId="164" fontId="16" fillId="3" borderId="127" xfId="0" applyNumberFormat="1" applyFont="1" applyFill="1" applyBorder="1" applyAlignment="1" applyProtection="1">
      <alignment horizontal="center"/>
      <protection locked="0"/>
    </xf>
    <xf numFmtId="164" fontId="16" fillId="3" borderId="126" xfId="0" applyNumberFormat="1" applyFont="1" applyFill="1" applyBorder="1" applyAlignment="1" applyProtection="1">
      <alignment horizontal="center"/>
      <protection locked="0"/>
    </xf>
    <xf numFmtId="164" fontId="16" fillId="3" borderId="2" xfId="0" applyNumberFormat="1" applyFont="1" applyFill="1" applyBorder="1" applyAlignment="1" applyProtection="1">
      <alignment horizontal="center"/>
      <protection locked="0"/>
    </xf>
    <xf numFmtId="3" fontId="21" fillId="0" borderId="198" xfId="0" applyNumberFormat="1" applyFont="1" applyFill="1" applyBorder="1" applyAlignment="1" applyProtection="1">
      <alignment horizontal="center" vertical="center" wrapText="1"/>
      <protection/>
    </xf>
    <xf numFmtId="0" fontId="21" fillId="0" borderId="198" xfId="0" applyFont="1" applyFill="1" applyBorder="1" applyAlignment="1" applyProtection="1">
      <alignment horizontal="centerContinuous" vertical="center" wrapText="1"/>
      <protection/>
    </xf>
    <xf numFmtId="3" fontId="21" fillId="0" borderId="199" xfId="0" applyNumberFormat="1" applyFont="1" applyFill="1" applyBorder="1" applyAlignment="1" applyProtection="1">
      <alignment horizontal="centerContinuous" vertical="center" wrapText="1"/>
      <protection/>
    </xf>
    <xf numFmtId="3" fontId="21" fillId="0" borderId="200" xfId="0" applyNumberFormat="1" applyFont="1" applyFill="1" applyBorder="1" applyAlignment="1" applyProtection="1">
      <alignment horizontal="center" vertical="center" wrapText="1"/>
      <protection/>
    </xf>
    <xf numFmtId="164" fontId="21" fillId="0" borderId="201" xfId="0" applyNumberFormat="1" applyFont="1" applyFill="1" applyBorder="1" applyAlignment="1" applyProtection="1">
      <alignment horizontal="center" vertical="center" wrapText="1"/>
      <protection/>
    </xf>
    <xf numFmtId="164" fontId="21" fillId="0" borderId="127" xfId="0" applyNumberFormat="1" applyFont="1" applyFill="1" applyBorder="1" applyAlignment="1" applyProtection="1">
      <alignment horizontal="center" vertical="center" wrapText="1"/>
      <protection/>
    </xf>
    <xf numFmtId="164" fontId="21" fillId="0" borderId="202" xfId="0" applyNumberFormat="1" applyFont="1" applyFill="1" applyBorder="1" applyAlignment="1" applyProtection="1">
      <alignment horizontal="center" vertical="center" wrapText="1"/>
      <protection/>
    </xf>
    <xf numFmtId="3" fontId="21" fillId="0" borderId="202" xfId="0" applyNumberFormat="1" applyFont="1" applyFill="1" applyBorder="1" applyAlignment="1" applyProtection="1">
      <alignment horizontal="center" vertical="center" wrapText="1"/>
      <protection/>
    </xf>
    <xf numFmtId="3" fontId="21" fillId="0" borderId="203" xfId="0" applyNumberFormat="1" applyFont="1" applyFill="1" applyBorder="1" applyAlignment="1" applyProtection="1">
      <alignment horizontal="center" vertical="center" wrapText="1"/>
      <protection/>
    </xf>
    <xf numFmtId="3" fontId="2" fillId="3" borderId="2" xfId="0" applyNumberFormat="1" applyFont="1" applyFill="1" applyBorder="1" applyAlignment="1" applyProtection="1">
      <alignment horizontal="center" vertical="center"/>
      <protection/>
    </xf>
    <xf numFmtId="0" fontId="2" fillId="9" borderId="23" xfId="0" applyFont="1" applyFill="1" applyBorder="1" applyAlignment="1" applyProtection="1">
      <alignment vertical="center"/>
      <protection/>
    </xf>
    <xf numFmtId="3" fontId="2" fillId="9" borderId="0" xfId="0" applyNumberFormat="1" applyFont="1" applyFill="1" applyBorder="1" applyAlignment="1" applyProtection="1">
      <alignment horizontal="center" vertical="center"/>
      <protection/>
    </xf>
    <xf numFmtId="164" fontId="2" fillId="9" borderId="0" xfId="0" applyNumberFormat="1" applyFont="1" applyFill="1" applyBorder="1" applyAlignment="1" applyProtection="1">
      <alignment horizontal="center" vertical="center"/>
      <protection/>
    </xf>
    <xf numFmtId="0" fontId="19" fillId="9" borderId="0" xfId="0" applyFont="1" applyFill="1" applyBorder="1" applyAlignment="1" applyProtection="1">
      <alignment horizontal="right"/>
      <protection/>
    </xf>
    <xf numFmtId="0" fontId="2" fillId="9" borderId="22" xfId="0" applyFont="1" applyFill="1" applyBorder="1" applyAlignment="1" applyProtection="1">
      <alignment/>
      <protection/>
    </xf>
    <xf numFmtId="0" fontId="19" fillId="9" borderId="21" xfId="0" applyFont="1" applyFill="1" applyBorder="1" applyAlignment="1" applyProtection="1">
      <alignment horizontal="right"/>
      <protection/>
    </xf>
    <xf numFmtId="3" fontId="25" fillId="9" borderId="21" xfId="0" applyNumberFormat="1" applyFont="1" applyFill="1" applyBorder="1" applyAlignment="1" applyProtection="1">
      <alignment horizontal="center"/>
      <protection/>
    </xf>
    <xf numFmtId="0" fontId="2" fillId="9" borderId="21" xfId="0" applyFont="1" applyFill="1" applyBorder="1" applyAlignment="1" applyProtection="1">
      <alignment/>
      <protection/>
    </xf>
    <xf numFmtId="0" fontId="17" fillId="9" borderId="204" xfId="0" applyFont="1" applyFill="1" applyBorder="1" applyAlignment="1" applyProtection="1">
      <alignment horizontal="center"/>
      <protection/>
    </xf>
    <xf numFmtId="0" fontId="17" fillId="9" borderId="188" xfId="0" applyFont="1" applyFill="1" applyBorder="1" applyAlignment="1" applyProtection="1">
      <alignment horizontal="center"/>
      <protection/>
    </xf>
    <xf numFmtId="0" fontId="17" fillId="9" borderId="0" xfId="0" applyFont="1" applyFill="1" applyBorder="1" applyAlignment="1" applyProtection="1">
      <alignment horizontal="center"/>
      <protection/>
    </xf>
    <xf numFmtId="0" fontId="17" fillId="9" borderId="32" xfId="0" applyFont="1" applyFill="1" applyBorder="1" applyAlignment="1" applyProtection="1">
      <alignment horizontal="center"/>
      <protection/>
    </xf>
    <xf numFmtId="0" fontId="17" fillId="9" borderId="189" xfId="0" applyFont="1" applyFill="1" applyBorder="1" applyAlignment="1" applyProtection="1">
      <alignment horizontal="center"/>
      <protection/>
    </xf>
    <xf numFmtId="0" fontId="17" fillId="9" borderId="157" xfId="0" applyFont="1" applyFill="1" applyBorder="1" applyAlignment="1" applyProtection="1">
      <alignment horizontal="center"/>
      <protection/>
    </xf>
    <xf numFmtId="0" fontId="20" fillId="9" borderId="205" xfId="0" applyFont="1" applyFill="1" applyBorder="1" applyAlignment="1" applyProtection="1">
      <alignment horizontal="center"/>
      <protection/>
    </xf>
    <xf numFmtId="164" fontId="16" fillId="5" borderId="21" xfId="0" applyNumberFormat="1" applyFont="1" applyFill="1" applyBorder="1" applyAlignment="1" applyProtection="1">
      <alignment horizontal="center"/>
      <protection locked="0"/>
    </xf>
    <xf numFmtId="0" fontId="16" fillId="2" borderId="21" xfId="0" applyFont="1" applyFill="1" applyBorder="1" applyAlignment="1" applyProtection="1">
      <alignment horizontal="center"/>
      <protection locked="0"/>
    </xf>
    <xf numFmtId="164" fontId="16" fillId="5" borderId="21" xfId="0" applyNumberFormat="1" applyFont="1" applyFill="1" applyBorder="1" applyAlignment="1" applyProtection="1">
      <alignment horizontal="center"/>
      <protection locked="0"/>
    </xf>
    <xf numFmtId="0" fontId="16" fillId="5" borderId="21" xfId="0" applyFont="1" applyFill="1" applyBorder="1" applyAlignment="1" applyProtection="1">
      <alignment horizontal="center"/>
      <protection locked="0"/>
    </xf>
    <xf numFmtId="1" fontId="16" fillId="5" borderId="21" xfId="0" applyNumberFormat="1" applyFont="1" applyFill="1" applyBorder="1" applyAlignment="1" applyProtection="1">
      <alignment horizontal="left" indent="1"/>
      <protection locked="0"/>
    </xf>
    <xf numFmtId="0" fontId="16" fillId="5" borderId="24" xfId="0" applyFont="1" applyFill="1" applyBorder="1" applyAlignment="1" applyProtection="1">
      <alignment horizontal="center"/>
      <protection locked="0"/>
    </xf>
    <xf numFmtId="0" fontId="13" fillId="0" borderId="0" xfId="0" applyFont="1" applyAlignment="1" applyProtection="1">
      <alignment horizontal="left"/>
      <protection/>
    </xf>
    <xf numFmtId="0" fontId="0" fillId="0" borderId="0" xfId="0" applyAlignment="1">
      <alignment/>
    </xf>
    <xf numFmtId="0" fontId="13" fillId="0" borderId="0" xfId="0" applyFont="1" applyFill="1" applyAlignment="1" applyProtection="1">
      <alignment horizontal="left"/>
      <protection/>
    </xf>
    <xf numFmtId="0" fontId="68" fillId="0" borderId="0" xfId="0" applyFont="1" applyBorder="1" applyAlignment="1">
      <alignment horizontal="left" vertical="center"/>
    </xf>
    <xf numFmtId="0" fontId="0" fillId="0" borderId="0" xfId="0" applyAlignment="1">
      <alignment horizontal="left"/>
    </xf>
    <xf numFmtId="0" fontId="77" fillId="0" borderId="21" xfId="0" applyFont="1" applyBorder="1" applyAlignment="1">
      <alignment horizontal="center" vertical="center" wrapText="1"/>
    </xf>
    <xf numFmtId="0" fontId="63" fillId="0" borderId="0" xfId="0" applyFont="1" applyBorder="1" applyAlignment="1">
      <alignment vertical="center"/>
    </xf>
    <xf numFmtId="0" fontId="16" fillId="2" borderId="33" xfId="0" applyFont="1" applyFill="1" applyBorder="1" applyAlignment="1" applyProtection="1">
      <alignment horizontal="center" vertical="center" shrinkToFit="1"/>
      <protection locked="0"/>
    </xf>
    <xf numFmtId="0" fontId="16" fillId="2" borderId="33" xfId="0" applyFont="1" applyFill="1" applyBorder="1" applyAlignment="1" applyProtection="1">
      <alignment horizontal="center" vertical="center"/>
      <protection locked="0"/>
    </xf>
    <xf numFmtId="0" fontId="17" fillId="0" borderId="0" xfId="0" applyFont="1" applyBorder="1" applyAlignment="1">
      <alignment horizontal="right" vertical="center"/>
    </xf>
    <xf numFmtId="0" fontId="78" fillId="0" borderId="21" xfId="0" applyFont="1" applyBorder="1" applyAlignment="1">
      <alignment horizontal="center" vertical="center" wrapText="1"/>
    </xf>
    <xf numFmtId="0" fontId="17" fillId="0" borderId="21" xfId="0" applyFont="1" applyBorder="1" applyAlignment="1">
      <alignment horizontal="right" vertical="top"/>
    </xf>
    <xf numFmtId="0" fontId="17" fillId="0" borderId="0" xfId="0" applyFont="1" applyAlignment="1">
      <alignment horizontal="right" vertical="top"/>
    </xf>
    <xf numFmtId="0" fontId="17" fillId="0" borderId="0" xfId="0" applyFont="1" applyBorder="1" applyAlignment="1">
      <alignment horizontal="right" vertical="top"/>
    </xf>
    <xf numFmtId="0" fontId="63" fillId="0" borderId="0" xfId="0" applyFont="1" applyBorder="1" applyAlignment="1">
      <alignment horizontal="left"/>
    </xf>
    <xf numFmtId="0" fontId="16" fillId="0" borderId="28" xfId="0" applyFont="1" applyFill="1" applyBorder="1" applyAlignment="1" applyProtection="1">
      <alignment horizontal="left" vertical="center"/>
      <protection locked="0"/>
    </xf>
    <xf numFmtId="0" fontId="63" fillId="0" borderId="0" xfId="0" applyFont="1" applyBorder="1" applyAlignment="1">
      <alignment/>
    </xf>
    <xf numFmtId="0" fontId="17" fillId="0" borderId="0" xfId="0" applyFont="1" applyAlignment="1" applyProtection="1">
      <alignment horizontal="right" vertical="top"/>
      <protection/>
    </xf>
    <xf numFmtId="0" fontId="0" fillId="0" borderId="0" xfId="0" applyAlignment="1">
      <alignment vertical="top"/>
    </xf>
    <xf numFmtId="0" fontId="32" fillId="0" borderId="0" xfId="0" applyFont="1" applyFill="1" applyAlignment="1" applyProtection="1">
      <alignment horizontal="left"/>
      <protection/>
    </xf>
    <xf numFmtId="0" fontId="19" fillId="0" borderId="0" xfId="0" applyFont="1" applyFill="1" applyAlignment="1" applyProtection="1">
      <alignment horizontal="left" indent="5"/>
      <protection/>
    </xf>
    <xf numFmtId="0" fontId="2" fillId="0" borderId="0" xfId="0" applyFont="1" applyFill="1" applyAlignment="1" applyProtection="1">
      <alignment/>
      <protection/>
    </xf>
    <xf numFmtId="0" fontId="22" fillId="0" borderId="0" xfId="0" applyFont="1" applyFill="1" applyAlignment="1" applyProtection="1">
      <alignment/>
      <protection/>
    </xf>
    <xf numFmtId="0" fontId="0" fillId="0" borderId="0" xfId="0" applyAlignment="1">
      <alignment wrapText="1"/>
    </xf>
    <xf numFmtId="0" fontId="85" fillId="0" borderId="0" xfId="0" applyFont="1" applyAlignment="1">
      <alignment wrapText="1"/>
    </xf>
    <xf numFmtId="0" fontId="0" fillId="0" borderId="0" xfId="0" applyFont="1" applyAlignment="1">
      <alignment wrapText="1"/>
    </xf>
    <xf numFmtId="0" fontId="85" fillId="0" borderId="0" xfId="0" applyFont="1" applyFill="1" applyAlignment="1">
      <alignment wrapText="1"/>
    </xf>
    <xf numFmtId="0" fontId="85" fillId="5" borderId="29" xfId="0" applyFont="1" applyFill="1" applyBorder="1" applyAlignment="1">
      <alignment wrapText="1"/>
    </xf>
    <xf numFmtId="0" fontId="85" fillId="3" borderId="29" xfId="0" applyFont="1" applyFill="1" applyBorder="1" applyAlignment="1">
      <alignment wrapText="1"/>
    </xf>
    <xf numFmtId="0" fontId="85" fillId="2" borderId="29" xfId="0" applyFont="1" applyFill="1" applyBorder="1" applyAlignment="1">
      <alignment wrapText="1"/>
    </xf>
    <xf numFmtId="0" fontId="85" fillId="0" borderId="0" xfId="0" applyFont="1" applyAlignment="1">
      <alignment horizontal="left" wrapText="1" indent="1"/>
    </xf>
    <xf numFmtId="0" fontId="85" fillId="0" borderId="0" xfId="0" applyFont="1" applyAlignment="1">
      <alignment horizontal="left" indent="1"/>
    </xf>
    <xf numFmtId="0" fontId="21" fillId="0" borderId="49" xfId="0" applyFont="1" applyFill="1" applyBorder="1" applyAlignment="1" applyProtection="1">
      <alignment horizontal="center"/>
      <protection/>
    </xf>
    <xf numFmtId="0" fontId="16" fillId="2" borderId="206" xfId="0" applyFont="1" applyFill="1" applyBorder="1" applyAlignment="1" applyProtection="1">
      <alignment/>
      <protection locked="0"/>
    </xf>
    <xf numFmtId="3" fontId="16" fillId="5" borderId="49" xfId="0" applyNumberFormat="1" applyFont="1" applyFill="1" applyBorder="1" applyAlignment="1" applyProtection="1">
      <alignment horizontal="center"/>
      <protection locked="0"/>
    </xf>
    <xf numFmtId="0" fontId="16" fillId="5" borderId="98" xfId="0" applyFont="1" applyFill="1" applyBorder="1" applyAlignment="1" applyProtection="1">
      <alignment horizontal="center"/>
      <protection locked="0"/>
    </xf>
    <xf numFmtId="0" fontId="16" fillId="0" borderId="0" xfId="0" applyFont="1" applyAlignment="1" applyProtection="1">
      <alignment/>
      <protection/>
    </xf>
    <xf numFmtId="0" fontId="16" fillId="3" borderId="21" xfId="0" applyFont="1" applyFill="1" applyBorder="1" applyAlignment="1" applyProtection="1">
      <alignment horizontal="center"/>
      <protection/>
    </xf>
    <xf numFmtId="0" fontId="16" fillId="0" borderId="21" xfId="0" applyFont="1" applyBorder="1" applyAlignment="1" applyProtection="1">
      <alignment horizontal="center"/>
      <protection/>
    </xf>
    <xf numFmtId="0" fontId="16" fillId="2" borderId="46" xfId="0" applyFont="1" applyFill="1" applyBorder="1" applyAlignment="1" applyProtection="1">
      <alignment/>
      <protection locked="0"/>
    </xf>
    <xf numFmtId="0" fontId="16" fillId="2" borderId="175" xfId="0" applyFont="1" applyFill="1" applyBorder="1" applyAlignment="1" applyProtection="1">
      <alignment/>
      <protection locked="0"/>
    </xf>
    <xf numFmtId="0" fontId="16" fillId="2" borderId="98" xfId="0" applyFont="1" applyFill="1" applyBorder="1" applyAlignment="1" applyProtection="1">
      <alignment/>
      <protection locked="0"/>
    </xf>
    <xf numFmtId="0" fontId="16" fillId="2" borderId="207" xfId="0" applyFont="1" applyFill="1" applyBorder="1" applyAlignment="1" applyProtection="1">
      <alignment/>
      <protection locked="0"/>
    </xf>
    <xf numFmtId="0" fontId="16" fillId="2" borderId="208" xfId="0" applyFont="1" applyFill="1" applyBorder="1" applyAlignment="1" applyProtection="1">
      <alignment/>
      <protection locked="0"/>
    </xf>
    <xf numFmtId="0" fontId="17" fillId="0" borderId="1" xfId="0" applyFont="1" applyBorder="1" applyAlignment="1">
      <alignment/>
    </xf>
    <xf numFmtId="0" fontId="7" fillId="0" borderId="0" xfId="0" applyFont="1" applyAlignment="1">
      <alignment horizontal="right" indent="1"/>
    </xf>
    <xf numFmtId="0" fontId="0" fillId="0" borderId="0" xfId="0" applyFont="1" applyAlignment="1">
      <alignment horizontal="right" indent="1"/>
    </xf>
    <xf numFmtId="0" fontId="13" fillId="0" borderId="0" xfId="0" applyFont="1" applyAlignment="1" applyProtection="1">
      <alignment horizontal="left"/>
      <protection/>
    </xf>
    <xf numFmtId="0" fontId="0" fillId="0" borderId="0" xfId="0" applyAlignment="1" applyProtection="1">
      <alignment/>
      <protection/>
    </xf>
    <xf numFmtId="14" fontId="2" fillId="5" borderId="21" xfId="0" applyNumberFormat="1" applyFont="1" applyFill="1" applyBorder="1" applyAlignment="1" applyProtection="1">
      <alignment horizontal="center"/>
      <protection locked="0"/>
    </xf>
    <xf numFmtId="0" fontId="2" fillId="5" borderId="21" xfId="0" applyFont="1" applyFill="1" applyBorder="1" applyAlignment="1" applyProtection="1">
      <alignment horizontal="center"/>
      <protection locked="0"/>
    </xf>
    <xf numFmtId="0" fontId="84" fillId="0" borderId="21" xfId="0" applyFont="1" applyBorder="1" applyAlignment="1">
      <alignment vertical="center"/>
    </xf>
    <xf numFmtId="0" fontId="16" fillId="2" borderId="24" xfId="0" applyNumberFormat="1" applyFont="1" applyFill="1" applyBorder="1" applyAlignment="1" applyProtection="1">
      <alignment horizontal="left" indent="1"/>
      <protection locked="0"/>
    </xf>
    <xf numFmtId="0" fontId="16" fillId="5" borderId="21" xfId="0" applyNumberFormat="1" applyFont="1" applyFill="1" applyBorder="1" applyAlignment="1" applyProtection="1">
      <alignment horizontal="left" indent="1"/>
      <protection locked="0"/>
    </xf>
    <xf numFmtId="0" fontId="7" fillId="7" borderId="0" xfId="0" applyFont="1" applyFill="1" applyAlignment="1">
      <alignment horizontal="center" vertical="top"/>
    </xf>
    <xf numFmtId="0" fontId="0" fillId="0" borderId="0" xfId="0" applyAlignment="1">
      <alignment horizontal="center" vertical="top"/>
    </xf>
    <xf numFmtId="0" fontId="0" fillId="0" borderId="0" xfId="0" applyAlignment="1">
      <alignment vertical="top"/>
    </xf>
    <xf numFmtId="0" fontId="0" fillId="5" borderId="209" xfId="0" applyFill="1" applyBorder="1" applyAlignment="1" applyProtection="1">
      <alignment vertical="top" wrapText="1"/>
      <protection locked="0"/>
    </xf>
    <xf numFmtId="0" fontId="0" fillId="5" borderId="137" xfId="0" applyFill="1" applyBorder="1" applyAlignment="1" applyProtection="1">
      <alignment vertical="top" wrapText="1"/>
      <protection locked="0"/>
    </xf>
    <xf numFmtId="0" fontId="0" fillId="5" borderId="210" xfId="0" applyFill="1" applyBorder="1" applyAlignment="1" applyProtection="1">
      <alignment vertical="top" wrapText="1"/>
      <protection locked="0"/>
    </xf>
    <xf numFmtId="0" fontId="7" fillId="7" borderId="0" xfId="0" applyFont="1" applyFill="1" applyAlignment="1">
      <alignment vertical="top"/>
    </xf>
    <xf numFmtId="0" fontId="16" fillId="5" borderId="211" xfId="0" applyFont="1" applyFill="1" applyBorder="1" applyAlignment="1" applyProtection="1">
      <alignment vertical="top" wrapText="1"/>
      <protection locked="0"/>
    </xf>
    <xf numFmtId="0" fontId="16" fillId="5" borderId="0" xfId="0" applyFont="1" applyFill="1" applyBorder="1" applyAlignment="1" applyProtection="1">
      <alignment vertical="top" wrapText="1"/>
      <protection locked="0"/>
    </xf>
    <xf numFmtId="0" fontId="16" fillId="5" borderId="212" xfId="0" applyFont="1" applyFill="1" applyBorder="1" applyAlignment="1" applyProtection="1">
      <alignment vertical="top" wrapText="1"/>
      <protection locked="0"/>
    </xf>
    <xf numFmtId="0" fontId="37" fillId="5" borderId="24" xfId="19" applyNumberFormat="1" applyFont="1" applyFill="1" applyBorder="1" applyAlignment="1" applyProtection="1">
      <alignment horizontal="left" indent="1"/>
      <protection locked="0"/>
    </xf>
    <xf numFmtId="0" fontId="16" fillId="5" borderId="24" xfId="0" applyNumberFormat="1" applyFont="1" applyFill="1" applyBorder="1" applyAlignment="1" applyProtection="1">
      <alignment horizontal="left" indent="1"/>
      <protection locked="0"/>
    </xf>
    <xf numFmtId="0" fontId="2" fillId="0" borderId="0" xfId="0" applyFont="1" applyAlignment="1">
      <alignment horizontal="right"/>
    </xf>
    <xf numFmtId="0" fontId="17" fillId="0" borderId="0" xfId="0" applyFont="1" applyAlignment="1">
      <alignment horizontal="right"/>
    </xf>
    <xf numFmtId="0" fontId="16" fillId="5" borderId="137" xfId="0" applyFont="1" applyFill="1" applyBorder="1" applyAlignment="1" applyProtection="1">
      <alignment vertical="top" wrapText="1"/>
      <protection locked="0"/>
    </xf>
    <xf numFmtId="0" fontId="16" fillId="5" borderId="210" xfId="0" applyFont="1" applyFill="1" applyBorder="1" applyAlignment="1" applyProtection="1">
      <alignment vertical="top" wrapText="1"/>
      <protection locked="0"/>
    </xf>
    <xf numFmtId="0" fontId="16" fillId="5" borderId="209" xfId="0" applyFont="1" applyFill="1" applyBorder="1" applyAlignment="1" applyProtection="1">
      <alignment vertical="top" wrapText="1"/>
      <protection locked="0"/>
    </xf>
    <xf numFmtId="0" fontId="16" fillId="5" borderId="213" xfId="0" applyFont="1" applyFill="1" applyBorder="1" applyAlignment="1" applyProtection="1">
      <alignment vertical="top" wrapText="1"/>
      <protection locked="0"/>
    </xf>
    <xf numFmtId="0" fontId="0" fillId="5" borderId="211" xfId="0" applyFill="1" applyBorder="1" applyAlignment="1" applyProtection="1">
      <alignment vertical="top" wrapText="1"/>
      <protection locked="0"/>
    </xf>
    <xf numFmtId="0" fontId="17" fillId="0" borderId="0" xfId="0" applyFont="1" applyAlignment="1">
      <alignment vertical="center" wrapText="1"/>
    </xf>
    <xf numFmtId="0" fontId="0" fillId="5" borderId="0" xfId="0" applyFill="1" applyAlignment="1" applyProtection="1">
      <alignment vertical="top" wrapText="1"/>
      <protection locked="0"/>
    </xf>
    <xf numFmtId="0" fontId="16" fillId="5" borderId="214" xfId="0" applyFont="1" applyFill="1" applyBorder="1" applyAlignment="1" applyProtection="1">
      <alignment vertical="top" wrapText="1"/>
      <protection locked="0"/>
    </xf>
    <xf numFmtId="0" fontId="16" fillId="5" borderId="125" xfId="0" applyFont="1" applyFill="1" applyBorder="1" applyAlignment="1" applyProtection="1">
      <alignment vertical="top" wrapText="1"/>
      <protection locked="0"/>
    </xf>
    <xf numFmtId="0" fontId="0" fillId="5" borderId="125" xfId="0" applyFill="1" applyBorder="1" applyAlignment="1" applyProtection="1">
      <alignment vertical="top" wrapText="1"/>
      <protection locked="0"/>
    </xf>
    <xf numFmtId="0" fontId="0" fillId="5" borderId="213" xfId="0" applyFill="1" applyBorder="1" applyAlignment="1" applyProtection="1">
      <alignment vertical="top" wrapText="1"/>
      <protection locked="0"/>
    </xf>
    <xf numFmtId="0" fontId="0" fillId="5" borderId="212" xfId="0" applyFill="1" applyBorder="1" applyAlignment="1" applyProtection="1">
      <alignment vertical="top" wrapText="1"/>
      <protection locked="0"/>
    </xf>
    <xf numFmtId="0" fontId="0" fillId="5" borderId="0" xfId="0" applyFill="1" applyBorder="1" applyAlignment="1" applyProtection="1">
      <alignment vertical="top" wrapText="1"/>
      <protection locked="0"/>
    </xf>
    <xf numFmtId="0" fontId="0" fillId="0" borderId="0" xfId="0" applyAlignment="1">
      <alignment vertical="top" wrapText="1"/>
    </xf>
    <xf numFmtId="0" fontId="0" fillId="0" borderId="0" xfId="0" applyAlignment="1">
      <alignment wrapText="1"/>
    </xf>
    <xf numFmtId="0" fontId="0" fillId="0" borderId="0" xfId="0" applyAlignment="1">
      <alignment/>
    </xf>
    <xf numFmtId="0" fontId="7" fillId="0" borderId="0" xfId="0" applyFont="1" applyAlignment="1">
      <alignment wrapText="1"/>
    </xf>
    <xf numFmtId="0" fontId="0" fillId="0" borderId="0" xfId="0" applyFont="1" applyAlignment="1">
      <alignment wrapText="1"/>
    </xf>
    <xf numFmtId="0" fontId="16" fillId="5" borderId="21" xfId="0" applyFont="1" applyFill="1" applyBorder="1" applyAlignment="1" applyProtection="1">
      <alignment/>
      <protection locked="0"/>
    </xf>
    <xf numFmtId="0" fontId="16" fillId="5" borderId="214" xfId="0" applyFont="1" applyFill="1" applyBorder="1" applyAlignment="1" applyProtection="1">
      <alignment wrapText="1"/>
      <protection locked="0"/>
    </xf>
    <xf numFmtId="0" fontId="0" fillId="5" borderId="125" xfId="0" applyFill="1" applyBorder="1" applyAlignment="1" applyProtection="1">
      <alignment wrapText="1"/>
      <protection locked="0"/>
    </xf>
    <xf numFmtId="0" fontId="0" fillId="5" borderId="213" xfId="0" applyFill="1" applyBorder="1" applyAlignment="1" applyProtection="1">
      <alignment wrapText="1"/>
      <protection locked="0"/>
    </xf>
    <xf numFmtId="0" fontId="0" fillId="5" borderId="209" xfId="0" applyFill="1" applyBorder="1" applyAlignment="1" applyProtection="1">
      <alignment wrapText="1"/>
      <protection locked="0"/>
    </xf>
    <xf numFmtId="0" fontId="0" fillId="5" borderId="137" xfId="0" applyFill="1" applyBorder="1" applyAlignment="1" applyProtection="1">
      <alignment wrapText="1"/>
      <protection locked="0"/>
    </xf>
    <xf numFmtId="0" fontId="0" fillId="5" borderId="210" xfId="0" applyFill="1" applyBorder="1" applyAlignment="1" applyProtection="1">
      <alignment wrapText="1"/>
      <protection locked="0"/>
    </xf>
    <xf numFmtId="0" fontId="0" fillId="0" borderId="175" xfId="0" applyFill="1" applyBorder="1" applyAlignment="1">
      <alignment/>
    </xf>
    <xf numFmtId="0" fontId="0" fillId="0" borderId="156" xfId="0" applyFill="1" applyBorder="1" applyAlignment="1">
      <alignment/>
    </xf>
    <xf numFmtId="0" fontId="2" fillId="5" borderId="21" xfId="0" applyFont="1" applyFill="1" applyBorder="1" applyAlignment="1" applyProtection="1">
      <alignment horizontal="center"/>
      <protection/>
    </xf>
    <xf numFmtId="0" fontId="0" fillId="5" borderId="21" xfId="0" applyFill="1" applyBorder="1" applyAlignment="1">
      <alignment horizontal="center"/>
    </xf>
    <xf numFmtId="0" fontId="16" fillId="5" borderId="21" xfId="0" applyFont="1" applyFill="1" applyBorder="1" applyAlignment="1" applyProtection="1">
      <alignment horizontal="center"/>
      <protection locked="0"/>
    </xf>
    <xf numFmtId="3" fontId="16" fillId="5" borderId="215" xfId="0" applyNumberFormat="1" applyFont="1" applyFill="1" applyBorder="1" applyAlignment="1" applyProtection="1">
      <alignment horizontal="center"/>
      <protection locked="0"/>
    </xf>
    <xf numFmtId="0" fontId="16" fillId="5" borderId="206" xfId="0" applyFont="1" applyFill="1" applyBorder="1" applyAlignment="1" applyProtection="1">
      <alignment horizontal="center"/>
      <protection locked="0"/>
    </xf>
    <xf numFmtId="0" fontId="0" fillId="3" borderId="21" xfId="0" applyFill="1" applyBorder="1" applyAlignment="1">
      <alignment/>
    </xf>
    <xf numFmtId="0" fontId="0" fillId="2" borderId="208" xfId="0" applyFill="1" applyBorder="1" applyAlignment="1" applyProtection="1">
      <alignment/>
      <protection locked="0"/>
    </xf>
    <xf numFmtId="0" fontId="0" fillId="2" borderId="206" xfId="0" applyFill="1" applyBorder="1" applyAlignment="1" applyProtection="1">
      <alignment/>
      <protection locked="0"/>
    </xf>
    <xf numFmtId="0" fontId="16" fillId="5" borderId="51" xfId="0" applyFont="1" applyFill="1" applyBorder="1" applyAlignment="1" applyProtection="1">
      <alignment horizontal="center"/>
      <protection locked="0"/>
    </xf>
    <xf numFmtId="0" fontId="0" fillId="5" borderId="216" xfId="0" applyFill="1" applyBorder="1" applyAlignment="1" applyProtection="1">
      <alignment horizontal="center"/>
      <protection locked="0"/>
    </xf>
    <xf numFmtId="0" fontId="16" fillId="5" borderId="49" xfId="0" applyFont="1" applyFill="1" applyBorder="1" applyAlignment="1" applyProtection="1">
      <alignment horizontal="center"/>
      <protection locked="0"/>
    </xf>
    <xf numFmtId="0" fontId="0" fillId="5" borderId="98" xfId="0" applyFill="1" applyBorder="1" applyAlignment="1" applyProtection="1">
      <alignment horizontal="center"/>
      <protection locked="0"/>
    </xf>
    <xf numFmtId="0" fontId="16" fillId="5" borderId="215" xfId="0" applyFont="1" applyFill="1" applyBorder="1" applyAlignment="1" applyProtection="1">
      <alignment horizontal="center"/>
      <protection locked="0"/>
    </xf>
    <xf numFmtId="0" fontId="0" fillId="5" borderId="206" xfId="0" applyFill="1" applyBorder="1" applyAlignment="1" applyProtection="1">
      <alignment horizontal="center"/>
      <protection locked="0"/>
    </xf>
    <xf numFmtId="0" fontId="16" fillId="2" borderId="39" xfId="0" applyFont="1" applyFill="1" applyBorder="1" applyAlignment="1" applyProtection="1">
      <alignment/>
      <protection locked="0"/>
    </xf>
    <xf numFmtId="0" fontId="0" fillId="2" borderId="217" xfId="0" applyFill="1" applyBorder="1" applyAlignment="1" applyProtection="1">
      <alignment/>
      <protection locked="0"/>
    </xf>
    <xf numFmtId="0" fontId="0" fillId="2" borderId="216" xfId="0" applyFill="1" applyBorder="1" applyAlignment="1" applyProtection="1">
      <alignment/>
      <protection locked="0"/>
    </xf>
    <xf numFmtId="14" fontId="16" fillId="3" borderId="21" xfId="0" applyNumberFormat="1" applyFont="1" applyFill="1" applyBorder="1" applyAlignment="1" applyProtection="1">
      <alignment horizontal="center"/>
      <protection locked="0"/>
    </xf>
    <xf numFmtId="0" fontId="16" fillId="0" borderId="21" xfId="0" applyFont="1" applyBorder="1" applyAlignment="1">
      <alignment horizontal="center"/>
    </xf>
    <xf numFmtId="0" fontId="17" fillId="0" borderId="218" xfId="0" applyFont="1" applyFill="1" applyBorder="1" applyAlignment="1" applyProtection="1">
      <alignment vertical="center" wrapText="1"/>
      <protection/>
    </xf>
    <xf numFmtId="0" fontId="0" fillId="0" borderId="219" xfId="0" applyFill="1" applyBorder="1" applyAlignment="1">
      <alignment vertical="center" wrapText="1"/>
    </xf>
    <xf numFmtId="0" fontId="0" fillId="0" borderId="199" xfId="0" applyFill="1" applyBorder="1" applyAlignment="1">
      <alignment vertical="center" wrapText="1"/>
    </xf>
    <xf numFmtId="0" fontId="16" fillId="3" borderId="21" xfId="0" applyFont="1" applyFill="1" applyBorder="1" applyAlignment="1" applyProtection="1">
      <alignment horizontal="center"/>
      <protection locked="0"/>
    </xf>
    <xf numFmtId="0" fontId="0" fillId="0" borderId="21" xfId="0" applyBorder="1" applyAlignment="1">
      <alignment/>
    </xf>
    <xf numFmtId="0" fontId="16" fillId="5" borderId="21" xfId="0" applyFont="1" applyFill="1" applyBorder="1" applyAlignment="1" applyProtection="1">
      <alignment/>
      <protection/>
    </xf>
    <xf numFmtId="0" fontId="72" fillId="0" borderId="116" xfId="0" applyFont="1" applyFill="1" applyBorder="1" applyAlignment="1" applyProtection="1">
      <alignment horizontal="center"/>
      <protection/>
    </xf>
    <xf numFmtId="0" fontId="25" fillId="0" borderId="175" xfId="0" applyFont="1" applyFill="1" applyBorder="1" applyAlignment="1">
      <alignment horizontal="center"/>
    </xf>
    <xf numFmtId="0" fontId="16" fillId="2" borderId="21" xfId="0" applyFont="1" applyFill="1" applyBorder="1" applyAlignment="1" applyProtection="1">
      <alignment horizontal="center"/>
      <protection locked="0"/>
    </xf>
    <xf numFmtId="0" fontId="16" fillId="5" borderId="21" xfId="0" applyFont="1" applyFill="1" applyBorder="1" applyAlignment="1" applyProtection="1">
      <alignment horizontal="center"/>
      <protection locked="0"/>
    </xf>
    <xf numFmtId="0" fontId="0" fillId="2" borderId="175" xfId="0" applyFill="1" applyBorder="1" applyAlignment="1" applyProtection="1">
      <alignment/>
      <protection locked="0"/>
    </xf>
    <xf numFmtId="0" fontId="0" fillId="2" borderId="98" xfId="0" applyFill="1" applyBorder="1" applyAlignment="1" applyProtection="1">
      <alignment/>
      <protection locked="0"/>
    </xf>
    <xf numFmtId="0" fontId="72" fillId="0" borderId="49" xfId="0" applyFont="1" applyFill="1" applyBorder="1" applyAlignment="1" applyProtection="1">
      <alignment horizontal="center"/>
      <protection/>
    </xf>
    <xf numFmtId="0" fontId="15" fillId="0" borderId="0" xfId="0" applyFont="1" applyAlignment="1">
      <alignment horizontal="left" vertical="center" wrapText="1"/>
    </xf>
    <xf numFmtId="0" fontId="15" fillId="0" borderId="0" xfId="0" applyFont="1" applyFill="1" applyAlignment="1">
      <alignment horizontal="left" vertical="center" wrapText="1"/>
    </xf>
    <xf numFmtId="0" fontId="6" fillId="2" borderId="26" xfId="0" applyFont="1" applyFill="1" applyBorder="1" applyAlignment="1">
      <alignment horizontal="center" vertical="center"/>
    </xf>
    <xf numFmtId="0" fontId="0" fillId="2" borderId="28" xfId="0" applyFill="1" applyBorder="1" applyAlignment="1">
      <alignment horizontal="center" vertical="center"/>
    </xf>
    <xf numFmtId="0" fontId="4" fillId="0" borderId="0" xfId="0" applyFont="1" applyFill="1" applyBorder="1" applyAlignment="1">
      <alignment horizontal="left" vertical="center" wrapText="1"/>
    </xf>
    <xf numFmtId="0" fontId="0" fillId="0" borderId="24" xfId="0" applyBorder="1" applyAlignment="1">
      <alignment horizontal="center"/>
    </xf>
    <xf numFmtId="0" fontId="0" fillId="0" borderId="25" xfId="0" applyBorder="1" applyAlignment="1">
      <alignment horizontal="center"/>
    </xf>
    <xf numFmtId="0" fontId="0" fillId="2" borderId="30" xfId="0"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2" borderId="31" xfId="0" applyFont="1" applyFill="1" applyBorder="1" applyAlignment="1">
      <alignment horizontal="left" vertical="center" wrapText="1"/>
    </xf>
    <xf numFmtId="0" fontId="0" fillId="2" borderId="22" xfId="0" applyFont="1" applyFill="1" applyBorder="1" applyAlignment="1">
      <alignment horizontal="left" vertical="center" wrapText="1"/>
    </xf>
    <xf numFmtId="0" fontId="0" fillId="2" borderId="21" xfId="0" applyFont="1" applyFill="1" applyBorder="1" applyAlignment="1">
      <alignment horizontal="left" vertical="center" wrapText="1"/>
    </xf>
    <xf numFmtId="0" fontId="0" fillId="2" borderId="33" xfId="0" applyFont="1" applyFill="1" applyBorder="1" applyAlignment="1">
      <alignment horizontal="left" vertical="center" wrapText="1"/>
    </xf>
    <xf numFmtId="0" fontId="4" fillId="0" borderId="0" xfId="0" applyFont="1" applyAlignment="1">
      <alignment horizontal="left" vertical="center" wrapText="1"/>
    </xf>
    <xf numFmtId="0" fontId="4" fillId="0" borderId="21" xfId="0" applyFont="1" applyBorder="1" applyAlignment="1">
      <alignment horizontal="left" vertical="center" wrapText="1"/>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6" xfId="0" applyFont="1" applyFill="1" applyBorder="1" applyAlignment="1">
      <alignment horizontal="center" vertical="center" wrapText="1"/>
    </xf>
    <xf numFmtId="0" fontId="6" fillId="2" borderId="28" xfId="0" applyFont="1" applyFill="1" applyBorder="1" applyAlignment="1">
      <alignment horizontal="center" vertical="center" wrapText="1"/>
    </xf>
    <xf numFmtId="3" fontId="16" fillId="3" borderId="21" xfId="0" applyNumberFormat="1" applyFont="1" applyFill="1" applyBorder="1" applyAlignment="1" applyProtection="1">
      <alignment horizontal="center"/>
      <protection/>
    </xf>
    <xf numFmtId="0" fontId="0" fillId="3" borderId="21" xfId="0" applyFill="1" applyBorder="1" applyAlignment="1" applyProtection="1">
      <alignment horizontal="center"/>
      <protection/>
    </xf>
    <xf numFmtId="0" fontId="2" fillId="3" borderId="21" xfId="0" applyNumberFormat="1" applyFont="1" applyFill="1" applyBorder="1" applyAlignment="1" applyProtection="1">
      <alignment horizontal="left" indent="1"/>
      <protection/>
    </xf>
    <xf numFmtId="0" fontId="2" fillId="2" borderId="21" xfId="0" applyNumberFormat="1" applyFont="1" applyFill="1" applyBorder="1" applyAlignment="1" applyProtection="1">
      <alignment horizontal="center"/>
      <protection locked="0"/>
    </xf>
    <xf numFmtId="14" fontId="2" fillId="3" borderId="21" xfId="0" applyNumberFormat="1" applyFont="1" applyFill="1" applyBorder="1" applyAlignment="1" applyProtection="1">
      <alignment horizontal="left" indent="1"/>
      <protection/>
    </xf>
    <xf numFmtId="3" fontId="16" fillId="3" borderId="131" xfId="0" applyNumberFormat="1" applyFont="1" applyFill="1" applyBorder="1" applyAlignment="1" applyProtection="1">
      <alignment horizontal="right" indent="1"/>
      <protection/>
    </xf>
    <xf numFmtId="0" fontId="0" fillId="3" borderId="25" xfId="0" applyFill="1" applyBorder="1" applyAlignment="1" applyProtection="1">
      <alignment horizontal="right" indent="1"/>
      <protection/>
    </xf>
    <xf numFmtId="0" fontId="2" fillId="3" borderId="21" xfId="0" applyNumberFormat="1" applyFont="1" applyFill="1" applyBorder="1" applyAlignment="1" applyProtection="1">
      <alignment horizontal="left" indent="1"/>
      <protection locked="0"/>
    </xf>
    <xf numFmtId="3" fontId="16" fillId="3" borderId="220" xfId="0" applyNumberFormat="1" applyFont="1" applyFill="1" applyBorder="1" applyAlignment="1" applyProtection="1">
      <alignment horizontal="center"/>
      <protection/>
    </xf>
    <xf numFmtId="0" fontId="0" fillId="3" borderId="221" xfId="0" applyFill="1" applyBorder="1" applyAlignment="1" applyProtection="1">
      <alignment horizontal="center"/>
      <protection/>
    </xf>
    <xf numFmtId="1" fontId="16" fillId="3" borderId="131" xfId="0" applyNumberFormat="1" applyFont="1" applyFill="1" applyBorder="1" applyAlignment="1" applyProtection="1">
      <alignment horizontal="right" indent="1"/>
      <protection/>
    </xf>
    <xf numFmtId="1" fontId="16" fillId="3" borderId="25" xfId="0" applyNumberFormat="1" applyFont="1" applyFill="1" applyBorder="1" applyAlignment="1" applyProtection="1">
      <alignment horizontal="right" indent="1"/>
      <protection/>
    </xf>
    <xf numFmtId="1" fontId="2" fillId="3" borderId="131" xfId="0" applyNumberFormat="1" applyFont="1" applyFill="1" applyBorder="1" applyAlignment="1" applyProtection="1">
      <alignment horizontal="right" indent="1"/>
      <protection/>
    </xf>
    <xf numFmtId="1" fontId="0" fillId="0" borderId="25" xfId="0" applyNumberFormat="1" applyBorder="1" applyAlignment="1">
      <alignment horizontal="right" indent="1"/>
    </xf>
    <xf numFmtId="0" fontId="17" fillId="0" borderId="30" xfId="0" applyFont="1" applyBorder="1" applyAlignment="1">
      <alignment horizontal="left" vertical="top" wrapText="1"/>
    </xf>
    <xf numFmtId="0" fontId="2" fillId="0" borderId="1" xfId="0" applyFont="1" applyBorder="1" applyAlignment="1">
      <alignment horizontal="left" vertical="top" wrapText="1"/>
    </xf>
    <xf numFmtId="0" fontId="2" fillId="0" borderId="31" xfId="0" applyFont="1" applyBorder="1" applyAlignment="1">
      <alignment horizontal="left" vertical="top" wrapText="1"/>
    </xf>
    <xf numFmtId="0" fontId="16" fillId="5" borderId="23" xfId="0" applyFont="1" applyFill="1" applyBorder="1" applyAlignment="1" applyProtection="1">
      <alignment vertical="center"/>
      <protection locked="0"/>
    </xf>
    <xf numFmtId="0" fontId="16" fillId="5" borderId="0" xfId="0" applyFont="1" applyFill="1" applyBorder="1" applyAlignment="1" applyProtection="1">
      <alignment vertical="center"/>
      <protection locked="0"/>
    </xf>
    <xf numFmtId="0" fontId="16" fillId="5" borderId="32" xfId="0" applyFont="1" applyFill="1" applyBorder="1" applyAlignment="1" applyProtection="1">
      <alignment vertical="center"/>
      <protection locked="0"/>
    </xf>
    <xf numFmtId="0" fontId="21" fillId="5" borderId="22" xfId="0" applyFont="1" applyFill="1" applyBorder="1" applyAlignment="1" applyProtection="1">
      <alignment horizontal="right" vertical="center"/>
      <protection locked="0"/>
    </xf>
    <xf numFmtId="0" fontId="21" fillId="5" borderId="21" xfId="0" applyFont="1" applyFill="1" applyBorder="1" applyAlignment="1" applyProtection="1">
      <alignment horizontal="right" vertical="center"/>
      <protection locked="0"/>
    </xf>
    <xf numFmtId="0" fontId="21" fillId="5" borderId="33" xfId="0" applyFont="1" applyFill="1" applyBorder="1" applyAlignment="1" applyProtection="1">
      <alignment horizontal="right" vertical="center"/>
      <protection locked="0"/>
    </xf>
    <xf numFmtId="0" fontId="16" fillId="2" borderId="131" xfId="0" applyFont="1" applyFill="1" applyBorder="1" applyAlignment="1" applyProtection="1">
      <alignment horizontal="center" wrapText="1"/>
      <protection locked="0"/>
    </xf>
    <xf numFmtId="0" fontId="16" fillId="2" borderId="24" xfId="0" applyFont="1" applyFill="1" applyBorder="1" applyAlignment="1" applyProtection="1">
      <alignment horizontal="center" wrapText="1"/>
      <protection locked="0"/>
    </xf>
    <xf numFmtId="0" fontId="16" fillId="2" borderId="25" xfId="0" applyFont="1" applyFill="1" applyBorder="1" applyAlignment="1" applyProtection="1">
      <alignment horizontal="center" wrapText="1"/>
      <protection locked="0"/>
    </xf>
    <xf numFmtId="49" fontId="16" fillId="5" borderId="30" xfId="0" applyNumberFormat="1" applyFont="1" applyFill="1" applyBorder="1" applyAlignment="1" applyProtection="1">
      <alignment horizontal="left" vertical="top" wrapText="1"/>
      <protection locked="0"/>
    </xf>
    <xf numFmtId="49" fontId="16" fillId="5" borderId="1" xfId="0" applyNumberFormat="1" applyFont="1" applyFill="1" applyBorder="1" applyAlignment="1" applyProtection="1">
      <alignment horizontal="left" vertical="top" wrapText="1"/>
      <protection locked="0"/>
    </xf>
    <xf numFmtId="49" fontId="16" fillId="5" borderId="31" xfId="0" applyNumberFormat="1" applyFont="1" applyFill="1" applyBorder="1" applyAlignment="1" applyProtection="1">
      <alignment horizontal="left" vertical="top" wrapText="1"/>
      <protection locked="0"/>
    </xf>
    <xf numFmtId="49" fontId="16" fillId="5" borderId="23" xfId="0" applyNumberFormat="1" applyFont="1" applyFill="1" applyBorder="1" applyAlignment="1" applyProtection="1">
      <alignment horizontal="left" vertical="top" wrapText="1"/>
      <protection locked="0"/>
    </xf>
    <xf numFmtId="49" fontId="16" fillId="5" borderId="0" xfId="0" applyNumberFormat="1" applyFont="1" applyFill="1" applyBorder="1" applyAlignment="1" applyProtection="1">
      <alignment horizontal="left" vertical="top" wrapText="1"/>
      <protection locked="0"/>
    </xf>
    <xf numFmtId="49" fontId="16" fillId="5" borderId="32" xfId="0" applyNumberFormat="1" applyFont="1" applyFill="1" applyBorder="1" applyAlignment="1" applyProtection="1">
      <alignment horizontal="left" vertical="top" wrapText="1"/>
      <protection locked="0"/>
    </xf>
    <xf numFmtId="49" fontId="16" fillId="5" borderId="22" xfId="0" applyNumberFormat="1" applyFont="1" applyFill="1" applyBorder="1" applyAlignment="1" applyProtection="1">
      <alignment horizontal="left" vertical="top" wrapText="1"/>
      <protection locked="0"/>
    </xf>
    <xf numFmtId="49" fontId="16" fillId="5" borderId="21" xfId="0" applyNumberFormat="1" applyFont="1" applyFill="1" applyBorder="1" applyAlignment="1" applyProtection="1">
      <alignment horizontal="left" vertical="top" wrapText="1"/>
      <protection locked="0"/>
    </xf>
    <xf numFmtId="49" fontId="16" fillId="5" borderId="33" xfId="0" applyNumberFormat="1" applyFont="1" applyFill="1" applyBorder="1" applyAlignment="1" applyProtection="1">
      <alignment horizontal="left" vertical="top" wrapText="1"/>
      <protection locked="0"/>
    </xf>
    <xf numFmtId="49" fontId="16" fillId="0" borderId="0" xfId="0" applyNumberFormat="1" applyFont="1" applyBorder="1" applyAlignment="1">
      <alignment horizontal="left" vertical="center" wrapText="1"/>
    </xf>
    <xf numFmtId="49" fontId="16" fillId="0" borderId="32" xfId="0" applyNumberFormat="1" applyFont="1" applyBorder="1" applyAlignment="1">
      <alignment horizontal="left" vertical="center" wrapText="1"/>
    </xf>
    <xf numFmtId="0" fontId="16" fillId="0" borderId="0" xfId="0" applyFont="1" applyBorder="1" applyAlignment="1">
      <alignment horizontal="left" vertical="center" wrapText="1"/>
    </xf>
    <xf numFmtId="0" fontId="16" fillId="0" borderId="32" xfId="0" applyFont="1" applyBorder="1" applyAlignment="1">
      <alignment horizontal="left" vertical="center" wrapText="1"/>
    </xf>
    <xf numFmtId="167" fontId="16" fillId="3" borderId="131" xfId="0" applyNumberFormat="1" applyFont="1" applyFill="1" applyBorder="1" applyAlignment="1" applyProtection="1">
      <alignment horizontal="center" vertical="center" shrinkToFit="1"/>
      <protection/>
    </xf>
    <xf numFmtId="167" fontId="16" fillId="3" borderId="24" xfId="0" applyNumberFormat="1" applyFont="1" applyFill="1" applyBorder="1" applyAlignment="1" applyProtection="1">
      <alignment horizontal="center" vertical="center" shrinkToFit="1"/>
      <protection/>
    </xf>
    <xf numFmtId="167" fontId="16" fillId="3" borderId="25" xfId="0" applyNumberFormat="1" applyFont="1" applyFill="1" applyBorder="1" applyAlignment="1" applyProtection="1">
      <alignment horizontal="center" vertical="center" shrinkToFit="1"/>
      <protection/>
    </xf>
    <xf numFmtId="0" fontId="21" fillId="0" borderId="23" xfId="0" applyFont="1" applyBorder="1" applyAlignment="1" applyProtection="1">
      <alignment horizontal="left" vertical="center" indent="3"/>
      <protection/>
    </xf>
    <xf numFmtId="0" fontId="7" fillId="0" borderId="0" xfId="0" applyFont="1" applyBorder="1" applyAlignment="1" applyProtection="1">
      <alignment horizontal="left" vertical="center" indent="3"/>
      <protection/>
    </xf>
    <xf numFmtId="0" fontId="63" fillId="0" borderId="1" xfId="0" applyFont="1" applyBorder="1" applyAlignment="1">
      <alignment vertical="center"/>
    </xf>
    <xf numFmtId="0" fontId="16" fillId="0" borderId="30" xfId="0" applyFont="1" applyBorder="1" applyAlignment="1">
      <alignment horizontal="left" vertical="center" wrapText="1"/>
    </xf>
    <xf numFmtId="0" fontId="16" fillId="0" borderId="1" xfId="0" applyFont="1" applyBorder="1" applyAlignment="1">
      <alignment horizontal="left" vertical="center" wrapText="1"/>
    </xf>
    <xf numFmtId="0" fontId="16" fillId="0" borderId="31" xfId="0" applyFont="1" applyBorder="1" applyAlignment="1">
      <alignment horizontal="left" vertical="center" wrapText="1"/>
    </xf>
    <xf numFmtId="0" fontId="16" fillId="0" borderId="23" xfId="0" applyFont="1" applyBorder="1" applyAlignment="1">
      <alignment horizontal="left" vertical="center" wrapText="1"/>
    </xf>
    <xf numFmtId="0" fontId="16" fillId="3" borderId="131" xfId="0" applyFont="1" applyFill="1" applyBorder="1" applyAlignment="1" applyProtection="1">
      <alignment horizontal="center" vertical="center" shrinkToFit="1"/>
      <protection/>
    </xf>
    <xf numFmtId="0" fontId="16" fillId="3" borderId="24" xfId="0" applyFont="1" applyFill="1" applyBorder="1" applyAlignment="1" applyProtection="1">
      <alignment horizontal="center" vertical="center" shrinkToFit="1"/>
      <protection/>
    </xf>
    <xf numFmtId="0" fontId="16" fillId="3" borderId="25" xfId="0" applyFont="1" applyFill="1" applyBorder="1" applyAlignment="1" applyProtection="1">
      <alignment horizontal="center" vertical="center" shrinkToFit="1"/>
      <protection/>
    </xf>
    <xf numFmtId="0" fontId="21" fillId="0" borderId="131" xfId="0" applyFont="1" applyBorder="1" applyAlignment="1" applyProtection="1">
      <alignment horizontal="right" vertical="center"/>
      <protection/>
    </xf>
    <xf numFmtId="0" fontId="21" fillId="0" borderId="25" xfId="0" applyFont="1" applyBorder="1" applyAlignment="1" applyProtection="1">
      <alignment horizontal="right" vertical="center"/>
      <protection/>
    </xf>
    <xf numFmtId="49" fontId="17" fillId="0" borderId="30" xfId="0" applyNumberFormat="1" applyFont="1" applyBorder="1" applyAlignment="1">
      <alignment horizontal="left" vertical="top" wrapText="1"/>
    </xf>
    <xf numFmtId="49" fontId="21" fillId="0" borderId="1" xfId="0" applyNumberFormat="1" applyFont="1" applyBorder="1" applyAlignment="1">
      <alignment horizontal="left" vertical="top" wrapText="1"/>
    </xf>
    <xf numFmtId="49" fontId="21" fillId="0" borderId="31" xfId="0" applyNumberFormat="1" applyFont="1" applyBorder="1" applyAlignment="1">
      <alignment horizontal="left" vertical="top" wrapText="1"/>
    </xf>
    <xf numFmtId="49" fontId="21" fillId="0" borderId="23" xfId="0" applyNumberFormat="1" applyFont="1" applyBorder="1" applyAlignment="1">
      <alignment horizontal="left" vertical="top" wrapText="1"/>
    </xf>
    <xf numFmtId="49" fontId="21" fillId="0" borderId="0" xfId="0" applyNumberFormat="1" applyFont="1" applyBorder="1" applyAlignment="1">
      <alignment horizontal="left" vertical="top" wrapText="1"/>
    </xf>
    <xf numFmtId="49" fontId="21" fillId="0" borderId="32" xfId="0" applyNumberFormat="1" applyFont="1" applyBorder="1" applyAlignment="1">
      <alignment horizontal="left" vertical="top" wrapText="1"/>
    </xf>
    <xf numFmtId="0" fontId="16" fillId="5" borderId="23" xfId="0" applyFont="1" applyFill="1" applyBorder="1" applyAlignment="1" applyProtection="1">
      <alignment horizontal="left" vertical="top" wrapText="1"/>
      <protection locked="0"/>
    </xf>
    <xf numFmtId="0" fontId="16" fillId="5" borderId="0" xfId="0" applyFont="1" applyFill="1" applyBorder="1" applyAlignment="1" applyProtection="1">
      <alignment horizontal="left" vertical="top" wrapText="1"/>
      <protection locked="0"/>
    </xf>
    <xf numFmtId="0" fontId="16" fillId="5" borderId="32" xfId="0" applyFont="1" applyFill="1" applyBorder="1" applyAlignment="1" applyProtection="1">
      <alignment horizontal="left" vertical="top" wrapText="1"/>
      <protection locked="0"/>
    </xf>
    <xf numFmtId="0" fontId="16" fillId="5" borderId="22" xfId="0" applyFont="1" applyFill="1" applyBorder="1" applyAlignment="1" applyProtection="1">
      <alignment horizontal="left" vertical="top" wrapText="1"/>
      <protection locked="0"/>
    </xf>
    <xf numFmtId="0" fontId="16" fillId="5" borderId="21" xfId="0" applyFont="1" applyFill="1" applyBorder="1" applyAlignment="1" applyProtection="1">
      <alignment horizontal="left" vertical="top" wrapText="1"/>
      <protection locked="0"/>
    </xf>
    <xf numFmtId="0" fontId="16" fillId="5" borderId="33" xfId="0" applyFont="1" applyFill="1" applyBorder="1" applyAlignment="1" applyProtection="1">
      <alignment horizontal="left" vertical="top" wrapText="1"/>
      <protection locked="0"/>
    </xf>
    <xf numFmtId="0" fontId="22" fillId="0" borderId="22" xfId="0" applyFont="1" applyBorder="1" applyAlignment="1">
      <alignment/>
    </xf>
    <xf numFmtId="0" fontId="22" fillId="0" borderId="21" xfId="0" applyFont="1" applyBorder="1" applyAlignment="1">
      <alignment/>
    </xf>
    <xf numFmtId="0" fontId="22" fillId="0" borderId="33" xfId="0" applyFont="1" applyBorder="1" applyAlignment="1">
      <alignment/>
    </xf>
    <xf numFmtId="0" fontId="16" fillId="0" borderId="0" xfId="0" applyFont="1" applyBorder="1" applyAlignment="1">
      <alignment horizontal="left" vertical="center"/>
    </xf>
    <xf numFmtId="168" fontId="16" fillId="5" borderId="24" xfId="0" applyNumberFormat="1" applyFont="1" applyFill="1" applyBorder="1" applyAlignment="1" applyProtection="1">
      <alignment horizontal="center" vertical="center"/>
      <protection locked="0"/>
    </xf>
    <xf numFmtId="49" fontId="16" fillId="5" borderId="24" xfId="0" applyNumberFormat="1" applyFont="1" applyFill="1" applyBorder="1" applyAlignment="1" applyProtection="1">
      <alignment horizontal="center" vertical="center" shrinkToFit="1"/>
      <protection locked="0"/>
    </xf>
    <xf numFmtId="49" fontId="16" fillId="5" borderId="30" xfId="0" applyNumberFormat="1" applyFont="1" applyFill="1" applyBorder="1" applyAlignment="1" applyProtection="1">
      <alignment horizontal="left" vertical="top" wrapText="1"/>
      <protection locked="0"/>
    </xf>
    <xf numFmtId="49" fontId="16" fillId="5" borderId="1" xfId="0" applyNumberFormat="1" applyFont="1" applyFill="1" applyBorder="1" applyAlignment="1" applyProtection="1">
      <alignment horizontal="left" vertical="top" wrapText="1"/>
      <protection locked="0"/>
    </xf>
    <xf numFmtId="49" fontId="16" fillId="5" borderId="31" xfId="0" applyNumberFormat="1" applyFont="1" applyFill="1" applyBorder="1" applyAlignment="1" applyProtection="1">
      <alignment horizontal="left" vertical="top" wrapText="1"/>
      <protection locked="0"/>
    </xf>
    <xf numFmtId="49" fontId="16" fillId="5" borderId="23" xfId="0" applyNumberFormat="1" applyFont="1" applyFill="1" applyBorder="1" applyAlignment="1" applyProtection="1">
      <alignment horizontal="left" vertical="top" wrapText="1"/>
      <protection locked="0"/>
    </xf>
    <xf numFmtId="49" fontId="16" fillId="5" borderId="0" xfId="0" applyNumberFormat="1" applyFont="1" applyFill="1" applyBorder="1" applyAlignment="1" applyProtection="1">
      <alignment horizontal="left" vertical="top" wrapText="1"/>
      <protection locked="0"/>
    </xf>
    <xf numFmtId="49" fontId="16" fillId="5" borderId="32" xfId="0" applyNumberFormat="1" applyFont="1" applyFill="1" applyBorder="1" applyAlignment="1" applyProtection="1">
      <alignment horizontal="left" vertical="top" wrapText="1"/>
      <protection locked="0"/>
    </xf>
    <xf numFmtId="49" fontId="16" fillId="5" borderId="22" xfId="0" applyNumberFormat="1" applyFont="1" applyFill="1" applyBorder="1" applyAlignment="1" applyProtection="1">
      <alignment horizontal="left" vertical="top" wrapText="1"/>
      <protection locked="0"/>
    </xf>
    <xf numFmtId="49" fontId="16" fillId="5" borderId="21" xfId="0" applyNumberFormat="1" applyFont="1" applyFill="1" applyBorder="1" applyAlignment="1" applyProtection="1">
      <alignment horizontal="left" vertical="top" wrapText="1"/>
      <protection locked="0"/>
    </xf>
    <xf numFmtId="49" fontId="16" fillId="5" borderId="33" xfId="0" applyNumberFormat="1" applyFont="1" applyFill="1" applyBorder="1" applyAlignment="1" applyProtection="1">
      <alignment horizontal="left" vertical="top" wrapText="1"/>
      <protection locked="0"/>
    </xf>
    <xf numFmtId="0" fontId="63" fillId="0" borderId="0" xfId="0" applyFont="1" applyBorder="1" applyAlignment="1">
      <alignment horizontal="left" vertical="center"/>
    </xf>
    <xf numFmtId="3" fontId="16" fillId="5" borderId="21" xfId="0" applyNumberFormat="1" applyFont="1" applyFill="1" applyBorder="1" applyAlignment="1" applyProtection="1">
      <alignment horizontal="center" vertical="center"/>
      <protection locked="0"/>
    </xf>
    <xf numFmtId="0" fontId="16" fillId="0" borderId="22" xfId="0" applyNumberFormat="1" applyFont="1" applyBorder="1" applyAlignment="1">
      <alignment horizontal="left" vertical="center"/>
    </xf>
    <xf numFmtId="0" fontId="16" fillId="0" borderId="21" xfId="0" applyNumberFormat="1" applyFont="1" applyBorder="1" applyAlignment="1">
      <alignment horizontal="left" vertical="center"/>
    </xf>
    <xf numFmtId="0" fontId="16" fillId="0" borderId="33" xfId="0" applyNumberFormat="1" applyFont="1" applyBorder="1" applyAlignment="1">
      <alignment horizontal="left" vertical="center"/>
    </xf>
    <xf numFmtId="0" fontId="16" fillId="0" borderId="131" xfId="0" applyFont="1" applyBorder="1" applyAlignment="1">
      <alignment horizontal="left" vertical="center"/>
    </xf>
    <xf numFmtId="0" fontId="16" fillId="0" borderId="24" xfId="0" applyFont="1" applyBorder="1" applyAlignment="1">
      <alignment horizontal="left" vertical="center"/>
    </xf>
    <xf numFmtId="0" fontId="16" fillId="0" borderId="25" xfId="0" applyFont="1" applyBorder="1" applyAlignment="1">
      <alignment horizontal="left" vertical="center"/>
    </xf>
    <xf numFmtId="0" fontId="63" fillId="0" borderId="1" xfId="0" applyFont="1" applyBorder="1" applyAlignment="1">
      <alignment horizontal="left" vertical="center"/>
    </xf>
    <xf numFmtId="0" fontId="0" fillId="0" borderId="1" xfId="0" applyFont="1" applyBorder="1" applyAlignment="1">
      <alignment horizontal="left" vertical="center"/>
    </xf>
    <xf numFmtId="14" fontId="16" fillId="5" borderId="147" xfId="0" applyNumberFormat="1" applyFont="1" applyFill="1" applyBorder="1" applyAlignment="1" applyProtection="1">
      <alignment horizontal="center" vertical="center"/>
      <protection locked="0"/>
    </xf>
    <xf numFmtId="14" fontId="16" fillId="5" borderId="143" xfId="0" applyNumberFormat="1" applyFont="1" applyFill="1" applyBorder="1" applyAlignment="1" applyProtection="1">
      <alignment horizontal="center" vertical="center"/>
      <protection locked="0"/>
    </xf>
    <xf numFmtId="49" fontId="16" fillId="5" borderId="143" xfId="0" applyNumberFormat="1" applyFont="1" applyFill="1" applyBorder="1" applyAlignment="1" applyProtection="1">
      <alignment horizontal="center" vertical="center"/>
      <protection locked="0"/>
    </xf>
    <xf numFmtId="14" fontId="16" fillId="5" borderId="150" xfId="0" applyNumberFormat="1" applyFont="1" applyFill="1" applyBorder="1" applyAlignment="1" applyProtection="1">
      <alignment horizontal="center" vertical="center"/>
      <protection locked="0"/>
    </xf>
    <xf numFmtId="14" fontId="16" fillId="5" borderId="145" xfId="0" applyNumberFormat="1" applyFont="1" applyFill="1" applyBorder="1" applyAlignment="1" applyProtection="1">
      <alignment horizontal="center" vertical="center"/>
      <protection locked="0"/>
    </xf>
    <xf numFmtId="49" fontId="16" fillId="5" borderId="145" xfId="0" applyNumberFormat="1" applyFont="1" applyFill="1" applyBorder="1" applyAlignment="1" applyProtection="1">
      <alignment horizontal="center" vertical="center"/>
      <protection locked="0"/>
    </xf>
    <xf numFmtId="14" fontId="16" fillId="5" borderId="149" xfId="0" applyNumberFormat="1" applyFont="1" applyFill="1" applyBorder="1" applyAlignment="1" applyProtection="1">
      <alignment horizontal="center" vertical="center"/>
      <protection locked="0"/>
    </xf>
    <xf numFmtId="14" fontId="16" fillId="5" borderId="141" xfId="0" applyNumberFormat="1" applyFont="1" applyFill="1" applyBorder="1" applyAlignment="1" applyProtection="1">
      <alignment horizontal="center" vertical="center"/>
      <protection locked="0"/>
    </xf>
    <xf numFmtId="49" fontId="16" fillId="5" borderId="141" xfId="0" applyNumberFormat="1" applyFont="1" applyFill="1" applyBorder="1" applyAlignment="1" applyProtection="1">
      <alignment horizontal="center" vertical="center"/>
      <protection locked="0"/>
    </xf>
    <xf numFmtId="0" fontId="21" fillId="0" borderId="1" xfId="0" applyFont="1" applyFill="1" applyBorder="1" applyAlignment="1">
      <alignment horizontal="right" vertical="center"/>
    </xf>
    <xf numFmtId="0" fontId="21" fillId="0" borderId="131" xfId="0" applyFont="1" applyBorder="1" applyAlignment="1">
      <alignment horizontal="center" vertic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21" fillId="9" borderId="24" xfId="0" applyFont="1" applyFill="1" applyBorder="1" applyAlignment="1" quotePrefix="1">
      <alignment horizontal="center" vertical="center"/>
    </xf>
    <xf numFmtId="0" fontId="21" fillId="9" borderId="25" xfId="0" applyFont="1" applyFill="1" applyBorder="1" applyAlignment="1" quotePrefix="1">
      <alignment horizontal="center" vertical="center"/>
    </xf>
    <xf numFmtId="0" fontId="21" fillId="0" borderId="131" xfId="0" applyFont="1" applyBorder="1" applyAlignment="1">
      <alignment horizontal="center"/>
    </xf>
    <xf numFmtId="0" fontId="21" fillId="0" borderId="25" xfId="0" applyFont="1" applyBorder="1" applyAlignment="1">
      <alignment horizontal="center"/>
    </xf>
    <xf numFmtId="0" fontId="21" fillId="0" borderId="131" xfId="0" applyFont="1" applyBorder="1" applyAlignment="1">
      <alignment horizontal="right" vertical="center"/>
    </xf>
    <xf numFmtId="0" fontId="21" fillId="0" borderId="25" xfId="0" applyFont="1" applyBorder="1" applyAlignment="1">
      <alignment horizontal="right" vertical="center"/>
    </xf>
    <xf numFmtId="14" fontId="16" fillId="5" borderId="131" xfId="0" applyNumberFormat="1" applyFont="1" applyFill="1" applyBorder="1" applyAlignment="1" applyProtection="1">
      <alignment horizontal="center" vertical="center"/>
      <protection locked="0"/>
    </xf>
    <xf numFmtId="14" fontId="16" fillId="5" borderId="25" xfId="0" applyNumberFormat="1" applyFont="1" applyFill="1" applyBorder="1" applyAlignment="1" applyProtection="1">
      <alignment horizontal="center" vertical="center"/>
      <protection locked="0"/>
    </xf>
    <xf numFmtId="0" fontId="16" fillId="3" borderId="131" xfId="0" applyFont="1" applyFill="1" applyBorder="1" applyAlignment="1">
      <alignment horizontal="center" vertical="center"/>
    </xf>
    <xf numFmtId="0" fontId="16" fillId="3" borderId="24" xfId="0" applyFont="1" applyFill="1" applyBorder="1" applyAlignment="1">
      <alignment horizontal="center" vertical="center"/>
    </xf>
    <xf numFmtId="0" fontId="16" fillId="3" borderId="25" xfId="0" applyFont="1" applyFill="1" applyBorder="1" applyAlignment="1">
      <alignment horizontal="center" vertical="center"/>
    </xf>
    <xf numFmtId="0" fontId="21" fillId="0" borderId="24" xfId="0" applyFont="1" applyBorder="1" applyAlignment="1">
      <alignment horizontal="right" vertical="center"/>
    </xf>
    <xf numFmtId="0" fontId="16" fillId="5" borderId="131" xfId="0" applyFont="1" applyFill="1" applyBorder="1" applyAlignment="1" applyProtection="1">
      <alignment horizontal="center" vertical="center"/>
      <protection locked="0"/>
    </xf>
    <xf numFmtId="0" fontId="16" fillId="5" borderId="24" xfId="0" applyFont="1" applyFill="1" applyBorder="1" applyAlignment="1" applyProtection="1">
      <alignment horizontal="center" vertical="center"/>
      <protection locked="0"/>
    </xf>
    <xf numFmtId="0" fontId="16" fillId="5" borderId="25" xfId="0" applyFont="1" applyFill="1" applyBorder="1" applyAlignment="1" applyProtection="1">
      <alignment horizontal="center" vertical="center"/>
      <protection locked="0"/>
    </xf>
    <xf numFmtId="0" fontId="21" fillId="5" borderId="22" xfId="0" applyFont="1" applyFill="1" applyBorder="1" applyAlignment="1">
      <alignment horizontal="right" vertical="center"/>
    </xf>
    <xf numFmtId="0" fontId="21" fillId="5" borderId="21" xfId="0" applyFont="1" applyFill="1" applyBorder="1" applyAlignment="1">
      <alignment horizontal="right" vertical="center"/>
    </xf>
    <xf numFmtId="0" fontId="21" fillId="5" borderId="33" xfId="0" applyFont="1" applyFill="1" applyBorder="1" applyAlignment="1">
      <alignment horizontal="right" vertical="center"/>
    </xf>
    <xf numFmtId="0" fontId="21" fillId="0" borderId="131" xfId="0" applyFont="1" applyFill="1" applyBorder="1" applyAlignment="1">
      <alignment horizontal="right" vertical="center"/>
    </xf>
    <xf numFmtId="0" fontId="21" fillId="0" borderId="25" xfId="0" applyFont="1" applyFill="1" applyBorder="1" applyAlignment="1">
      <alignment horizontal="right" vertical="center"/>
    </xf>
    <xf numFmtId="0" fontId="0" fillId="0" borderId="0" xfId="0" applyFont="1" applyBorder="1" applyAlignment="1">
      <alignment horizontal="left" vertical="center"/>
    </xf>
    <xf numFmtId="0" fontId="17" fillId="0" borderId="30" xfId="0" applyFont="1" applyBorder="1" applyAlignment="1">
      <alignment horizontal="left" vertical="center" wrapText="1"/>
    </xf>
    <xf numFmtId="0" fontId="22" fillId="0" borderId="22" xfId="0" applyFont="1" applyBorder="1" applyAlignment="1">
      <alignment horizontal="left" vertical="top" wrapText="1"/>
    </xf>
    <xf numFmtId="0" fontId="22" fillId="0" borderId="21" xfId="0" applyFont="1" applyBorder="1" applyAlignment="1">
      <alignment horizontal="left" vertical="top" wrapText="1"/>
    </xf>
    <xf numFmtId="0" fontId="21" fillId="0" borderId="1" xfId="0" applyFont="1" applyBorder="1" applyAlignment="1">
      <alignment horizontal="left" vertical="center" wrapText="1"/>
    </xf>
    <xf numFmtId="0" fontId="21" fillId="0" borderId="31" xfId="0" applyFont="1" applyBorder="1" applyAlignment="1">
      <alignment horizontal="left" vertical="center" wrapText="1"/>
    </xf>
    <xf numFmtId="0" fontId="21" fillId="0" borderId="23" xfId="0" applyFont="1" applyBorder="1" applyAlignment="1">
      <alignment horizontal="left" vertical="center" wrapText="1"/>
    </xf>
    <xf numFmtId="0" fontId="21" fillId="0" borderId="0" xfId="0" applyFont="1" applyBorder="1" applyAlignment="1">
      <alignment horizontal="left" vertical="center" wrapText="1"/>
    </xf>
    <xf numFmtId="0" fontId="21" fillId="0" borderId="32" xfId="0" applyFont="1" applyBorder="1" applyAlignment="1">
      <alignment horizontal="left" vertical="center" wrapText="1"/>
    </xf>
    <xf numFmtId="0" fontId="16" fillId="5" borderId="23" xfId="0" applyFont="1" applyFill="1" applyBorder="1" applyAlignment="1">
      <alignment vertical="center"/>
    </xf>
    <xf numFmtId="0" fontId="16" fillId="5" borderId="0" xfId="0" applyFont="1" applyFill="1" applyBorder="1" applyAlignment="1">
      <alignment vertical="center"/>
    </xf>
    <xf numFmtId="0" fontId="16" fillId="5" borderId="32" xfId="0" applyFont="1" applyFill="1" applyBorder="1" applyAlignment="1">
      <alignment vertical="center"/>
    </xf>
    <xf numFmtId="0" fontId="16" fillId="0" borderId="22" xfId="0" applyFont="1" applyBorder="1" applyAlignment="1">
      <alignment vertical="center"/>
    </xf>
    <xf numFmtId="0" fontId="16" fillId="0" borderId="21" xfId="0" applyFont="1" applyBorder="1" applyAlignment="1">
      <alignment vertical="center"/>
    </xf>
    <xf numFmtId="49" fontId="16" fillId="5" borderId="30" xfId="0" applyNumberFormat="1" applyFont="1" applyFill="1" applyBorder="1" applyAlignment="1" applyProtection="1">
      <alignment horizontal="left" vertical="top" wrapText="1" shrinkToFit="1"/>
      <protection locked="0"/>
    </xf>
    <xf numFmtId="49" fontId="16" fillId="5" borderId="1" xfId="0" applyNumberFormat="1" applyFont="1" applyFill="1" applyBorder="1" applyAlignment="1" applyProtection="1">
      <alignment horizontal="left" vertical="top" wrapText="1" shrinkToFit="1"/>
      <protection locked="0"/>
    </xf>
    <xf numFmtId="49" fontId="16" fillId="5" borderId="31" xfId="0" applyNumberFormat="1" applyFont="1" applyFill="1" applyBorder="1" applyAlignment="1" applyProtection="1">
      <alignment horizontal="left" vertical="top" wrapText="1" shrinkToFit="1"/>
      <protection locked="0"/>
    </xf>
    <xf numFmtId="49" fontId="16" fillId="5" borderId="23" xfId="0" applyNumberFormat="1" applyFont="1" applyFill="1" applyBorder="1" applyAlignment="1" applyProtection="1">
      <alignment horizontal="left" vertical="top" wrapText="1" shrinkToFit="1"/>
      <protection locked="0"/>
    </xf>
    <xf numFmtId="49" fontId="16" fillId="5" borderId="0" xfId="0" applyNumberFormat="1" applyFont="1" applyFill="1" applyBorder="1" applyAlignment="1" applyProtection="1">
      <alignment horizontal="left" vertical="top" wrapText="1" shrinkToFit="1"/>
      <protection locked="0"/>
    </xf>
    <xf numFmtId="49" fontId="16" fillId="5" borderId="32" xfId="0" applyNumberFormat="1" applyFont="1" applyFill="1" applyBorder="1" applyAlignment="1" applyProtection="1">
      <alignment horizontal="left" vertical="top" wrapText="1" shrinkToFit="1"/>
      <protection locked="0"/>
    </xf>
    <xf numFmtId="49" fontId="16" fillId="5" borderId="22" xfId="0" applyNumberFormat="1" applyFont="1" applyFill="1" applyBorder="1" applyAlignment="1" applyProtection="1">
      <alignment horizontal="left" vertical="top" wrapText="1" shrinkToFit="1"/>
      <protection locked="0"/>
    </xf>
    <xf numFmtId="49" fontId="16" fillId="5" borderId="21" xfId="0" applyNumberFormat="1" applyFont="1" applyFill="1" applyBorder="1" applyAlignment="1" applyProtection="1">
      <alignment horizontal="left" vertical="top" wrapText="1" shrinkToFit="1"/>
      <protection locked="0"/>
    </xf>
    <xf numFmtId="49" fontId="16" fillId="5" borderId="33" xfId="0" applyNumberFormat="1" applyFont="1" applyFill="1" applyBorder="1" applyAlignment="1" applyProtection="1">
      <alignment horizontal="left" vertical="top" wrapText="1" shrinkToFit="1"/>
      <protection locked="0"/>
    </xf>
    <xf numFmtId="3" fontId="16" fillId="3" borderId="131" xfId="0" applyNumberFormat="1" applyFont="1" applyFill="1" applyBorder="1" applyAlignment="1">
      <alignment horizontal="center" vertical="distributed"/>
    </xf>
    <xf numFmtId="3" fontId="16" fillId="3" borderId="25" xfId="0" applyNumberFormat="1" applyFont="1" applyFill="1" applyBorder="1" applyAlignment="1">
      <alignment horizontal="center" vertical="distributed"/>
    </xf>
    <xf numFmtId="0" fontId="16" fillId="0" borderId="23" xfId="0" applyFont="1" applyBorder="1" applyAlignment="1">
      <alignment vertical="center"/>
    </xf>
    <xf numFmtId="0" fontId="16" fillId="0" borderId="0" xfId="0" applyFont="1" applyBorder="1" applyAlignment="1">
      <alignment vertical="center"/>
    </xf>
    <xf numFmtId="0" fontId="16" fillId="0" borderId="23" xfId="0" applyFont="1" applyBorder="1" applyAlignment="1">
      <alignment horizontal="right" vertical="center" wrapText="1" indent="3"/>
    </xf>
    <xf numFmtId="0" fontId="0" fillId="0" borderId="0" xfId="0" applyAlignment="1">
      <alignment horizontal="right" vertical="center" wrapText="1" indent="3"/>
    </xf>
    <xf numFmtId="0" fontId="0" fillId="0" borderId="32" xfId="0" applyBorder="1" applyAlignment="1">
      <alignment horizontal="right" vertical="center" wrapText="1" indent="3"/>
    </xf>
    <xf numFmtId="0" fontId="0" fillId="0" borderId="23" xfId="0" applyBorder="1" applyAlignment="1">
      <alignment horizontal="right" vertical="center" wrapText="1" indent="3"/>
    </xf>
    <xf numFmtId="0" fontId="16" fillId="0" borderId="131"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131" xfId="0" applyFont="1" applyBorder="1" applyAlignment="1">
      <alignment horizontal="center" vertical="center" wrapText="1"/>
    </xf>
    <xf numFmtId="0" fontId="16" fillId="0" borderId="25" xfId="0" applyFont="1" applyBorder="1" applyAlignment="1">
      <alignment horizontal="center" vertical="center" wrapText="1"/>
    </xf>
    <xf numFmtId="0" fontId="21" fillId="0" borderId="131" xfId="0" applyFont="1" applyFill="1" applyBorder="1" applyAlignment="1">
      <alignment vertical="center"/>
    </xf>
    <xf numFmtId="0" fontId="21" fillId="0" borderId="24" xfId="0" applyFont="1" applyFill="1" applyBorder="1" applyAlignment="1">
      <alignment vertical="center"/>
    </xf>
    <xf numFmtId="0" fontId="21" fillId="0" borderId="21" xfId="0" applyFont="1" applyFill="1" applyBorder="1" applyAlignment="1">
      <alignment vertical="center"/>
    </xf>
    <xf numFmtId="0" fontId="21" fillId="0" borderId="33" xfId="0" applyFont="1" applyFill="1" applyBorder="1" applyAlignment="1">
      <alignment vertical="center"/>
    </xf>
    <xf numFmtId="0" fontId="21" fillId="0" borderId="131" xfId="0" applyFont="1" applyBorder="1" applyAlignment="1">
      <alignment horizontal="left" vertical="center"/>
    </xf>
    <xf numFmtId="0" fontId="21" fillId="0" borderId="24" xfId="0" applyFont="1" applyBorder="1" applyAlignment="1">
      <alignment horizontal="left" vertical="center"/>
    </xf>
    <xf numFmtId="0" fontId="21" fillId="0" borderId="25" xfId="0" applyFont="1" applyBorder="1" applyAlignment="1">
      <alignment horizontal="left" vertical="center"/>
    </xf>
    <xf numFmtId="0" fontId="16" fillId="0" borderId="30" xfId="0" applyFont="1" applyBorder="1" applyAlignment="1">
      <alignment horizontal="left" vertical="center"/>
    </xf>
    <xf numFmtId="0" fontId="16" fillId="0" borderId="1" xfId="0" applyFont="1" applyBorder="1" applyAlignment="1">
      <alignment horizontal="left" vertical="center"/>
    </xf>
    <xf numFmtId="0" fontId="16" fillId="0" borderId="23" xfId="0" applyFont="1" applyBorder="1" applyAlignment="1">
      <alignment horizontal="left" vertical="center"/>
    </xf>
    <xf numFmtId="0" fontId="16" fillId="0" borderId="32" xfId="0" applyFont="1" applyBorder="1" applyAlignment="1">
      <alignment horizontal="left" vertical="center"/>
    </xf>
    <xf numFmtId="49" fontId="16" fillId="5" borderId="147" xfId="0" applyNumberFormat="1" applyFont="1" applyFill="1" applyBorder="1" applyAlignment="1" applyProtection="1">
      <alignment horizontal="left" vertical="center" indent="1" shrinkToFit="1"/>
      <protection locked="0"/>
    </xf>
    <xf numFmtId="49" fontId="16" fillId="5" borderId="143" xfId="0" applyNumberFormat="1" applyFont="1" applyFill="1" applyBorder="1" applyAlignment="1" applyProtection="1">
      <alignment horizontal="left" vertical="center" indent="1" shrinkToFit="1"/>
      <protection locked="0"/>
    </xf>
    <xf numFmtId="0" fontId="16" fillId="0" borderId="22" xfId="0" applyFont="1" applyBorder="1" applyAlignment="1">
      <alignment horizontal="left" vertical="center"/>
    </xf>
    <xf numFmtId="0" fontId="16" fillId="0" borderId="33" xfId="0" applyFont="1" applyBorder="1" applyAlignment="1">
      <alignment horizontal="left" vertical="center"/>
    </xf>
    <xf numFmtId="49" fontId="16" fillId="5" borderId="150" xfId="0" applyNumberFormat="1" applyFont="1" applyFill="1" applyBorder="1" applyAlignment="1" applyProtection="1">
      <alignment horizontal="left" vertical="center" indent="1" shrinkToFit="1"/>
      <protection locked="0"/>
    </xf>
    <xf numFmtId="49" fontId="16" fillId="5" borderId="145" xfId="0" applyNumberFormat="1" applyFont="1" applyFill="1" applyBorder="1" applyAlignment="1" applyProtection="1">
      <alignment horizontal="left" vertical="center" indent="1" shrinkToFit="1"/>
      <protection locked="0"/>
    </xf>
    <xf numFmtId="0" fontId="16" fillId="0" borderId="32" xfId="0" applyFont="1" applyBorder="1" applyAlignment="1">
      <alignment vertical="center"/>
    </xf>
    <xf numFmtId="0" fontId="16" fillId="3" borderId="149" xfId="0" applyNumberFormat="1" applyFont="1" applyFill="1" applyBorder="1" applyAlignment="1" applyProtection="1">
      <alignment horizontal="left" vertical="center" indent="1" shrinkToFit="1"/>
      <protection/>
    </xf>
    <xf numFmtId="0" fontId="16" fillId="3" borderId="141" xfId="0" applyNumberFormat="1" applyFont="1" applyFill="1" applyBorder="1" applyAlignment="1" applyProtection="1">
      <alignment horizontal="left" vertical="center" indent="1" shrinkToFit="1"/>
      <protection/>
    </xf>
    <xf numFmtId="0" fontId="16" fillId="0" borderId="0" xfId="0" applyFont="1" applyBorder="1" applyAlignment="1">
      <alignment horizontal="left" vertical="center"/>
    </xf>
    <xf numFmtId="0" fontId="16" fillId="0" borderId="23" xfId="0" applyFont="1" applyBorder="1" applyAlignment="1">
      <alignment horizontal="left"/>
    </xf>
    <xf numFmtId="0" fontId="16" fillId="0" borderId="32" xfId="0" applyFont="1" applyBorder="1" applyAlignment="1">
      <alignment horizontal="left"/>
    </xf>
    <xf numFmtId="49" fontId="16" fillId="5" borderId="131" xfId="0" applyNumberFormat="1" applyFont="1" applyFill="1" applyBorder="1" applyAlignment="1" applyProtection="1">
      <alignment horizontal="left" vertical="center" shrinkToFit="1"/>
      <protection locked="0"/>
    </xf>
    <xf numFmtId="49" fontId="16" fillId="5" borderId="24" xfId="0" applyNumberFormat="1" applyFont="1" applyFill="1" applyBorder="1" applyAlignment="1" applyProtection="1">
      <alignment horizontal="left" vertical="center" shrinkToFit="1"/>
      <protection locked="0"/>
    </xf>
    <xf numFmtId="49" fontId="16" fillId="5" borderId="222" xfId="0" applyNumberFormat="1" applyFont="1" applyFill="1" applyBorder="1" applyAlignment="1" applyProtection="1">
      <alignment horizontal="left" vertical="center" shrinkToFit="1"/>
      <protection locked="0"/>
    </xf>
    <xf numFmtId="0" fontId="21" fillId="0" borderId="23" xfId="0" applyFont="1" applyBorder="1" applyAlignment="1">
      <alignment horizontal="left" vertical="center"/>
    </xf>
    <xf numFmtId="0" fontId="21" fillId="0" borderId="0" xfId="0" applyFont="1" applyBorder="1" applyAlignment="1">
      <alignment horizontal="left" vertical="center"/>
    </xf>
    <xf numFmtId="0" fontId="17" fillId="0" borderId="23" xfId="0" applyFont="1" applyBorder="1" applyAlignment="1">
      <alignment/>
    </xf>
    <xf numFmtId="0" fontId="17" fillId="0" borderId="0" xfId="0" applyFont="1" applyBorder="1" applyAlignment="1">
      <alignment/>
    </xf>
    <xf numFmtId="0" fontId="17" fillId="0" borderId="30" xfId="0" applyFont="1" applyBorder="1" applyAlignment="1">
      <alignment horizontal="left" vertical="center" wrapText="1" indent="1"/>
    </xf>
    <xf numFmtId="0" fontId="17" fillId="0" borderId="24" xfId="0" applyFont="1" applyBorder="1" applyAlignment="1">
      <alignment horizontal="left" vertical="center" wrapText="1" indent="1"/>
    </xf>
    <xf numFmtId="0" fontId="17" fillId="0" borderId="25" xfId="0" applyFont="1" applyBorder="1" applyAlignment="1">
      <alignment horizontal="left" vertical="center" wrapText="1" indent="1"/>
    </xf>
    <xf numFmtId="0" fontId="76" fillId="0" borderId="131" xfId="0" applyFont="1" applyBorder="1" applyAlignment="1">
      <alignment horizontal="center" vertical="center" wrapText="1"/>
    </xf>
    <xf numFmtId="0" fontId="77" fillId="0" borderId="24" xfId="0" applyFont="1" applyBorder="1" applyAlignment="1">
      <alignment horizontal="center" vertical="center" wrapText="1"/>
    </xf>
    <xf numFmtId="0" fontId="77" fillId="0" borderId="25" xfId="0" applyFont="1" applyBorder="1" applyAlignment="1">
      <alignment horizontal="center" vertical="center" wrapText="1"/>
    </xf>
    <xf numFmtId="0" fontId="0" fillId="0" borderId="0" xfId="0" applyAlignment="1">
      <alignment vertical="center"/>
    </xf>
    <xf numFmtId="0" fontId="17" fillId="0" borderId="1" xfId="0" applyFont="1" applyBorder="1" applyAlignment="1">
      <alignment horizontal="left" vertical="center" wrapText="1" indent="1"/>
    </xf>
    <xf numFmtId="0" fontId="16" fillId="9" borderId="24" xfId="0" applyFont="1" applyFill="1" applyBorder="1" applyAlignment="1" quotePrefix="1">
      <alignment horizontal="center"/>
    </xf>
    <xf numFmtId="0" fontId="16" fillId="9" borderId="25" xfId="0" applyFont="1" applyFill="1" applyBorder="1" applyAlignment="1" quotePrefix="1">
      <alignment horizontal="center"/>
    </xf>
    <xf numFmtId="0" fontId="21" fillId="0" borderId="29" xfId="0" applyFont="1" applyBorder="1" applyAlignment="1">
      <alignment horizontal="center" vertical="center"/>
    </xf>
    <xf numFmtId="0" fontId="21" fillId="0" borderId="26" xfId="0" applyFont="1" applyBorder="1" applyAlignment="1">
      <alignment horizontal="center" vertical="center"/>
    </xf>
    <xf numFmtId="0" fontId="21" fillId="0" borderId="29" xfId="0" applyFont="1" applyFill="1" applyBorder="1" applyAlignment="1">
      <alignment horizontal="center" vertical="center" wrapText="1"/>
    </xf>
    <xf numFmtId="0" fontId="21" fillId="0" borderId="26" xfId="0" applyFont="1" applyFill="1" applyBorder="1" applyAlignment="1">
      <alignment horizontal="center" vertical="center"/>
    </xf>
    <xf numFmtId="0" fontId="21" fillId="0" borderId="29" xfId="0" applyFont="1" applyBorder="1" applyAlignment="1">
      <alignment horizontal="center" vertical="center" wrapText="1"/>
    </xf>
    <xf numFmtId="0" fontId="21" fillId="0" borderId="131" xfId="0" applyFont="1" applyFill="1" applyBorder="1" applyAlignment="1" quotePrefix="1">
      <alignment horizontal="center" vertical="center"/>
    </xf>
    <xf numFmtId="0" fontId="21" fillId="0" borderId="24" xfId="0" applyFont="1" applyFill="1" applyBorder="1" applyAlignment="1" quotePrefix="1">
      <alignment horizontal="center" vertical="center"/>
    </xf>
    <xf numFmtId="0" fontId="21" fillId="0" borderId="25" xfId="0" applyFont="1" applyFill="1" applyBorder="1" applyAlignment="1" quotePrefix="1">
      <alignment horizontal="center" vertical="center"/>
    </xf>
    <xf numFmtId="0" fontId="21" fillId="0" borderId="131"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26"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5" xfId="0" applyFont="1" applyFill="1" applyBorder="1" applyAlignment="1">
      <alignment horizontal="center" vertical="center" wrapText="1"/>
    </xf>
    <xf numFmtId="0" fontId="21" fillId="0" borderId="31" xfId="0" applyFont="1" applyFill="1" applyBorder="1" applyAlignment="1">
      <alignment horizontal="center" vertical="center"/>
    </xf>
    <xf numFmtId="49" fontId="16" fillId="5" borderId="131" xfId="0" applyNumberFormat="1" applyFont="1" applyFill="1" applyBorder="1" applyAlignment="1" applyProtection="1">
      <alignment horizontal="left" vertical="center"/>
      <protection locked="0"/>
    </xf>
    <xf numFmtId="49" fontId="16" fillId="5" borderId="24" xfId="0" applyNumberFormat="1" applyFont="1" applyFill="1" applyBorder="1" applyAlignment="1" applyProtection="1">
      <alignment horizontal="left" vertical="center"/>
      <protection locked="0"/>
    </xf>
    <xf numFmtId="49" fontId="16" fillId="5" borderId="25" xfId="0" applyNumberFormat="1" applyFont="1" applyFill="1" applyBorder="1" applyAlignment="1" applyProtection="1">
      <alignment horizontal="left" vertical="center"/>
      <protection locked="0"/>
    </xf>
    <xf numFmtId="167" fontId="16" fillId="5" borderId="131" xfId="0" applyNumberFormat="1" applyFont="1" applyFill="1" applyBorder="1" applyAlignment="1" applyProtection="1">
      <alignment horizontal="center" vertical="center"/>
      <protection locked="0"/>
    </xf>
    <xf numFmtId="167" fontId="16" fillId="5" borderId="25" xfId="0" applyNumberFormat="1" applyFont="1" applyFill="1" applyBorder="1" applyAlignment="1" applyProtection="1">
      <alignment horizontal="center" vertical="center"/>
      <protection locked="0"/>
    </xf>
    <xf numFmtId="49" fontId="16" fillId="5" borderId="170" xfId="0" applyNumberFormat="1" applyFont="1" applyFill="1" applyBorder="1" applyAlignment="1" applyProtection="1">
      <alignment horizontal="center" shrinkToFit="1"/>
      <protection locked="0"/>
    </xf>
    <xf numFmtId="49" fontId="16" fillId="5" borderId="223" xfId="0" applyNumberFormat="1" applyFont="1" applyFill="1" applyBorder="1" applyAlignment="1" applyProtection="1">
      <alignment horizontal="center" shrinkToFit="1"/>
      <protection locked="0"/>
    </xf>
    <xf numFmtId="49" fontId="16" fillId="5" borderId="171" xfId="0" applyNumberFormat="1" applyFont="1" applyFill="1" applyBorder="1" applyAlignment="1" applyProtection="1">
      <alignment horizontal="center" shrinkToFit="1"/>
      <protection locked="0"/>
    </xf>
    <xf numFmtId="0" fontId="16" fillId="3" borderId="172" xfId="0" applyNumberFormat="1" applyFont="1" applyFill="1" applyBorder="1" applyAlignment="1" applyProtection="1">
      <alignment horizontal="left" shrinkToFit="1"/>
      <protection/>
    </xf>
    <xf numFmtId="0" fontId="16" fillId="3" borderId="224" xfId="0" applyNumberFormat="1" applyFont="1" applyFill="1" applyBorder="1" applyAlignment="1" applyProtection="1">
      <alignment horizontal="left" shrinkToFit="1"/>
      <protection/>
    </xf>
    <xf numFmtId="0" fontId="16" fillId="3" borderId="173" xfId="0" applyNumberFormat="1" applyFont="1" applyFill="1" applyBorder="1" applyAlignment="1" applyProtection="1">
      <alignment horizontal="left" shrinkToFit="1"/>
      <protection/>
    </xf>
    <xf numFmtId="0" fontId="21" fillId="0" borderId="22" xfId="0" applyFont="1" applyBorder="1" applyAlignment="1">
      <alignment horizontal="right" vertical="center"/>
    </xf>
    <xf numFmtId="0" fontId="21" fillId="0" borderId="33" xfId="0" applyFont="1" applyBorder="1" applyAlignment="1">
      <alignment horizontal="right" vertical="center"/>
    </xf>
    <xf numFmtId="49" fontId="16" fillId="5" borderId="172" xfId="0" applyNumberFormat="1" applyFont="1" applyFill="1" applyBorder="1" applyAlignment="1" applyProtection="1">
      <alignment horizontal="center" shrinkToFit="1"/>
      <protection locked="0"/>
    </xf>
    <xf numFmtId="49" fontId="16" fillId="5" borderId="224" xfId="0" applyNumberFormat="1" applyFont="1" applyFill="1" applyBorder="1" applyAlignment="1" applyProtection="1">
      <alignment horizontal="center" shrinkToFit="1"/>
      <protection locked="0"/>
    </xf>
    <xf numFmtId="49" fontId="16" fillId="5" borderId="173" xfId="0" applyNumberFormat="1" applyFont="1" applyFill="1" applyBorder="1" applyAlignment="1" applyProtection="1">
      <alignment horizontal="center" shrinkToFit="1"/>
      <protection locked="0"/>
    </xf>
    <xf numFmtId="0" fontId="16" fillId="3" borderId="170" xfId="0" applyNumberFormat="1" applyFont="1" applyFill="1" applyBorder="1" applyAlignment="1" applyProtection="1">
      <alignment horizontal="left" shrinkToFit="1"/>
      <protection/>
    </xf>
    <xf numFmtId="0" fontId="16" fillId="3" borderId="223" xfId="0" applyNumberFormat="1" applyFont="1" applyFill="1" applyBorder="1" applyAlignment="1" applyProtection="1">
      <alignment horizontal="left" shrinkToFit="1"/>
      <protection/>
    </xf>
    <xf numFmtId="0" fontId="16" fillId="3" borderId="171" xfId="0" applyNumberFormat="1" applyFont="1" applyFill="1" applyBorder="1" applyAlignment="1" applyProtection="1">
      <alignment horizontal="left" shrinkToFit="1"/>
      <protection/>
    </xf>
    <xf numFmtId="0" fontId="21" fillId="0" borderId="23" xfId="0" applyFont="1" applyBorder="1" applyAlignment="1">
      <alignment horizontal="right" vertical="center"/>
    </xf>
    <xf numFmtId="0" fontId="21" fillId="0" borderId="0" xfId="0" applyFont="1" applyBorder="1" applyAlignment="1">
      <alignment horizontal="right" vertical="center"/>
    </xf>
    <xf numFmtId="49" fontId="16" fillId="2" borderId="170" xfId="0" applyNumberFormat="1" applyFont="1" applyFill="1" applyBorder="1" applyAlignment="1" applyProtection="1">
      <alignment horizontal="center" shrinkToFit="1"/>
      <protection locked="0"/>
    </xf>
    <xf numFmtId="49" fontId="16" fillId="2" borderId="171" xfId="0" applyNumberFormat="1" applyFont="1" applyFill="1" applyBorder="1" applyAlignment="1" applyProtection="1">
      <alignment horizontal="center" shrinkToFit="1"/>
      <protection locked="0"/>
    </xf>
    <xf numFmtId="0" fontId="21" fillId="0" borderId="32" xfId="0" applyFont="1" applyBorder="1" applyAlignment="1">
      <alignment horizontal="right" vertical="center"/>
    </xf>
    <xf numFmtId="0" fontId="17" fillId="5" borderId="170" xfId="0" applyFont="1" applyFill="1" applyBorder="1" applyAlignment="1" applyProtection="1">
      <alignment horizontal="center"/>
      <protection locked="0"/>
    </xf>
    <xf numFmtId="0" fontId="17" fillId="5" borderId="223" xfId="0" applyFont="1" applyFill="1" applyBorder="1" applyAlignment="1" applyProtection="1">
      <alignment horizontal="center"/>
      <protection locked="0"/>
    </xf>
    <xf numFmtId="0" fontId="17" fillId="5" borderId="171" xfId="0" applyFont="1" applyFill="1" applyBorder="1" applyAlignment="1" applyProtection="1">
      <alignment horizontal="center"/>
      <protection locked="0"/>
    </xf>
    <xf numFmtId="49" fontId="16" fillId="5" borderId="136" xfId="0" applyNumberFormat="1" applyFont="1" applyFill="1" applyBorder="1" applyAlignment="1" applyProtection="1">
      <alignment horizontal="center" shrinkToFit="1"/>
      <protection locked="0"/>
    </xf>
    <xf numFmtId="49" fontId="16" fillId="5" borderId="137" xfId="0" applyNumberFormat="1" applyFont="1" applyFill="1" applyBorder="1" applyAlignment="1" applyProtection="1">
      <alignment horizontal="center" shrinkToFit="1"/>
      <protection locked="0"/>
    </xf>
    <xf numFmtId="49" fontId="16" fillId="5" borderId="225" xfId="0" applyNumberFormat="1" applyFont="1" applyFill="1" applyBorder="1" applyAlignment="1" applyProtection="1">
      <alignment horizontal="center" shrinkToFit="1"/>
      <protection locked="0"/>
    </xf>
    <xf numFmtId="0" fontId="16" fillId="5" borderId="170" xfId="0" applyNumberFormat="1" applyFont="1" applyFill="1" applyBorder="1" applyAlignment="1" applyProtection="1">
      <alignment horizontal="center" shrinkToFit="1"/>
      <protection locked="0"/>
    </xf>
    <xf numFmtId="1" fontId="16" fillId="5" borderId="171" xfId="0" applyNumberFormat="1" applyFont="1" applyFill="1" applyBorder="1" applyAlignment="1" applyProtection="1">
      <alignment horizontal="center" shrinkToFit="1"/>
      <protection locked="0"/>
    </xf>
    <xf numFmtId="49" fontId="44" fillId="11" borderId="131" xfId="0" applyNumberFormat="1" applyFont="1" applyFill="1" applyBorder="1" applyAlignment="1">
      <alignment horizontal="left"/>
    </xf>
    <xf numFmtId="49" fontId="44" fillId="11" borderId="24" xfId="0" applyNumberFormat="1" applyFont="1" applyFill="1" applyBorder="1" applyAlignment="1">
      <alignment horizontal="left"/>
    </xf>
    <xf numFmtId="49" fontId="44" fillId="11" borderId="25" xfId="0" applyNumberFormat="1" applyFont="1" applyFill="1" applyBorder="1" applyAlignment="1">
      <alignment horizontal="left"/>
    </xf>
    <xf numFmtId="49" fontId="63" fillId="0" borderId="0" xfId="0" applyNumberFormat="1" applyFont="1" applyFill="1" applyBorder="1" applyAlignment="1">
      <alignment horizontal="left" vertical="center"/>
    </xf>
    <xf numFmtId="0" fontId="16" fillId="3" borderId="226" xfId="0" applyNumberFormat="1" applyFont="1" applyFill="1" applyBorder="1" applyAlignment="1" applyProtection="1">
      <alignment horizontal="left" shrinkToFit="1"/>
      <protection/>
    </xf>
    <xf numFmtId="0" fontId="16" fillId="3" borderId="227" xfId="0" applyNumberFormat="1" applyFont="1" applyFill="1" applyBorder="1" applyAlignment="1" applyProtection="1">
      <alignment horizontal="left" shrinkToFit="1"/>
      <protection/>
    </xf>
    <xf numFmtId="0" fontId="16" fillId="3" borderId="228" xfId="0" applyNumberFormat="1" applyFont="1" applyFill="1" applyBorder="1" applyAlignment="1" applyProtection="1">
      <alignment horizontal="left" shrinkToFit="1"/>
      <protection/>
    </xf>
    <xf numFmtId="0" fontId="21" fillId="0" borderId="1" xfId="0" applyFont="1" applyBorder="1" applyAlignment="1">
      <alignment horizontal="right" vertical="center"/>
    </xf>
    <xf numFmtId="0" fontId="21" fillId="0" borderId="31" xfId="0" applyFont="1" applyBorder="1" applyAlignment="1">
      <alignment horizontal="right" vertical="center"/>
    </xf>
    <xf numFmtId="49" fontId="16" fillId="5" borderId="226" xfId="0" applyNumberFormat="1" applyFont="1" applyFill="1" applyBorder="1" applyAlignment="1" applyProtection="1">
      <alignment horizontal="center" shrinkToFit="1"/>
      <protection locked="0"/>
    </xf>
    <xf numFmtId="49" fontId="16" fillId="5" borderId="228" xfId="0" applyNumberFormat="1" applyFont="1" applyFill="1" applyBorder="1" applyAlignment="1" applyProtection="1">
      <alignment horizontal="center" shrinkToFit="1"/>
      <protection locked="0"/>
    </xf>
    <xf numFmtId="0" fontId="21" fillId="0" borderId="30" xfId="0" applyFont="1" applyBorder="1" applyAlignment="1">
      <alignment horizontal="right" vertical="center"/>
    </xf>
    <xf numFmtId="167" fontId="16" fillId="3" borderId="30" xfId="0" applyNumberFormat="1" applyFont="1" applyFill="1" applyBorder="1" applyAlignment="1">
      <alignment horizontal="center" shrinkToFit="1"/>
    </xf>
    <xf numFmtId="167" fontId="16" fillId="3" borderId="1" xfId="0" applyNumberFormat="1" applyFont="1" applyFill="1" applyBorder="1" applyAlignment="1">
      <alignment horizontal="center" shrinkToFit="1"/>
    </xf>
    <xf numFmtId="167" fontId="16" fillId="3" borderId="31" xfId="0" applyNumberFormat="1" applyFont="1" applyFill="1" applyBorder="1" applyAlignment="1">
      <alignment horizontal="center" shrinkToFit="1"/>
    </xf>
    <xf numFmtId="0" fontId="57" fillId="0" borderId="30" xfId="0" applyFont="1" applyBorder="1" applyAlignment="1">
      <alignment/>
    </xf>
    <xf numFmtId="0" fontId="57" fillId="0" borderId="1" xfId="0" applyFont="1" applyBorder="1" applyAlignment="1">
      <alignment/>
    </xf>
    <xf numFmtId="0" fontId="59" fillId="8" borderId="1" xfId="0" applyFont="1" applyFill="1" applyBorder="1" applyAlignment="1">
      <alignment/>
    </xf>
    <xf numFmtId="0" fontId="59" fillId="8" borderId="31" xfId="0" applyFont="1" applyFill="1" applyBorder="1" applyAlignment="1">
      <alignment/>
    </xf>
    <xf numFmtId="49" fontId="61" fillId="0" borderId="22" xfId="0" applyNumberFormat="1" applyFont="1" applyBorder="1" applyAlignment="1">
      <alignment horizontal="left" vertical="center" wrapText="1"/>
    </xf>
    <xf numFmtId="49" fontId="61" fillId="0" borderId="21" xfId="0" applyNumberFormat="1" applyFont="1" applyBorder="1" applyAlignment="1">
      <alignment horizontal="left" vertical="center" wrapText="1"/>
    </xf>
    <xf numFmtId="0" fontId="0" fillId="0" borderId="0" xfId="0" applyAlignment="1">
      <alignment horizontal="left" vertical="center"/>
    </xf>
    <xf numFmtId="0" fontId="0" fillId="0" borderId="24" xfId="0" applyBorder="1" applyAlignment="1">
      <alignment/>
    </xf>
    <xf numFmtId="0" fontId="0" fillId="0" borderId="25" xfId="0" applyBorder="1" applyAlignment="1">
      <alignment/>
    </xf>
    <xf numFmtId="0" fontId="78" fillId="0" borderId="1" xfId="0" applyFont="1" applyBorder="1" applyAlignment="1">
      <alignment horizontal="center" vertical="center" wrapText="1"/>
    </xf>
    <xf numFmtId="0" fontId="77" fillId="0" borderId="1" xfId="0" applyFont="1" applyBorder="1" applyAlignment="1">
      <alignment horizontal="center" vertical="center" wrapText="1"/>
    </xf>
    <xf numFmtId="0" fontId="16" fillId="3" borderId="131" xfId="0" applyFont="1" applyFill="1" applyBorder="1" applyAlignment="1" applyProtection="1">
      <alignment horizontal="left" vertical="center" shrinkToFit="1"/>
      <protection/>
    </xf>
    <xf numFmtId="0" fontId="16" fillId="3" borderId="24" xfId="0" applyFont="1" applyFill="1" applyBorder="1" applyAlignment="1" applyProtection="1">
      <alignment horizontal="left" vertical="center" shrinkToFit="1"/>
      <protection/>
    </xf>
    <xf numFmtId="0" fontId="16" fillId="3" borderId="25" xfId="0" applyFont="1" applyFill="1" applyBorder="1" applyAlignment="1" applyProtection="1">
      <alignment horizontal="left" vertical="center" shrinkToFit="1"/>
      <protection/>
    </xf>
    <xf numFmtId="0" fontId="76" fillId="0" borderId="30" xfId="0" applyFont="1" applyBorder="1" applyAlignment="1">
      <alignment horizontal="center" vertical="center" wrapText="1"/>
    </xf>
    <xf numFmtId="0" fontId="77" fillId="0" borderId="31" xfId="0" applyFont="1" applyBorder="1" applyAlignment="1">
      <alignment horizontal="center" vertical="center" wrapText="1"/>
    </xf>
    <xf numFmtId="0" fontId="77" fillId="0" borderId="22" xfId="0" applyFont="1" applyBorder="1" applyAlignment="1">
      <alignment horizontal="center" vertical="center" wrapText="1"/>
    </xf>
    <xf numFmtId="0" fontId="77" fillId="0" borderId="21" xfId="0" applyFont="1" applyBorder="1" applyAlignment="1">
      <alignment horizontal="center" vertical="center" wrapText="1"/>
    </xf>
    <xf numFmtId="0" fontId="77" fillId="0" borderId="33" xfId="0" applyFont="1" applyBorder="1" applyAlignment="1">
      <alignment horizontal="center" vertical="center" wrapText="1"/>
    </xf>
    <xf numFmtId="0" fontId="17" fillId="0" borderId="23" xfId="0" applyFont="1" applyBorder="1" applyAlignment="1">
      <alignment horizontal="left" vertical="center" indent="1"/>
    </xf>
    <xf numFmtId="0" fontId="17" fillId="0" borderId="0" xfId="0" applyFont="1" applyBorder="1" applyAlignment="1">
      <alignment horizontal="left" vertical="center" indent="1"/>
    </xf>
    <xf numFmtId="0" fontId="17" fillId="0" borderId="32" xfId="0" applyFont="1" applyBorder="1" applyAlignment="1">
      <alignment horizontal="left" vertical="center" indent="1"/>
    </xf>
    <xf numFmtId="0" fontId="16" fillId="3" borderId="131" xfId="0" applyNumberFormat="1" applyFont="1" applyFill="1" applyBorder="1" applyAlignment="1" applyProtection="1">
      <alignment horizontal="left" vertical="center" shrinkToFit="1"/>
      <protection/>
    </xf>
    <xf numFmtId="0" fontId="0" fillId="0" borderId="25" xfId="0" applyBorder="1" applyAlignment="1">
      <alignment horizontal="left" vertical="center" shrinkToFit="1"/>
    </xf>
    <xf numFmtId="0" fontId="0" fillId="0" borderId="25" xfId="0"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16" fillId="0" borderId="131" xfId="0" applyFont="1" applyFill="1" applyBorder="1" applyAlignment="1">
      <alignment horizontal="center" vertical="center"/>
    </xf>
    <xf numFmtId="0" fontId="0" fillId="0" borderId="24" xfId="0" applyBorder="1" applyAlignment="1">
      <alignment horizontal="center" vertical="center"/>
    </xf>
    <xf numFmtId="0" fontId="16" fillId="0" borderId="131" xfId="0" applyFont="1" applyBorder="1" applyAlignment="1">
      <alignment horizontal="center" vertical="center"/>
    </xf>
    <xf numFmtId="0" fontId="0" fillId="3" borderId="25" xfId="0" applyFill="1" applyBorder="1" applyAlignment="1">
      <alignment/>
    </xf>
    <xf numFmtId="0" fontId="16" fillId="0" borderId="131" xfId="0" applyFont="1" applyBorder="1" applyAlignment="1" applyProtection="1">
      <alignment horizontal="center"/>
      <protection/>
    </xf>
    <xf numFmtId="0" fontId="16" fillId="2" borderId="131" xfId="0" applyFont="1" applyFill="1" applyBorder="1" applyAlignment="1" applyProtection="1">
      <alignment horizontal="left" vertical="center" shrinkToFit="1"/>
      <protection locked="0"/>
    </xf>
    <xf numFmtId="0" fontId="0" fillId="0" borderId="24" xfId="0" applyBorder="1" applyAlignment="1">
      <alignment horizontal="left" vertical="center" shrinkToFit="1"/>
    </xf>
    <xf numFmtId="0" fontId="2" fillId="0" borderId="1" xfId="0" applyFont="1" applyBorder="1" applyAlignment="1">
      <alignment horizontal="center" vertical="center"/>
    </xf>
    <xf numFmtId="0" fontId="0" fillId="0" borderId="1" xfId="0" applyBorder="1" applyAlignment="1">
      <alignment horizontal="center" vertical="center"/>
    </xf>
    <xf numFmtId="0" fontId="0" fillId="0" borderId="31" xfId="0" applyBorder="1" applyAlignment="1">
      <alignment horizontal="center" vertical="center"/>
    </xf>
    <xf numFmtId="0" fontId="0" fillId="0" borderId="21" xfId="0" applyBorder="1" applyAlignment="1">
      <alignment horizontal="center" vertical="center"/>
    </xf>
    <xf numFmtId="0" fontId="0" fillId="0" borderId="33" xfId="0" applyBorder="1" applyAlignment="1">
      <alignment horizontal="center" vertical="center"/>
    </xf>
    <xf numFmtId="0" fontId="16" fillId="0" borderId="131" xfId="0" applyFont="1" applyBorder="1" applyAlignment="1">
      <alignment horizontal="right" vertical="center" wrapText="1"/>
    </xf>
    <xf numFmtId="0" fontId="16" fillId="0" borderId="25" xfId="0" applyFont="1" applyBorder="1" applyAlignment="1">
      <alignment horizontal="right" vertical="center" wrapText="1"/>
    </xf>
    <xf numFmtId="0" fontId="16" fillId="0" borderId="24" xfId="0" applyFont="1" applyBorder="1" applyAlignment="1">
      <alignment horizontal="left" vertical="center"/>
    </xf>
    <xf numFmtId="0" fontId="16" fillId="0" borderId="25" xfId="0" applyFont="1" applyBorder="1" applyAlignment="1">
      <alignment horizontal="left" vertical="center"/>
    </xf>
    <xf numFmtId="0" fontId="16" fillId="0" borderId="131" xfId="0" applyFont="1" applyBorder="1" applyAlignment="1">
      <alignment horizontal="right" vertical="center"/>
    </xf>
    <xf numFmtId="0" fontId="16" fillId="0" borderId="25" xfId="0" applyFont="1" applyBorder="1" applyAlignment="1">
      <alignment horizontal="right" vertical="center"/>
    </xf>
    <xf numFmtId="0" fontId="0" fillId="0" borderId="25" xfId="0" applyBorder="1" applyAlignment="1">
      <alignment horizontal="right" vertical="center"/>
    </xf>
    <xf numFmtId="0" fontId="17" fillId="0" borderId="21" xfId="0" applyFont="1" applyBorder="1" applyAlignment="1">
      <alignment horizontal="left" vertical="center" indent="1"/>
    </xf>
    <xf numFmtId="0" fontId="17" fillId="0" borderId="33" xfId="0" applyFont="1" applyBorder="1" applyAlignment="1">
      <alignment horizontal="left" vertical="center" inden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2" fillId="0" borderId="33" xfId="0" applyFont="1" applyBorder="1" applyAlignment="1">
      <alignment horizontal="center" vertical="center"/>
    </xf>
    <xf numFmtId="0" fontId="2" fillId="0" borderId="131"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16" fillId="0" borderId="30" xfId="0" applyFont="1" applyBorder="1" applyAlignment="1" applyProtection="1">
      <alignment horizontal="center" vertical="center"/>
      <protection/>
    </xf>
    <xf numFmtId="0" fontId="0" fillId="0" borderId="22" xfId="0" applyBorder="1" applyAlignment="1">
      <alignment horizontal="center" vertical="center"/>
    </xf>
    <xf numFmtId="0" fontId="16" fillId="0" borderId="26" xfId="0" applyFont="1" applyBorder="1" applyAlignment="1">
      <alignment horizontal="center" vertical="center" wrapText="1"/>
    </xf>
    <xf numFmtId="0" fontId="0" fillId="0" borderId="28" xfId="0" applyBorder="1" applyAlignment="1">
      <alignment wrapText="1"/>
    </xf>
    <xf numFmtId="0" fontId="16" fillId="0" borderId="26" xfId="0" applyFont="1" applyBorder="1" applyAlignment="1" applyProtection="1">
      <alignment horizontal="center" vertical="center" wrapText="1"/>
      <protection/>
    </xf>
    <xf numFmtId="0" fontId="0" fillId="0" borderId="28" xfId="0" applyBorder="1" applyAlignment="1">
      <alignment horizontal="center" vertical="center" wrapText="1"/>
    </xf>
    <xf numFmtId="0" fontId="16" fillId="0" borderId="28" xfId="0" applyFont="1" applyBorder="1" applyAlignment="1" applyProtection="1">
      <alignment horizontal="center" vertical="center" wrapText="1"/>
      <protection/>
    </xf>
    <xf numFmtId="0" fontId="16" fillId="0" borderId="30" xfId="0" applyFont="1" applyFill="1" applyBorder="1" applyAlignment="1" applyProtection="1">
      <alignment horizontal="left" vertical="center" wrapText="1"/>
      <protection/>
    </xf>
    <xf numFmtId="0" fontId="0" fillId="0" borderId="1" xfId="0" applyBorder="1" applyAlignment="1" applyProtection="1">
      <alignment wrapText="1"/>
      <protection/>
    </xf>
    <xf numFmtId="0" fontId="0" fillId="0" borderId="31" xfId="0" applyBorder="1" applyAlignment="1" applyProtection="1">
      <alignment wrapText="1"/>
      <protection/>
    </xf>
    <xf numFmtId="0" fontId="0" fillId="0" borderId="22" xfId="0" applyBorder="1" applyAlignment="1" applyProtection="1">
      <alignment wrapText="1"/>
      <protection/>
    </xf>
    <xf numFmtId="0" fontId="0" fillId="0" borderId="21" xfId="0" applyBorder="1" applyAlignment="1" applyProtection="1">
      <alignment wrapText="1"/>
      <protection/>
    </xf>
    <xf numFmtId="0" fontId="0" fillId="0" borderId="33" xfId="0" applyBorder="1" applyAlignment="1" applyProtection="1">
      <alignment wrapText="1"/>
      <protection/>
    </xf>
    <xf numFmtId="3" fontId="16" fillId="3" borderId="131" xfId="0" applyNumberFormat="1" applyFont="1" applyFill="1" applyBorder="1" applyAlignment="1" applyProtection="1">
      <alignment horizontal="center"/>
      <protection/>
    </xf>
    <xf numFmtId="3" fontId="0" fillId="3" borderId="25" xfId="0" applyNumberFormat="1" applyFill="1" applyBorder="1" applyAlignment="1" applyProtection="1">
      <alignment horizontal="center"/>
      <protection/>
    </xf>
    <xf numFmtId="0" fontId="0" fillId="0" borderId="25" xfId="0" applyBorder="1" applyAlignment="1" applyProtection="1">
      <alignment horizontal="center"/>
      <protection/>
    </xf>
    <xf numFmtId="0" fontId="21" fillId="0" borderId="30" xfId="0" applyFont="1" applyBorder="1" applyAlignment="1" applyProtection="1">
      <alignment horizontal="center" vertical="center"/>
      <protection/>
    </xf>
    <xf numFmtId="0" fontId="0" fillId="0" borderId="1" xfId="0" applyBorder="1" applyAlignment="1" applyProtection="1">
      <alignment/>
      <protection/>
    </xf>
    <xf numFmtId="0" fontId="0" fillId="0" borderId="22" xfId="0" applyBorder="1" applyAlignment="1" applyProtection="1">
      <alignment/>
      <protection/>
    </xf>
    <xf numFmtId="0" fontId="0" fillId="0" borderId="21" xfId="0" applyBorder="1" applyAlignment="1" applyProtection="1">
      <alignment/>
      <protection/>
    </xf>
    <xf numFmtId="0" fontId="21" fillId="0" borderId="24" xfId="0" applyFont="1"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25" xfId="0" applyBorder="1" applyAlignment="1" applyProtection="1">
      <alignment horizontal="center" vertical="center"/>
      <protection/>
    </xf>
    <xf numFmtId="0" fontId="21" fillId="0" borderId="131" xfId="0" applyFont="1" applyBorder="1" applyAlignment="1" applyProtection="1">
      <alignment horizontal="center" vertical="center"/>
      <protection/>
    </xf>
    <xf numFmtId="0" fontId="21" fillId="12" borderId="131" xfId="0" applyFont="1" applyFill="1" applyBorder="1" applyAlignment="1" applyProtection="1">
      <alignment horizontal="center" vertical="center"/>
      <protection/>
    </xf>
    <xf numFmtId="0" fontId="0" fillId="12" borderId="25" xfId="0" applyFill="1" applyBorder="1" applyAlignment="1" applyProtection="1">
      <alignment horizontal="center" vertical="center"/>
      <protection/>
    </xf>
    <xf numFmtId="1" fontId="16" fillId="3" borderId="131" xfId="0" applyNumberFormat="1" applyFont="1" applyFill="1" applyBorder="1" applyAlignment="1" applyProtection="1">
      <alignment horizontal="center"/>
      <protection/>
    </xf>
    <xf numFmtId="0" fontId="0" fillId="3" borderId="25" xfId="0" applyFill="1" applyBorder="1" applyAlignment="1" applyProtection="1">
      <alignment horizontal="center"/>
      <protection/>
    </xf>
    <xf numFmtId="3" fontId="16" fillId="3" borderId="131" xfId="0" applyNumberFormat="1" applyFont="1" applyFill="1" applyBorder="1" applyAlignment="1" applyProtection="1">
      <alignment horizontal="center" vertical="center"/>
      <protection/>
    </xf>
    <xf numFmtId="3" fontId="0" fillId="0" borderId="25" xfId="0" applyNumberFormat="1" applyBorder="1" applyAlignment="1" applyProtection="1">
      <alignment horizontal="center" vertical="center"/>
      <protection/>
    </xf>
    <xf numFmtId="3" fontId="16" fillId="13" borderId="131" xfId="0" applyNumberFormat="1" applyFont="1" applyFill="1" applyBorder="1" applyAlignment="1" applyProtection="1">
      <alignment horizontal="center" vertical="center"/>
      <protection/>
    </xf>
    <xf numFmtId="0" fontId="21" fillId="0" borderId="30" xfId="0" applyFont="1" applyBorder="1" applyAlignment="1" applyProtection="1">
      <alignment horizontal="left" vertical="center" indent="3"/>
      <protection/>
    </xf>
    <xf numFmtId="0" fontId="0" fillId="0" borderId="1" xfId="0" applyBorder="1" applyAlignment="1" applyProtection="1">
      <alignment horizontal="left" vertical="center" indent="3"/>
      <protection/>
    </xf>
    <xf numFmtId="0" fontId="0" fillId="0" borderId="22" xfId="0" applyBorder="1" applyAlignment="1" applyProtection="1">
      <alignment horizontal="left" vertical="center" indent="3"/>
      <protection/>
    </xf>
    <xf numFmtId="0" fontId="0" fillId="0" borderId="21" xfId="0" applyBorder="1" applyAlignment="1" applyProtection="1">
      <alignment horizontal="left" vertical="center" indent="3"/>
      <protection/>
    </xf>
    <xf numFmtId="0" fontId="21" fillId="0" borderId="30" xfId="0" applyFont="1" applyBorder="1" applyAlignment="1" applyProtection="1">
      <alignment horizontal="center" vertical="center" wrapText="1"/>
      <protection/>
    </xf>
    <xf numFmtId="0" fontId="0" fillId="0" borderId="31" xfId="0"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33" xfId="0" applyBorder="1" applyAlignment="1" applyProtection="1">
      <alignment horizontal="center" vertical="center" wrapText="1"/>
      <protection/>
    </xf>
    <xf numFmtId="3" fontId="21" fillId="0" borderId="131" xfId="0" applyNumberFormat="1" applyFont="1" applyFill="1" applyBorder="1" applyAlignment="1" applyProtection="1">
      <alignment horizontal="left" indent="1"/>
      <protection/>
    </xf>
    <xf numFmtId="0" fontId="7" fillId="0" borderId="24" xfId="0" applyFont="1" applyFill="1" applyBorder="1" applyAlignment="1" applyProtection="1">
      <alignment horizontal="left" indent="1"/>
      <protection/>
    </xf>
    <xf numFmtId="0" fontId="0" fillId="0" borderId="24" xfId="0" applyBorder="1" applyAlignment="1" applyProtection="1">
      <alignment horizontal="left" indent="1"/>
      <protection/>
    </xf>
    <xf numFmtId="0" fontId="0" fillId="0" borderId="25" xfId="0" applyBorder="1" applyAlignment="1" applyProtection="1">
      <alignment horizontal="left" indent="1"/>
      <protection/>
    </xf>
    <xf numFmtId="0" fontId="21" fillId="0" borderId="30" xfId="0" applyFont="1" applyBorder="1" applyAlignment="1" applyProtection="1">
      <alignment horizontal="left" vertical="center" wrapText="1"/>
      <protection/>
    </xf>
    <xf numFmtId="0" fontId="0" fillId="0" borderId="1" xfId="0" applyBorder="1" applyAlignment="1" applyProtection="1">
      <alignment horizontal="left" vertical="center" wrapText="1"/>
      <protection/>
    </xf>
    <xf numFmtId="0" fontId="0" fillId="0" borderId="31" xfId="0" applyBorder="1" applyAlignment="1" applyProtection="1">
      <alignment horizontal="left" vertical="center" wrapText="1"/>
      <protection/>
    </xf>
    <xf numFmtId="0" fontId="0" fillId="0" borderId="22" xfId="0" applyBorder="1" applyAlignment="1" applyProtection="1">
      <alignment horizontal="left" vertical="center" wrapText="1"/>
      <protection/>
    </xf>
    <xf numFmtId="0" fontId="0" fillId="0" borderId="21" xfId="0" applyBorder="1" applyAlignment="1" applyProtection="1">
      <alignment horizontal="left" vertical="center" wrapText="1"/>
      <protection/>
    </xf>
    <xf numFmtId="0" fontId="0" fillId="0" borderId="33" xfId="0" applyBorder="1" applyAlignment="1" applyProtection="1">
      <alignment horizontal="left" vertical="center" wrapText="1"/>
      <protection/>
    </xf>
    <xf numFmtId="3" fontId="16" fillId="3" borderId="131" xfId="0" applyNumberFormat="1" applyFont="1" applyFill="1" applyBorder="1" applyAlignment="1" applyProtection="1">
      <alignment horizontal="center" vertical="center"/>
      <protection/>
    </xf>
    <xf numFmtId="0" fontId="16" fillId="3" borderId="131" xfId="0" applyFont="1" applyFill="1" applyBorder="1" applyAlignment="1" applyProtection="1">
      <alignment horizontal="left" indent="1"/>
      <protection/>
    </xf>
    <xf numFmtId="0" fontId="16" fillId="3" borderId="24" xfId="0" applyFont="1" applyFill="1" applyBorder="1" applyAlignment="1" applyProtection="1">
      <alignment horizontal="left" indent="1"/>
      <protection/>
    </xf>
    <xf numFmtId="0" fontId="16" fillId="3" borderId="25" xfId="0" applyFont="1" applyFill="1" applyBorder="1" applyAlignment="1" applyProtection="1">
      <alignment horizontal="left" indent="1"/>
      <protection/>
    </xf>
    <xf numFmtId="0" fontId="21" fillId="0" borderId="1" xfId="0" applyFont="1" applyFill="1" applyBorder="1" applyAlignment="1" applyProtection="1">
      <alignment horizontal="right" indent="1"/>
      <protection/>
    </xf>
    <xf numFmtId="0" fontId="0" fillId="0" borderId="1" xfId="0" applyBorder="1" applyAlignment="1">
      <alignment horizontal="right" indent="1"/>
    </xf>
    <xf numFmtId="0" fontId="0" fillId="0" borderId="31" xfId="0" applyBorder="1" applyAlignment="1">
      <alignment horizontal="right" indent="1"/>
    </xf>
    <xf numFmtId="3" fontId="16" fillId="3" borderId="25" xfId="0" applyNumberFormat="1" applyFont="1" applyFill="1" applyBorder="1" applyAlignment="1" applyProtection="1">
      <alignment horizontal="center" vertical="center"/>
      <protection/>
    </xf>
    <xf numFmtId="0" fontId="21" fillId="0" borderId="1" xfId="0" applyFont="1" applyBorder="1" applyAlignment="1" applyProtection="1">
      <alignment horizontal="left" vertical="center" wrapText="1"/>
      <protection/>
    </xf>
    <xf numFmtId="0" fontId="21" fillId="0" borderId="31" xfId="0" applyFont="1" applyBorder="1" applyAlignment="1" applyProtection="1">
      <alignment horizontal="left" vertical="center" wrapText="1"/>
      <protection/>
    </xf>
    <xf numFmtId="0" fontId="21" fillId="0" borderId="22" xfId="0" applyFont="1" applyBorder="1" applyAlignment="1" applyProtection="1">
      <alignment horizontal="left" vertical="center" wrapText="1"/>
      <protection/>
    </xf>
    <xf numFmtId="0" fontId="21" fillId="0" borderId="21" xfId="0" applyFont="1" applyBorder="1" applyAlignment="1" applyProtection="1">
      <alignment horizontal="left" vertical="center" wrapText="1"/>
      <protection/>
    </xf>
    <xf numFmtId="0" fontId="21" fillId="0" borderId="33" xfId="0" applyFont="1" applyBorder="1" applyAlignment="1" applyProtection="1">
      <alignment horizontal="left" vertical="center" wrapText="1"/>
      <protection/>
    </xf>
    <xf numFmtId="0" fontId="21" fillId="0" borderId="26" xfId="0" applyFont="1" applyBorder="1" applyAlignment="1" applyProtection="1">
      <alignment horizontal="center" vertical="center" wrapText="1"/>
      <protection/>
    </xf>
    <xf numFmtId="0" fontId="21" fillId="0" borderId="28" xfId="0" applyFont="1" applyBorder="1" applyAlignment="1" applyProtection="1">
      <alignment horizontal="center" vertical="center" wrapText="1"/>
      <protection/>
    </xf>
    <xf numFmtId="0" fontId="21" fillId="0" borderId="31" xfId="0" applyFont="1" applyBorder="1" applyAlignment="1" applyProtection="1">
      <alignment horizontal="center" vertical="center" wrapText="1"/>
      <protection/>
    </xf>
    <xf numFmtId="0" fontId="21" fillId="0" borderId="22" xfId="0" applyFont="1" applyBorder="1" applyAlignment="1" applyProtection="1">
      <alignment horizontal="center" vertical="center" wrapText="1"/>
      <protection/>
    </xf>
    <xf numFmtId="0" fontId="21" fillId="0" borderId="33" xfId="0" applyFont="1" applyBorder="1" applyAlignment="1" applyProtection="1">
      <alignment horizontal="center" vertical="center" wrapText="1"/>
      <protection/>
    </xf>
    <xf numFmtId="0" fontId="0" fillId="0" borderId="1" xfId="0"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21" xfId="0" applyBorder="1" applyAlignment="1" applyProtection="1">
      <alignment horizontal="center" vertical="center"/>
      <protection/>
    </xf>
    <xf numFmtId="0" fontId="16" fillId="3" borderId="58" xfId="0" applyFont="1" applyFill="1" applyBorder="1" applyAlignment="1" applyProtection="1">
      <alignment horizontal="center" vertical="center" wrapText="1"/>
      <protection/>
    </xf>
    <xf numFmtId="0" fontId="0" fillId="3" borderId="31" xfId="0" applyFont="1" applyFill="1" applyBorder="1" applyAlignment="1" applyProtection="1">
      <alignment horizontal="center" vertical="center" wrapText="1"/>
      <protection/>
    </xf>
    <xf numFmtId="0" fontId="0" fillId="3" borderId="205" xfId="0" applyFont="1" applyFill="1" applyBorder="1" applyAlignment="1" applyProtection="1">
      <alignment horizontal="center" vertical="center" wrapText="1"/>
      <protection/>
    </xf>
    <xf numFmtId="0" fontId="0" fillId="3" borderId="33" xfId="0" applyFont="1" applyFill="1" applyBorder="1" applyAlignment="1" applyProtection="1">
      <alignment horizontal="center" vertical="center" wrapText="1"/>
      <protection/>
    </xf>
    <xf numFmtId="0" fontId="16" fillId="2" borderId="131" xfId="0" applyFont="1" applyFill="1" applyBorder="1" applyAlignment="1" applyProtection="1">
      <alignment/>
      <protection locked="0"/>
    </xf>
    <xf numFmtId="0" fontId="16" fillId="2" borderId="24" xfId="0" applyFont="1" applyFill="1" applyBorder="1" applyAlignment="1" applyProtection="1">
      <alignment/>
      <protection locked="0"/>
    </xf>
    <xf numFmtId="0" fontId="16" fillId="2" borderId="25" xfId="0" applyFont="1" applyFill="1" applyBorder="1" applyAlignment="1" applyProtection="1">
      <alignment/>
      <protection locked="0"/>
    </xf>
    <xf numFmtId="1" fontId="16" fillId="3" borderId="131" xfId="0" applyNumberFormat="1" applyFont="1" applyFill="1" applyBorder="1" applyAlignment="1" applyProtection="1">
      <alignment horizontal="center" vertical="center" wrapText="1"/>
      <protection/>
    </xf>
    <xf numFmtId="1" fontId="16" fillId="3" borderId="25" xfId="0" applyNumberFormat="1" applyFont="1" applyFill="1" applyBorder="1" applyAlignment="1" applyProtection="1">
      <alignment horizontal="center" vertical="center" wrapText="1"/>
      <protection/>
    </xf>
    <xf numFmtId="0" fontId="16" fillId="0" borderId="1" xfId="0" applyFont="1" applyFill="1" applyBorder="1" applyAlignment="1" applyProtection="1">
      <alignment horizontal="center" vertical="center"/>
      <protection/>
    </xf>
    <xf numFmtId="0" fontId="21" fillId="0" borderId="26" xfId="0" applyFont="1" applyFill="1" applyBorder="1" applyAlignment="1" applyProtection="1">
      <alignment horizontal="center" vertical="center" wrapText="1"/>
      <protection/>
    </xf>
    <xf numFmtId="0" fontId="21" fillId="0" borderId="28" xfId="0" applyFont="1" applyFill="1" applyBorder="1" applyAlignment="1" applyProtection="1">
      <alignment horizontal="center" vertical="center" wrapText="1"/>
      <protection/>
    </xf>
    <xf numFmtId="0" fontId="21" fillId="0" borderId="131" xfId="0" applyFont="1" applyFill="1" applyBorder="1" applyAlignment="1" applyProtection="1">
      <alignment horizontal="center" vertical="center" wrapText="1"/>
      <protection/>
    </xf>
    <xf numFmtId="0" fontId="21" fillId="0" borderId="24" xfId="0" applyFont="1" applyFill="1" applyBorder="1" applyAlignment="1" applyProtection="1">
      <alignment horizontal="center" vertical="center" wrapText="1"/>
      <protection/>
    </xf>
    <xf numFmtId="0" fontId="21" fillId="0" borderId="25" xfId="0" applyFont="1" applyFill="1" applyBorder="1" applyAlignment="1" applyProtection="1">
      <alignment horizontal="center" vertical="center" wrapText="1"/>
      <protection/>
    </xf>
    <xf numFmtId="0" fontId="63" fillId="0" borderId="21" xfId="0" applyFont="1" applyBorder="1" applyAlignment="1" applyProtection="1">
      <alignment horizontal="left" vertical="center" wrapText="1"/>
      <protection/>
    </xf>
    <xf numFmtId="0" fontId="17" fillId="0" borderId="131" xfId="0" applyFont="1" applyBorder="1" applyAlignment="1" applyProtection="1">
      <alignment horizontal="right" indent="1"/>
      <protection/>
    </xf>
    <xf numFmtId="0" fontId="17" fillId="0" borderId="25" xfId="0" applyFont="1" applyBorder="1" applyAlignment="1" applyProtection="1">
      <alignment horizontal="right" indent="1"/>
      <protection/>
    </xf>
    <xf numFmtId="167" fontId="16" fillId="3" borderId="131" xfId="0" applyNumberFormat="1" applyFont="1" applyFill="1" applyBorder="1" applyAlignment="1" applyProtection="1">
      <alignment horizontal="center" vertical="center"/>
      <protection/>
    </xf>
    <xf numFmtId="167" fontId="16" fillId="3" borderId="24" xfId="0" applyNumberFormat="1" applyFont="1" applyFill="1" applyBorder="1" applyAlignment="1" applyProtection="1">
      <alignment horizontal="center" vertical="center"/>
      <protection/>
    </xf>
    <xf numFmtId="167" fontId="16" fillId="3" borderId="25" xfId="0" applyNumberFormat="1" applyFont="1" applyFill="1" applyBorder="1" applyAlignment="1" applyProtection="1">
      <alignment horizontal="center" vertical="center"/>
      <protection/>
    </xf>
    <xf numFmtId="0" fontId="21" fillId="0" borderId="23" xfId="0" applyFont="1" applyBorder="1" applyAlignment="1" applyProtection="1">
      <alignment horizontal="left" vertical="center" wrapText="1"/>
      <protection/>
    </xf>
    <xf numFmtId="0" fontId="21" fillId="0" borderId="0" xfId="0" applyFont="1" applyBorder="1" applyAlignment="1" applyProtection="1">
      <alignment horizontal="left" vertical="center" wrapText="1"/>
      <protection/>
    </xf>
    <xf numFmtId="0" fontId="21" fillId="0" borderId="32" xfId="0" applyFont="1" applyBorder="1" applyAlignment="1" applyProtection="1">
      <alignment horizontal="left" vertical="center" wrapText="1"/>
      <protection/>
    </xf>
    <xf numFmtId="0" fontId="16" fillId="3" borderId="131" xfId="0" applyFont="1" applyFill="1" applyBorder="1" applyAlignment="1" applyProtection="1">
      <alignment horizontal="left" indent="1"/>
      <protection/>
    </xf>
    <xf numFmtId="0" fontId="16" fillId="3" borderId="24" xfId="0" applyFont="1" applyFill="1" applyBorder="1" applyAlignment="1" applyProtection="1">
      <alignment horizontal="left" indent="1"/>
      <protection/>
    </xf>
    <xf numFmtId="0" fontId="0" fillId="3" borderId="24" xfId="0" applyFill="1" applyBorder="1" applyAlignment="1" applyProtection="1">
      <alignment horizontal="left" indent="1"/>
      <protection/>
    </xf>
    <xf numFmtId="0" fontId="0" fillId="3" borderId="25" xfId="0" applyFill="1" applyBorder="1" applyAlignment="1" applyProtection="1">
      <alignment horizontal="left" indent="1"/>
      <protection/>
    </xf>
    <xf numFmtId="0" fontId="0" fillId="0" borderId="28" xfId="0" applyBorder="1" applyAlignment="1" applyProtection="1">
      <alignment horizontal="center" vertical="center" wrapText="1"/>
      <protection/>
    </xf>
    <xf numFmtId="0" fontId="0" fillId="0" borderId="1" xfId="0" applyBorder="1" applyAlignment="1" applyProtection="1">
      <alignment horizontal="center" vertical="center" wrapText="1"/>
      <protection/>
    </xf>
    <xf numFmtId="0" fontId="0" fillId="0" borderId="21" xfId="0" applyBorder="1" applyAlignment="1" applyProtection="1">
      <alignment horizontal="center" vertical="center" wrapText="1"/>
      <protection/>
    </xf>
    <xf numFmtId="0" fontId="49" fillId="7" borderId="229" xfId="0" applyFont="1" applyFill="1" applyBorder="1" applyAlignment="1">
      <alignment horizontal="left" indent="2"/>
    </xf>
    <xf numFmtId="0" fontId="49" fillId="7" borderId="0" xfId="0" applyFont="1" applyFill="1" applyBorder="1" applyAlignment="1">
      <alignment horizontal="left" indent="2"/>
    </xf>
    <xf numFmtId="0" fontId="49" fillId="7" borderId="230" xfId="0" applyFont="1" applyFill="1" applyBorder="1" applyAlignment="1">
      <alignment horizontal="left" indent="2"/>
    </xf>
    <xf numFmtId="0" fontId="49" fillId="7" borderId="231" xfId="0" applyFont="1" applyFill="1" applyBorder="1" applyAlignment="1">
      <alignment horizontal="left" indent="2"/>
    </xf>
    <xf numFmtId="0" fontId="49" fillId="7" borderId="232" xfId="0" applyFont="1" applyFill="1" applyBorder="1" applyAlignment="1">
      <alignment horizontal="left" indent="2"/>
    </xf>
    <xf numFmtId="0" fontId="49" fillId="7" borderId="233" xfId="0" applyFont="1" applyFill="1" applyBorder="1" applyAlignment="1">
      <alignment horizontal="left" indent="2"/>
    </xf>
    <xf numFmtId="0" fontId="17" fillId="0" borderId="24" xfId="0" applyFont="1" applyBorder="1" applyAlignment="1" applyProtection="1">
      <alignment/>
      <protection locked="0"/>
    </xf>
    <xf numFmtId="0" fontId="17" fillId="0" borderId="1" xfId="0" applyFont="1" applyBorder="1" applyAlignment="1">
      <alignment horizontal="left" indent="1"/>
    </xf>
    <xf numFmtId="0" fontId="40" fillId="7" borderId="80" xfId="0" applyFont="1" applyFill="1" applyBorder="1" applyAlignment="1">
      <alignment horizontal="left" vertical="top" wrapText="1"/>
    </xf>
    <xf numFmtId="0" fontId="40" fillId="7" borderId="78" xfId="0" applyFont="1" applyFill="1" applyBorder="1" applyAlignment="1">
      <alignment horizontal="left" vertical="top" wrapText="1"/>
    </xf>
    <xf numFmtId="0" fontId="40" fillId="7" borderId="81" xfId="0" applyFont="1" applyFill="1" applyBorder="1" applyAlignment="1">
      <alignment horizontal="left" vertical="top" wrapText="1"/>
    </xf>
    <xf numFmtId="0" fontId="40" fillId="7" borderId="229" xfId="0" applyFont="1" applyFill="1" applyBorder="1" applyAlignment="1">
      <alignment horizontal="left" vertical="top" wrapText="1"/>
    </xf>
    <xf numFmtId="0" fontId="40" fillId="7" borderId="0" xfId="0" applyFont="1" applyFill="1" applyBorder="1" applyAlignment="1">
      <alignment horizontal="left" vertical="top" wrapText="1"/>
    </xf>
    <xf numFmtId="0" fontId="40" fillId="7" borderId="230" xfId="0" applyFont="1" applyFill="1" applyBorder="1" applyAlignment="1">
      <alignment horizontal="left" vertical="top" wrapText="1"/>
    </xf>
    <xf numFmtId="0" fontId="40" fillId="7" borderId="234" xfId="0" applyFont="1" applyFill="1" applyBorder="1" applyAlignment="1">
      <alignment horizontal="left" vertical="top" wrapText="1"/>
    </xf>
    <xf numFmtId="0" fontId="40" fillId="7" borderId="21" xfId="0" applyFont="1" applyFill="1" applyBorder="1" applyAlignment="1">
      <alignment horizontal="left" vertical="top" wrapText="1"/>
    </xf>
    <xf numFmtId="0" fontId="40" fillId="7" borderId="235" xfId="0" applyFont="1" applyFill="1" applyBorder="1" applyAlignment="1">
      <alignment horizontal="left" vertical="top" wrapText="1"/>
    </xf>
    <xf numFmtId="0" fontId="49" fillId="7" borderId="236" xfId="0" applyFont="1" applyFill="1" applyBorder="1" applyAlignment="1">
      <alignment horizontal="left" indent="2"/>
    </xf>
    <xf numFmtId="0" fontId="49" fillId="7" borderId="1" xfId="0" applyFont="1" applyFill="1" applyBorder="1" applyAlignment="1">
      <alignment horizontal="left" indent="2"/>
    </xf>
    <xf numFmtId="0" fontId="49" fillId="7" borderId="237" xfId="0" applyFont="1" applyFill="1" applyBorder="1" applyAlignment="1">
      <alignment horizontal="left" indent="2"/>
    </xf>
    <xf numFmtId="0" fontId="49" fillId="7" borderId="229" xfId="0" applyFont="1" applyFill="1" applyBorder="1" applyAlignment="1">
      <alignment horizontal="left" vertical="top" wrapText="1" indent="2"/>
    </xf>
    <xf numFmtId="0" fontId="49" fillId="7" borderId="0" xfId="0" applyFont="1" applyFill="1" applyBorder="1" applyAlignment="1">
      <alignment horizontal="left" vertical="top" wrapText="1" indent="2"/>
    </xf>
    <xf numFmtId="0" fontId="49" fillId="7" borderId="230" xfId="0" applyFont="1" applyFill="1" applyBorder="1" applyAlignment="1">
      <alignment horizontal="left" vertical="top" wrapText="1" indent="2"/>
    </xf>
    <xf numFmtId="0" fontId="41" fillId="7" borderId="236" xfId="0" applyFont="1" applyFill="1" applyBorder="1" applyAlignment="1">
      <alignment horizontal="center" vertical="top" wrapText="1"/>
    </xf>
    <xf numFmtId="0" fontId="41" fillId="7" borderId="1" xfId="0" applyFont="1" applyFill="1" applyBorder="1" applyAlignment="1">
      <alignment horizontal="center" vertical="top" wrapText="1"/>
    </xf>
    <xf numFmtId="0" fontId="41" fillId="7" borderId="31" xfId="0" applyFont="1" applyFill="1" applyBorder="1" applyAlignment="1">
      <alignment horizontal="center" vertical="top" wrapText="1"/>
    </xf>
    <xf numFmtId="0" fontId="41" fillId="7" borderId="229" xfId="0" applyFont="1" applyFill="1" applyBorder="1" applyAlignment="1">
      <alignment horizontal="center" vertical="top" wrapText="1"/>
    </xf>
    <xf numFmtId="0" fontId="41" fillId="7" borderId="0" xfId="0" applyFont="1" applyFill="1" applyBorder="1" applyAlignment="1">
      <alignment horizontal="center" vertical="top" wrapText="1"/>
    </xf>
    <xf numFmtId="0" fontId="41" fillId="7" borderId="32" xfId="0" applyFont="1" applyFill="1" applyBorder="1" applyAlignment="1">
      <alignment horizontal="center" vertical="top" wrapText="1"/>
    </xf>
    <xf numFmtId="0" fontId="41" fillId="7" borderId="231" xfId="0" applyFont="1" applyFill="1" applyBorder="1" applyAlignment="1">
      <alignment horizontal="center" vertical="top" wrapText="1"/>
    </xf>
    <xf numFmtId="0" fontId="41" fillId="7" borderId="232" xfId="0" applyFont="1" applyFill="1" applyBorder="1" applyAlignment="1">
      <alignment horizontal="center" vertical="top" wrapText="1"/>
    </xf>
    <xf numFmtId="0" fontId="41" fillId="7" borderId="238" xfId="0" applyFont="1" applyFill="1" applyBorder="1" applyAlignment="1">
      <alignment horizontal="center" vertical="top" wrapText="1"/>
    </xf>
    <xf numFmtId="0" fontId="41" fillId="7" borderId="30" xfId="0" applyFont="1" applyFill="1" applyBorder="1" applyAlignment="1">
      <alignment horizontal="center" vertical="top" wrapText="1"/>
    </xf>
    <xf numFmtId="0" fontId="41" fillId="7" borderId="23" xfId="0" applyFont="1" applyFill="1" applyBorder="1" applyAlignment="1">
      <alignment horizontal="center" vertical="top" wrapText="1"/>
    </xf>
    <xf numFmtId="0" fontId="41" fillId="7" borderId="239" xfId="0" applyFont="1" applyFill="1" applyBorder="1" applyAlignment="1">
      <alignment horizontal="center" vertical="top" wrapText="1"/>
    </xf>
    <xf numFmtId="0" fontId="41" fillId="7" borderId="237" xfId="0" applyFont="1" applyFill="1" applyBorder="1" applyAlignment="1">
      <alignment horizontal="center" vertical="top" wrapText="1"/>
    </xf>
    <xf numFmtId="0" fontId="41" fillId="7" borderId="230" xfId="0" applyFont="1" applyFill="1" applyBorder="1" applyAlignment="1">
      <alignment horizontal="center" vertical="top" wrapText="1"/>
    </xf>
    <xf numFmtId="0" fontId="41" fillId="7" borderId="233" xfId="0" applyFont="1" applyFill="1" applyBorder="1" applyAlignment="1">
      <alignment horizontal="center" vertical="top" wrapText="1"/>
    </xf>
    <xf numFmtId="0" fontId="40" fillId="7" borderId="240" xfId="0" applyFont="1" applyFill="1" applyBorder="1" applyAlignment="1">
      <alignment horizontal="center" vertical="center" wrapText="1"/>
    </xf>
    <xf numFmtId="0" fontId="40" fillId="7" borderId="24" xfId="0" applyFont="1" applyFill="1" applyBorder="1" applyAlignment="1">
      <alignment horizontal="center" vertical="center" wrapText="1"/>
    </xf>
    <xf numFmtId="0" fontId="40" fillId="7" borderId="25" xfId="0" applyFont="1" applyFill="1" applyBorder="1" applyAlignment="1">
      <alignment horizontal="center" vertical="center" wrapText="1"/>
    </xf>
    <xf numFmtId="0" fontId="40" fillId="7" borderId="131" xfId="0" applyFont="1" applyFill="1" applyBorder="1" applyAlignment="1">
      <alignment horizontal="center" vertical="center" wrapText="1"/>
    </xf>
    <xf numFmtId="0" fontId="40" fillId="7" borderId="241" xfId="0" applyFont="1" applyFill="1" applyBorder="1" applyAlignment="1">
      <alignment horizontal="center" vertical="center" wrapText="1"/>
    </xf>
    <xf numFmtId="49" fontId="41" fillId="7" borderId="30" xfId="0" applyNumberFormat="1" applyFont="1" applyFill="1" applyBorder="1" applyAlignment="1" quotePrefix="1">
      <alignment horizontal="center" vertical="center"/>
    </xf>
    <xf numFmtId="49" fontId="41" fillId="7" borderId="237" xfId="0" applyNumberFormat="1" applyFont="1" applyFill="1" applyBorder="1" applyAlignment="1" quotePrefix="1">
      <alignment horizontal="center" vertical="center"/>
    </xf>
    <xf numFmtId="0" fontId="48" fillId="7" borderId="242" xfId="0" applyFont="1" applyFill="1" applyBorder="1" applyAlignment="1">
      <alignment vertical="center"/>
    </xf>
    <xf numFmtId="0" fontId="48" fillId="7" borderId="243" xfId="0" applyFont="1" applyFill="1" applyBorder="1" applyAlignment="1">
      <alignment vertical="center"/>
    </xf>
    <xf numFmtId="0" fontId="48" fillId="7" borderId="244" xfId="0" applyFont="1" applyFill="1" applyBorder="1" applyAlignment="1">
      <alignment vertical="center"/>
    </xf>
    <xf numFmtId="0" fontId="40" fillId="7" borderId="240" xfId="0" applyFont="1" applyFill="1" applyBorder="1" applyAlignment="1">
      <alignment/>
    </xf>
    <xf numFmtId="0" fontId="40" fillId="7" borderId="24" xfId="0" applyFont="1" applyFill="1" applyBorder="1" applyAlignment="1">
      <alignment/>
    </xf>
    <xf numFmtId="0" fontId="40" fillId="7" borderId="241" xfId="0" applyFont="1" applyFill="1" applyBorder="1" applyAlignment="1">
      <alignment/>
    </xf>
    <xf numFmtId="0" fontId="40" fillId="7" borderId="236" xfId="0" applyFont="1" applyFill="1" applyBorder="1" applyAlignment="1">
      <alignment horizontal="left" vertical="center"/>
    </xf>
    <xf numFmtId="0" fontId="40" fillId="7" borderId="1" xfId="0" applyFont="1" applyFill="1" applyBorder="1" applyAlignment="1">
      <alignment horizontal="left" vertical="center"/>
    </xf>
    <xf numFmtId="0" fontId="40" fillId="7" borderId="31" xfId="0" applyFont="1" applyFill="1" applyBorder="1" applyAlignment="1">
      <alignment horizontal="left" vertical="center"/>
    </xf>
    <xf numFmtId="0" fontId="41" fillId="7" borderId="30" xfId="0" applyFont="1" applyFill="1" applyBorder="1" applyAlignment="1">
      <alignment horizontal="left" vertical="center"/>
    </xf>
    <xf numFmtId="0" fontId="41" fillId="7" borderId="1" xfId="0" applyFont="1" applyFill="1" applyBorder="1" applyAlignment="1">
      <alignment horizontal="left" vertical="center"/>
    </xf>
    <xf numFmtId="0" fontId="41" fillId="7" borderId="31" xfId="0" applyFont="1" applyFill="1" applyBorder="1" applyAlignment="1">
      <alignment horizontal="left" vertical="center"/>
    </xf>
    <xf numFmtId="0" fontId="41" fillId="7" borderId="30" xfId="0" applyFont="1" applyFill="1" applyBorder="1" applyAlignment="1">
      <alignment horizontal="center" vertical="center"/>
    </xf>
    <xf numFmtId="0" fontId="41" fillId="7" borderId="31" xfId="0" applyFont="1" applyFill="1" applyBorder="1" applyAlignment="1">
      <alignment horizontal="center" vertical="center"/>
    </xf>
    <xf numFmtId="49" fontId="41" fillId="7" borderId="31" xfId="0" applyNumberFormat="1" applyFont="1" applyFill="1" applyBorder="1" applyAlignment="1" quotePrefix="1">
      <alignment horizontal="center" vertical="center"/>
    </xf>
    <xf numFmtId="0" fontId="41" fillId="7" borderId="131" xfId="0" applyNumberFormat="1" applyFont="1" applyFill="1" applyBorder="1" applyAlignment="1" quotePrefix="1">
      <alignment horizontal="center" vertical="center"/>
    </xf>
    <xf numFmtId="0" fontId="41" fillId="7" borderId="241" xfId="0" applyNumberFormat="1" applyFont="1" applyFill="1" applyBorder="1" applyAlignment="1" quotePrefix="1">
      <alignment horizontal="center" vertical="center"/>
    </xf>
    <xf numFmtId="0" fontId="40" fillId="7" borderId="240" xfId="0" applyFont="1" applyFill="1" applyBorder="1" applyAlignment="1">
      <alignment horizontal="left" vertical="center"/>
    </xf>
    <xf numFmtId="0" fontId="40" fillId="7" borderId="24" xfId="0" applyFont="1" applyFill="1" applyBorder="1" applyAlignment="1">
      <alignment horizontal="left" vertical="center"/>
    </xf>
    <xf numFmtId="0" fontId="40" fillId="7" borderId="25" xfId="0" applyFont="1" applyFill="1" applyBorder="1" applyAlignment="1">
      <alignment horizontal="left" vertical="center"/>
    </xf>
    <xf numFmtId="0" fontId="41" fillId="7" borderId="131" xfId="0" applyFont="1" applyFill="1" applyBorder="1" applyAlignment="1">
      <alignment vertical="center"/>
    </xf>
    <xf numFmtId="0" fontId="41" fillId="7" borderId="24" xfId="0" applyFont="1" applyFill="1" applyBorder="1" applyAlignment="1">
      <alignment vertical="center"/>
    </xf>
    <xf numFmtId="0" fontId="41" fillId="7" borderId="25" xfId="0" applyFont="1" applyFill="1" applyBorder="1" applyAlignment="1">
      <alignment vertical="center"/>
    </xf>
    <xf numFmtId="0" fontId="41" fillId="7" borderId="131" xfId="0" applyFont="1" applyFill="1" applyBorder="1" applyAlignment="1">
      <alignment horizontal="center" vertical="center"/>
    </xf>
    <xf numFmtId="0" fontId="41" fillId="7" borderId="25" xfId="0" applyFont="1" applyFill="1" applyBorder="1" applyAlignment="1">
      <alignment horizontal="center" vertical="center"/>
    </xf>
    <xf numFmtId="49" fontId="41" fillId="7" borderId="131" xfId="0" applyNumberFormat="1" applyFont="1" applyFill="1" applyBorder="1" applyAlignment="1" quotePrefix="1">
      <alignment horizontal="center" vertical="center"/>
    </xf>
    <xf numFmtId="49" fontId="41" fillId="7" borderId="25" xfId="0" applyNumberFormat="1" applyFont="1" applyFill="1" applyBorder="1" applyAlignment="1" quotePrefix="1">
      <alignment horizontal="center" vertical="center"/>
    </xf>
    <xf numFmtId="49" fontId="41" fillId="7" borderId="241" xfId="0" applyNumberFormat="1" applyFont="1" applyFill="1" applyBorder="1" applyAlignment="1" quotePrefix="1">
      <alignment horizontal="center" vertical="center"/>
    </xf>
    <xf numFmtId="0" fontId="40" fillId="7" borderId="240" xfId="0" applyFont="1" applyFill="1" applyBorder="1" applyAlignment="1">
      <alignment vertical="center"/>
    </xf>
    <xf numFmtId="0" fontId="40" fillId="7" borderId="24" xfId="0" applyFont="1" applyFill="1" applyBorder="1" applyAlignment="1">
      <alignment vertical="center"/>
    </xf>
    <xf numFmtId="0" fontId="40" fillId="7" borderId="25" xfId="0" applyFont="1" applyFill="1" applyBorder="1" applyAlignment="1">
      <alignment vertical="center"/>
    </xf>
    <xf numFmtId="0" fontId="41" fillId="7" borderId="131" xfId="0" applyFont="1" applyFill="1" applyBorder="1" applyAlignment="1">
      <alignment/>
    </xf>
    <xf numFmtId="0" fontId="41" fillId="7" borderId="24" xfId="0" applyFont="1" applyFill="1" applyBorder="1" applyAlignment="1">
      <alignment/>
    </xf>
    <xf numFmtId="0" fontId="41" fillId="7" borderId="25" xfId="0" applyFont="1" applyFill="1" applyBorder="1" applyAlignment="1">
      <alignment/>
    </xf>
    <xf numFmtId="0" fontId="41" fillId="7" borderId="25" xfId="0" applyNumberFormat="1" applyFont="1" applyFill="1" applyBorder="1" applyAlignment="1" quotePrefix="1">
      <alignment horizontal="center" vertical="center"/>
    </xf>
    <xf numFmtId="16" fontId="41" fillId="7" borderId="131" xfId="0" applyNumberFormat="1" applyFont="1" applyFill="1" applyBorder="1" applyAlignment="1" quotePrefix="1">
      <alignment horizontal="center" vertical="center"/>
    </xf>
    <xf numFmtId="16" fontId="41" fillId="7" borderId="241" xfId="0" applyNumberFormat="1" applyFont="1" applyFill="1" applyBorder="1" applyAlignment="1" quotePrefix="1">
      <alignment horizontal="center" vertical="center"/>
    </xf>
    <xf numFmtId="16" fontId="41" fillId="7" borderId="131" xfId="0" applyNumberFormat="1" applyFont="1" applyFill="1" applyBorder="1" applyAlignment="1" quotePrefix="1">
      <alignment horizontal="center"/>
    </xf>
    <xf numFmtId="16" fontId="41" fillId="7" borderId="25" xfId="0" applyNumberFormat="1" applyFont="1" applyFill="1" applyBorder="1" applyAlignment="1" quotePrefix="1">
      <alignment horizontal="center"/>
    </xf>
    <xf numFmtId="0" fontId="40" fillId="7" borderId="234" xfId="0" applyFont="1" applyFill="1" applyBorder="1" applyAlignment="1">
      <alignment horizontal="left" vertical="center"/>
    </xf>
    <xf numFmtId="0" fontId="40" fillId="7" borderId="21" xfId="0" applyFont="1" applyFill="1" applyBorder="1" applyAlignment="1">
      <alignment horizontal="left" vertical="center"/>
    </xf>
    <xf numFmtId="0" fontId="40" fillId="7" borderId="33" xfId="0" applyFont="1" applyFill="1" applyBorder="1" applyAlignment="1">
      <alignment horizontal="left" vertical="center"/>
    </xf>
    <xf numFmtId="0" fontId="41" fillId="7" borderId="131" xfId="0" applyNumberFormat="1" applyFont="1" applyFill="1" applyBorder="1" applyAlignment="1">
      <alignment horizontal="left" vertical="center"/>
    </xf>
    <xf numFmtId="0" fontId="41" fillId="7" borderId="24" xfId="0" applyNumberFormat="1" applyFont="1" applyFill="1" applyBorder="1" applyAlignment="1">
      <alignment horizontal="left" vertical="center"/>
    </xf>
    <xf numFmtId="0" fontId="41" fillId="7" borderId="25" xfId="0" applyNumberFormat="1" applyFont="1" applyFill="1" applyBorder="1" applyAlignment="1">
      <alignment horizontal="left" vertical="center"/>
    </xf>
    <xf numFmtId="0" fontId="41" fillId="7" borderId="131" xfId="0" applyNumberFormat="1" applyFont="1" applyFill="1" applyBorder="1" applyAlignment="1">
      <alignment horizontal="center" vertical="center"/>
    </xf>
    <xf numFmtId="0" fontId="41" fillId="7" borderId="25" xfId="0" applyNumberFormat="1" applyFont="1" applyFill="1" applyBorder="1" applyAlignment="1">
      <alignment horizontal="center" vertical="center"/>
    </xf>
    <xf numFmtId="16" fontId="41" fillId="7" borderId="131" xfId="0" applyNumberFormat="1" applyFont="1" applyFill="1" applyBorder="1" applyAlignment="1" quotePrefix="1">
      <alignment horizontal="center" vertical="center" wrapText="1"/>
    </xf>
    <xf numFmtId="16" fontId="41" fillId="7" borderId="25" xfId="0" applyNumberFormat="1" applyFont="1" applyFill="1" applyBorder="1" applyAlignment="1" quotePrefix="1">
      <alignment horizontal="center" vertical="center" wrapText="1"/>
    </xf>
    <xf numFmtId="0" fontId="40" fillId="7" borderId="236" xfId="0" applyNumberFormat="1" applyFont="1" applyFill="1" applyBorder="1" applyAlignment="1">
      <alignment horizontal="left" vertical="center"/>
    </xf>
    <xf numFmtId="0" fontId="40" fillId="7" borderId="1" xfId="0" applyNumberFormat="1" applyFont="1" applyFill="1" applyBorder="1" applyAlignment="1">
      <alignment horizontal="left" vertical="center"/>
    </xf>
    <xf numFmtId="0" fontId="40" fillId="7" borderId="31" xfId="0" applyNumberFormat="1" applyFont="1" applyFill="1" applyBorder="1" applyAlignment="1">
      <alignment horizontal="left" vertical="center"/>
    </xf>
    <xf numFmtId="0" fontId="40" fillId="7" borderId="234" xfId="0" applyNumberFormat="1" applyFont="1" applyFill="1" applyBorder="1" applyAlignment="1">
      <alignment horizontal="left" vertical="center"/>
    </xf>
    <xf numFmtId="0" fontId="40" fillId="7" borderId="21" xfId="0" applyNumberFormat="1" applyFont="1" applyFill="1" applyBorder="1" applyAlignment="1">
      <alignment horizontal="left" vertical="center"/>
    </xf>
    <xf numFmtId="0" fontId="40" fillId="7" borderId="33" xfId="0" applyNumberFormat="1" applyFont="1" applyFill="1" applyBorder="1" applyAlignment="1">
      <alignment horizontal="left" vertical="center"/>
    </xf>
    <xf numFmtId="0" fontId="0" fillId="7" borderId="240" xfId="0" applyFill="1" applyBorder="1" applyAlignment="1">
      <alignment/>
    </xf>
    <xf numFmtId="0" fontId="0" fillId="7" borderId="24" xfId="0" applyFill="1" applyBorder="1" applyAlignment="1">
      <alignment/>
    </xf>
    <xf numFmtId="0" fontId="0" fillId="7" borderId="241" xfId="0" applyFill="1" applyBorder="1" applyAlignment="1">
      <alignment/>
    </xf>
    <xf numFmtId="0" fontId="21" fillId="7" borderId="236" xfId="0" applyFont="1" applyFill="1" applyBorder="1" applyAlignment="1">
      <alignment horizontal="left" vertical="center" wrapText="1"/>
    </xf>
    <xf numFmtId="0" fontId="21" fillId="7" borderId="1" xfId="0" applyFont="1" applyFill="1" applyBorder="1" applyAlignment="1">
      <alignment horizontal="left" vertical="center" wrapText="1"/>
    </xf>
    <xf numFmtId="0" fontId="21" fillId="7" borderId="31" xfId="0" applyFont="1" applyFill="1" applyBorder="1" applyAlignment="1">
      <alignment horizontal="left" vertical="center" wrapText="1"/>
    </xf>
    <xf numFmtId="0" fontId="21" fillId="7" borderId="234" xfId="0" applyFont="1" applyFill="1" applyBorder="1" applyAlignment="1">
      <alignment horizontal="left" vertical="center" wrapText="1"/>
    </xf>
    <xf numFmtId="0" fontId="21" fillId="7" borderId="21" xfId="0" applyFont="1" applyFill="1" applyBorder="1" applyAlignment="1">
      <alignment horizontal="left" vertical="center" wrapText="1"/>
    </xf>
    <xf numFmtId="0" fontId="21" fillId="7" borderId="33" xfId="0" applyFont="1" applyFill="1" applyBorder="1" applyAlignment="1">
      <alignment horizontal="left" vertical="center" wrapText="1"/>
    </xf>
    <xf numFmtId="0" fontId="41" fillId="7" borderId="24" xfId="0" applyFont="1" applyFill="1" applyBorder="1" applyAlignment="1">
      <alignment horizontal="center" vertical="center"/>
    </xf>
    <xf numFmtId="0" fontId="41" fillId="7" borderId="241" xfId="0" applyFont="1" applyFill="1" applyBorder="1" applyAlignment="1">
      <alignment horizontal="center" vertical="center"/>
    </xf>
    <xf numFmtId="0" fontId="41" fillId="7" borderId="236" xfId="0" applyFont="1" applyFill="1" applyBorder="1" applyAlignment="1">
      <alignment horizontal="center" vertical="top"/>
    </xf>
    <xf numFmtId="0" fontId="41" fillId="7" borderId="1" xfId="0" applyFont="1" applyFill="1" applyBorder="1" applyAlignment="1">
      <alignment horizontal="center" vertical="top"/>
    </xf>
    <xf numFmtId="0" fontId="41" fillId="7" borderId="31" xfId="0" applyFont="1" applyFill="1" applyBorder="1" applyAlignment="1">
      <alignment horizontal="center" vertical="top"/>
    </xf>
    <xf numFmtId="0" fontId="41" fillId="7" borderId="229" xfId="0" applyFont="1" applyFill="1" applyBorder="1" applyAlignment="1">
      <alignment horizontal="center" vertical="top"/>
    </xf>
    <xf numFmtId="0" fontId="41" fillId="7" borderId="0" xfId="0" applyFont="1" applyFill="1" applyBorder="1" applyAlignment="1">
      <alignment horizontal="center" vertical="top"/>
    </xf>
    <xf numFmtId="0" fontId="41" fillId="7" borderId="32" xfId="0" applyFont="1" applyFill="1" applyBorder="1" applyAlignment="1">
      <alignment horizontal="center" vertical="top"/>
    </xf>
    <xf numFmtId="0" fontId="41" fillId="7" borderId="234" xfId="0" applyFont="1" applyFill="1" applyBorder="1" applyAlignment="1">
      <alignment horizontal="center" vertical="top"/>
    </xf>
    <xf numFmtId="0" fontId="41" fillId="7" borderId="21" xfId="0" applyFont="1" applyFill="1" applyBorder="1" applyAlignment="1">
      <alignment horizontal="center" vertical="top"/>
    </xf>
    <xf numFmtId="0" fontId="41" fillId="7" borderId="33" xfId="0" applyFont="1" applyFill="1" applyBorder="1" applyAlignment="1">
      <alignment horizontal="center" vertical="top"/>
    </xf>
    <xf numFmtId="0" fontId="41" fillId="7" borderId="30" xfId="0" applyFont="1" applyFill="1" applyBorder="1" applyAlignment="1">
      <alignment horizontal="center" vertical="top"/>
    </xf>
    <xf numFmtId="0" fontId="41" fillId="7" borderId="23" xfId="0" applyFont="1" applyFill="1" applyBorder="1" applyAlignment="1">
      <alignment horizontal="center" vertical="top"/>
    </xf>
    <xf numFmtId="0" fontId="41" fillId="7" borderId="22" xfId="0" applyFont="1" applyFill="1" applyBorder="1" applyAlignment="1">
      <alignment horizontal="center" vertical="top"/>
    </xf>
    <xf numFmtId="0" fontId="41" fillId="7" borderId="22" xfId="0" applyFont="1" applyFill="1" applyBorder="1" applyAlignment="1">
      <alignment horizontal="center" vertical="top" wrapText="1"/>
    </xf>
    <xf numFmtId="0" fontId="41" fillId="7" borderId="21" xfId="0" applyFont="1" applyFill="1" applyBorder="1" applyAlignment="1">
      <alignment horizontal="center" vertical="top" wrapText="1"/>
    </xf>
    <xf numFmtId="0" fontId="41" fillId="7" borderId="235" xfId="0" applyFont="1" applyFill="1" applyBorder="1" applyAlignment="1">
      <alignment horizontal="center" vertical="top" wrapText="1"/>
    </xf>
    <xf numFmtId="0" fontId="0" fillId="7" borderId="236" xfId="0" applyFill="1" applyBorder="1" applyAlignment="1">
      <alignment/>
    </xf>
    <xf numFmtId="0" fontId="0" fillId="7" borderId="1" xfId="0" applyFill="1" applyBorder="1" applyAlignment="1">
      <alignment/>
    </xf>
    <xf numFmtId="0" fontId="0" fillId="7" borderId="237" xfId="0" applyFill="1" applyBorder="1" applyAlignment="1">
      <alignment/>
    </xf>
    <xf numFmtId="0" fontId="40" fillId="7" borderId="131" xfId="0" applyFont="1" applyFill="1" applyBorder="1" applyAlignment="1">
      <alignment/>
    </xf>
    <xf numFmtId="0" fontId="40" fillId="7" borderId="25" xfId="0" applyFont="1" applyFill="1" applyBorder="1" applyAlignment="1">
      <alignment/>
    </xf>
    <xf numFmtId="0" fontId="41" fillId="7" borderId="234" xfId="0" applyFont="1" applyFill="1" applyBorder="1" applyAlignment="1">
      <alignment horizontal="center" vertical="top" wrapText="1"/>
    </xf>
    <xf numFmtId="0" fontId="41" fillId="7" borderId="33" xfId="0" applyFont="1" applyFill="1" applyBorder="1" applyAlignment="1">
      <alignment horizontal="center" vertical="top" wrapText="1"/>
    </xf>
    <xf numFmtId="0" fontId="0" fillId="7" borderId="245" xfId="0" applyFill="1" applyBorder="1" applyAlignment="1">
      <alignment/>
    </xf>
    <xf numFmtId="0" fontId="41" fillId="7" borderId="78" xfId="0" applyFont="1" applyFill="1" applyBorder="1" applyAlignment="1">
      <alignment horizontal="left" vertical="top" wrapText="1"/>
    </xf>
    <xf numFmtId="0" fontId="41" fillId="7" borderId="81" xfId="0" applyFont="1" applyFill="1" applyBorder="1" applyAlignment="1">
      <alignment horizontal="left" vertical="top" wrapText="1"/>
    </xf>
    <xf numFmtId="0" fontId="41" fillId="7" borderId="229" xfId="0" applyFont="1" applyFill="1" applyBorder="1" applyAlignment="1">
      <alignment horizontal="left" vertical="top" wrapText="1"/>
    </xf>
    <xf numFmtId="0" fontId="41" fillId="7" borderId="0" xfId="0" applyFont="1" applyFill="1" applyBorder="1" applyAlignment="1">
      <alignment horizontal="left" vertical="top" wrapText="1"/>
    </xf>
    <xf numFmtId="0" fontId="41" fillId="7" borderId="230" xfId="0" applyFont="1" applyFill="1" applyBorder="1" applyAlignment="1">
      <alignment horizontal="left" vertical="top" wrapText="1"/>
    </xf>
    <xf numFmtId="0" fontId="41" fillId="7" borderId="30" xfId="0" applyFont="1" applyFill="1" applyBorder="1" applyAlignment="1">
      <alignment horizontal="center" vertical="center" wrapText="1"/>
    </xf>
    <xf numFmtId="0" fontId="41" fillId="7" borderId="1" xfId="0" applyFont="1" applyFill="1" applyBorder="1" applyAlignment="1">
      <alignment horizontal="center" vertical="center" wrapText="1"/>
    </xf>
    <xf numFmtId="0" fontId="41" fillId="7" borderId="31" xfId="0" applyFont="1" applyFill="1" applyBorder="1" applyAlignment="1">
      <alignment horizontal="center" vertical="center" wrapText="1"/>
    </xf>
    <xf numFmtId="0" fontId="41" fillId="7" borderId="23" xfId="0" applyFont="1" applyFill="1" applyBorder="1" applyAlignment="1">
      <alignment horizontal="center" vertical="center" wrapText="1"/>
    </xf>
    <xf numFmtId="0" fontId="41" fillId="7" borderId="0" xfId="0" applyFont="1" applyFill="1" applyBorder="1" applyAlignment="1">
      <alignment horizontal="center" vertical="center" wrapText="1"/>
    </xf>
    <xf numFmtId="0" fontId="41" fillId="7" borderId="32" xfId="0" applyFont="1" applyFill="1" applyBorder="1" applyAlignment="1">
      <alignment horizontal="center" vertical="center" wrapText="1"/>
    </xf>
    <xf numFmtId="0" fontId="41" fillId="7" borderId="239" xfId="0" applyFont="1" applyFill="1" applyBorder="1" applyAlignment="1">
      <alignment horizontal="center" vertical="center" wrapText="1"/>
    </xf>
    <xf numFmtId="0" fontId="41" fillId="7" borderId="232" xfId="0" applyFont="1" applyFill="1" applyBorder="1" applyAlignment="1">
      <alignment horizontal="center" vertical="center" wrapText="1"/>
    </xf>
    <xf numFmtId="0" fontId="41" fillId="7" borderId="238" xfId="0" applyFont="1" applyFill="1" applyBorder="1" applyAlignment="1">
      <alignment horizontal="center" vertical="center" wrapText="1"/>
    </xf>
    <xf numFmtId="0" fontId="41" fillId="7" borderId="237" xfId="0" applyFont="1" applyFill="1" applyBorder="1" applyAlignment="1">
      <alignment horizontal="center" vertical="top"/>
    </xf>
    <xf numFmtId="0" fontId="41" fillId="7" borderId="230" xfId="0" applyFont="1" applyFill="1" applyBorder="1" applyAlignment="1">
      <alignment horizontal="center" vertical="top"/>
    </xf>
    <xf numFmtId="0" fontId="41" fillId="7" borderId="239" xfId="0" applyFont="1" applyFill="1" applyBorder="1" applyAlignment="1">
      <alignment horizontal="center" vertical="top"/>
    </xf>
    <xf numFmtId="0" fontId="41" fillId="7" borderId="232" xfId="0" applyFont="1" applyFill="1" applyBorder="1" applyAlignment="1">
      <alignment horizontal="center" vertical="top"/>
    </xf>
    <xf numFmtId="0" fontId="41" fillId="7" borderId="233" xfId="0" applyFont="1" applyFill="1" applyBorder="1" applyAlignment="1">
      <alignment horizontal="center" vertical="top"/>
    </xf>
    <xf numFmtId="0" fontId="41" fillId="7" borderId="236" xfId="0" applyFont="1" applyFill="1" applyBorder="1" applyAlignment="1">
      <alignment horizontal="center" vertical="center" wrapText="1"/>
    </xf>
    <xf numFmtId="0" fontId="41" fillId="7" borderId="1" xfId="0" applyFont="1" applyFill="1" applyBorder="1" applyAlignment="1">
      <alignment horizontal="center" vertical="center"/>
    </xf>
    <xf numFmtId="0" fontId="41" fillId="7" borderId="234" xfId="0" applyFont="1" applyFill="1" applyBorder="1" applyAlignment="1">
      <alignment horizontal="center" vertical="center"/>
    </xf>
    <xf numFmtId="0" fontId="41" fillId="7" borderId="21" xfId="0" applyFont="1" applyFill="1" applyBorder="1" applyAlignment="1">
      <alignment horizontal="center" vertical="center"/>
    </xf>
    <xf numFmtId="0" fontId="41" fillId="7" borderId="33" xfId="0" applyFont="1" applyFill="1" applyBorder="1" applyAlignment="1">
      <alignment horizontal="center" vertical="center"/>
    </xf>
    <xf numFmtId="0" fontId="41" fillId="7" borderId="22" xfId="0" applyFont="1" applyFill="1" applyBorder="1" applyAlignment="1">
      <alignment horizontal="center" vertical="center"/>
    </xf>
    <xf numFmtId="0" fontId="41" fillId="7" borderId="237" xfId="0" applyFont="1" applyFill="1" applyBorder="1" applyAlignment="1">
      <alignment horizontal="center" vertical="center"/>
    </xf>
    <xf numFmtId="0" fontId="41" fillId="7" borderId="235" xfId="0" applyFont="1" applyFill="1" applyBorder="1" applyAlignment="1">
      <alignment horizontal="center" vertical="center"/>
    </xf>
    <xf numFmtId="0" fontId="40" fillId="7" borderId="229" xfId="0" applyFont="1" applyFill="1" applyBorder="1" applyAlignment="1">
      <alignment/>
    </xf>
    <xf numFmtId="0" fontId="40" fillId="7" borderId="0" xfId="0" applyFont="1" applyFill="1" applyBorder="1" applyAlignment="1">
      <alignment/>
    </xf>
    <xf numFmtId="0" fontId="40" fillId="7" borderId="230" xfId="0" applyFont="1" applyFill="1" applyBorder="1" applyAlignment="1">
      <alignment/>
    </xf>
    <xf numFmtId="0" fontId="44" fillId="7" borderId="80" xfId="0" applyFont="1" applyFill="1" applyBorder="1" applyAlignment="1">
      <alignment horizontal="left" vertical="top" wrapText="1"/>
    </xf>
    <xf numFmtId="0" fontId="42" fillId="7" borderId="78" xfId="0" applyFont="1" applyFill="1" applyBorder="1" applyAlignment="1">
      <alignment horizontal="left" vertical="top" wrapText="1"/>
    </xf>
    <xf numFmtId="0" fontId="42" fillId="7" borderId="81" xfId="0" applyFont="1" applyFill="1" applyBorder="1" applyAlignment="1">
      <alignment horizontal="left" vertical="top" wrapText="1"/>
    </xf>
    <xf numFmtId="0" fontId="42" fillId="7" borderId="229" xfId="0" applyFont="1" applyFill="1" applyBorder="1" applyAlignment="1">
      <alignment horizontal="left" vertical="top" wrapText="1"/>
    </xf>
    <xf numFmtId="0" fontId="42" fillId="7" borderId="0" xfId="0" applyFont="1" applyFill="1" applyBorder="1" applyAlignment="1">
      <alignment horizontal="left" vertical="top" wrapText="1"/>
    </xf>
    <xf numFmtId="0" fontId="42" fillId="7" borderId="230" xfId="0" applyFont="1" applyFill="1" applyBorder="1" applyAlignment="1">
      <alignment horizontal="left" vertical="top" wrapText="1"/>
    </xf>
    <xf numFmtId="0" fontId="44" fillId="7" borderId="229" xfId="0" applyFont="1" applyFill="1" applyBorder="1" applyAlignment="1">
      <alignment/>
    </xf>
    <xf numFmtId="0" fontId="44" fillId="7" borderId="0" xfId="0" applyFont="1" applyFill="1" applyBorder="1" applyAlignment="1">
      <alignment/>
    </xf>
    <xf numFmtId="0" fontId="44" fillId="7" borderId="230" xfId="0" applyFont="1" applyFill="1" applyBorder="1" applyAlignment="1">
      <alignment/>
    </xf>
    <xf numFmtId="0" fontId="40" fillId="14" borderId="240" xfId="0" applyFont="1" applyFill="1" applyBorder="1" applyAlignment="1">
      <alignment horizontal="center" vertical="center" wrapText="1"/>
    </xf>
    <xf numFmtId="0" fontId="40" fillId="14" borderId="24" xfId="0" applyFont="1" applyFill="1" applyBorder="1" applyAlignment="1">
      <alignment horizontal="center" vertical="center" wrapText="1"/>
    </xf>
    <xf numFmtId="0" fontId="40" fillId="14" borderId="25" xfId="0" applyFont="1" applyFill="1" applyBorder="1" applyAlignment="1">
      <alignment horizontal="center" vertical="center" wrapText="1"/>
    </xf>
    <xf numFmtId="0" fontId="40" fillId="14" borderId="131" xfId="0" applyFont="1" applyFill="1" applyBorder="1" applyAlignment="1">
      <alignment horizontal="center" vertical="center" wrapText="1"/>
    </xf>
    <xf numFmtId="0" fontId="40" fillId="14" borderId="241" xfId="0" applyFont="1" applyFill="1" applyBorder="1" applyAlignment="1">
      <alignment horizontal="center" vertical="center" wrapText="1"/>
    </xf>
    <xf numFmtId="0" fontId="47" fillId="7" borderId="0" xfId="0" applyFont="1" applyFill="1" applyAlignment="1">
      <alignment horizontal="left" vertical="center"/>
    </xf>
    <xf numFmtId="0" fontId="44" fillId="7" borderId="0" xfId="0" applyFont="1" applyFill="1" applyAlignment="1">
      <alignment horizontal="center"/>
    </xf>
    <xf numFmtId="0" fontId="42" fillId="7" borderId="0" xfId="0" applyFont="1" applyFill="1" applyAlignment="1">
      <alignment horizontal="left" vertical="top" wrapText="1"/>
    </xf>
    <xf numFmtId="0" fontId="40" fillId="7" borderId="30" xfId="0" applyFont="1" applyFill="1" applyBorder="1" applyAlignment="1">
      <alignment horizontal="center" vertical="center" wrapText="1"/>
    </xf>
    <xf numFmtId="0" fontId="40" fillId="7" borderId="1" xfId="0" applyFont="1" applyFill="1" applyBorder="1" applyAlignment="1">
      <alignment horizontal="center" vertical="center" wrapText="1"/>
    </xf>
    <xf numFmtId="0" fontId="40" fillId="7" borderId="31" xfId="0" applyFont="1" applyFill="1" applyBorder="1" applyAlignment="1">
      <alignment horizontal="center" vertical="center" wrapText="1"/>
    </xf>
    <xf numFmtId="0" fontId="40" fillId="7" borderId="23" xfId="0" applyFont="1" applyFill="1" applyBorder="1" applyAlignment="1">
      <alignment horizontal="center" vertical="center" wrapText="1"/>
    </xf>
    <xf numFmtId="0" fontId="40" fillId="7" borderId="0" xfId="0" applyFont="1" applyFill="1" applyBorder="1" applyAlignment="1">
      <alignment horizontal="center" vertical="center" wrapText="1"/>
    </xf>
    <xf numFmtId="0" fontId="40" fillId="7" borderId="32" xfId="0" applyFont="1" applyFill="1" applyBorder="1" applyAlignment="1">
      <alignment horizontal="center" vertical="center" wrapText="1"/>
    </xf>
    <xf numFmtId="0" fontId="40" fillId="7" borderId="22" xfId="0" applyFont="1" applyFill="1" applyBorder="1" applyAlignment="1">
      <alignment horizontal="center" vertical="center" wrapText="1"/>
    </xf>
    <xf numFmtId="0" fontId="40" fillId="7" borderId="21" xfId="0" applyFont="1" applyFill="1" applyBorder="1" applyAlignment="1">
      <alignment horizontal="center" vertical="center" wrapText="1"/>
    </xf>
    <xf numFmtId="0" fontId="40" fillId="7" borderId="33" xfId="0" applyFont="1" applyFill="1" applyBorder="1" applyAlignment="1">
      <alignment horizontal="center" vertical="center" wrapText="1"/>
    </xf>
    <xf numFmtId="0" fontId="44" fillId="7" borderId="0" xfId="0" applyFont="1" applyFill="1" applyAlignment="1" applyProtection="1">
      <alignment horizontal="center"/>
      <protection/>
    </xf>
    <xf numFmtId="0" fontId="16" fillId="0" borderId="131" xfId="0" applyFont="1" applyBorder="1" applyAlignment="1">
      <alignment horizontal="left" vertical="center" wrapText="1"/>
    </xf>
    <xf numFmtId="0" fontId="16" fillId="0" borderId="24" xfId="0" applyFont="1" applyBorder="1" applyAlignment="1">
      <alignment horizontal="left" vertical="center" wrapText="1"/>
    </xf>
    <xf numFmtId="0" fontId="16" fillId="0" borderId="25" xfId="0" applyFont="1" applyBorder="1" applyAlignment="1">
      <alignment horizontal="left" vertical="center" wrapText="1"/>
    </xf>
    <xf numFmtId="0" fontId="43" fillId="7" borderId="0" xfId="0" applyFont="1" applyFill="1" applyAlignment="1">
      <alignment horizontal="center"/>
    </xf>
    <xf numFmtId="0" fontId="21" fillId="0" borderId="24" xfId="0" applyFont="1" applyBorder="1" applyAlignment="1">
      <alignment horizontal="center" vertical="distributed"/>
    </xf>
    <xf numFmtId="0" fontId="21" fillId="0" borderId="131" xfId="0" applyFont="1" applyBorder="1" applyAlignment="1">
      <alignment horizontal="left" vertical="top" wrapText="1"/>
    </xf>
    <xf numFmtId="0" fontId="16" fillId="0" borderId="25" xfId="0" applyFont="1" applyBorder="1" applyAlignment="1">
      <alignment horizontal="left" vertical="top" wrapText="1"/>
    </xf>
    <xf numFmtId="0" fontId="16" fillId="0" borderId="131" xfId="0" applyFont="1" applyBorder="1" applyAlignment="1">
      <alignment horizontal="left" vertical="top" wrapText="1"/>
    </xf>
    <xf numFmtId="0" fontId="16" fillId="0" borderId="24" xfId="0" applyFont="1" applyBorder="1" applyAlignment="1">
      <alignment horizontal="left" vertical="top" wrapText="1"/>
    </xf>
    <xf numFmtId="1" fontId="81" fillId="5" borderId="131" xfId="0" applyNumberFormat="1" applyFont="1" applyFill="1" applyBorder="1" applyAlignment="1" applyProtection="1">
      <alignment horizontal="center" vertical="center" wrapText="1"/>
      <protection locked="0"/>
    </xf>
    <xf numFmtId="1" fontId="81" fillId="5" borderId="25" xfId="0" applyNumberFormat="1" applyFont="1" applyFill="1" applyBorder="1" applyAlignment="1" applyProtection="1">
      <alignment horizontal="center" vertical="center" wrapText="1"/>
      <protection locked="0"/>
    </xf>
    <xf numFmtId="0" fontId="17" fillId="0" borderId="131"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1" fontId="17" fillId="3" borderId="131" xfId="0" applyNumberFormat="1" applyFont="1" applyFill="1" applyBorder="1" applyAlignment="1">
      <alignment horizontal="center" vertical="center"/>
    </xf>
    <xf numFmtId="1" fontId="17" fillId="3" borderId="25" xfId="0" applyNumberFormat="1" applyFont="1" applyFill="1" applyBorder="1" applyAlignment="1">
      <alignment horizontal="center" vertical="center"/>
    </xf>
    <xf numFmtId="0" fontId="16" fillId="0" borderId="131" xfId="0" applyFont="1" applyBorder="1" applyAlignment="1">
      <alignment horizontal="center" vertical="top" wrapText="1"/>
    </xf>
    <xf numFmtId="0" fontId="16" fillId="0" borderId="25" xfId="0" applyFont="1" applyBorder="1" applyAlignment="1">
      <alignment horizontal="center" vertical="top" wrapText="1"/>
    </xf>
    <xf numFmtId="1" fontId="17" fillId="5" borderId="131" xfId="0" applyNumberFormat="1" applyFont="1" applyFill="1" applyBorder="1" applyAlignment="1" applyProtection="1">
      <alignment horizontal="center" vertical="center" wrapText="1"/>
      <protection locked="0"/>
    </xf>
    <xf numFmtId="1" fontId="17" fillId="5" borderId="25" xfId="0" applyNumberFormat="1" applyFont="1" applyFill="1" applyBorder="1" applyAlignment="1" applyProtection="1">
      <alignment horizontal="center" vertical="center" wrapText="1"/>
      <protection locked="0"/>
    </xf>
    <xf numFmtId="1" fontId="17" fillId="3" borderId="131" xfId="0" applyNumberFormat="1" applyFont="1" applyFill="1" applyBorder="1" applyAlignment="1">
      <alignment horizontal="center" vertical="center" wrapText="1"/>
    </xf>
    <xf numFmtId="1" fontId="17" fillId="3" borderId="25" xfId="0" applyNumberFormat="1" applyFont="1" applyFill="1" applyBorder="1" applyAlignment="1">
      <alignment horizontal="center" vertical="center" wrapText="1"/>
    </xf>
    <xf numFmtId="1" fontId="17" fillId="5" borderId="131" xfId="0" applyNumberFormat="1" applyFont="1" applyFill="1" applyBorder="1" applyAlignment="1" applyProtection="1">
      <alignment horizontal="center" vertical="center"/>
      <protection locked="0"/>
    </xf>
    <xf numFmtId="1" fontId="17" fillId="5" borderId="25" xfId="0" applyNumberFormat="1" applyFont="1" applyFill="1" applyBorder="1" applyAlignment="1" applyProtection="1">
      <alignment horizontal="center" vertical="center"/>
      <protection locked="0"/>
    </xf>
    <xf numFmtId="0" fontId="21" fillId="0" borderId="30" xfId="0" applyFont="1" applyBorder="1" applyAlignment="1">
      <alignment horizontal="left" vertical="top" wrapText="1"/>
    </xf>
    <xf numFmtId="0" fontId="21" fillId="0" borderId="31" xfId="0" applyFont="1" applyBorder="1" applyAlignment="1">
      <alignment horizontal="left" vertical="top" wrapText="1"/>
    </xf>
    <xf numFmtId="0" fontId="21" fillId="0" borderId="22" xfId="0" applyFont="1" applyBorder="1" applyAlignment="1">
      <alignment horizontal="left" vertical="top" wrapText="1"/>
    </xf>
    <xf numFmtId="0" fontId="21" fillId="0" borderId="33" xfId="0" applyFont="1" applyBorder="1" applyAlignment="1">
      <alignment horizontal="left" vertical="top" wrapText="1"/>
    </xf>
    <xf numFmtId="0" fontId="21" fillId="0" borderId="25" xfId="0" applyFont="1" applyBorder="1" applyAlignment="1">
      <alignment horizontal="left" vertical="top" wrapText="1"/>
    </xf>
    <xf numFmtId="0" fontId="21" fillId="0" borderId="131" xfId="0" applyFont="1" applyFill="1" applyBorder="1" applyAlignment="1">
      <alignment vertical="top" wrapText="1"/>
    </xf>
    <xf numFmtId="0" fontId="21" fillId="0" borderId="25" xfId="0" applyFont="1" applyFill="1" applyBorder="1" applyAlignment="1">
      <alignment vertical="top" wrapText="1"/>
    </xf>
    <xf numFmtId="0" fontId="2" fillId="3" borderId="21" xfId="0" applyFont="1" applyFill="1" applyBorder="1" applyAlignment="1">
      <alignment horizontal="center"/>
    </xf>
    <xf numFmtId="14" fontId="2" fillId="3" borderId="21" xfId="0" applyNumberFormat="1" applyFont="1" applyFill="1" applyBorder="1" applyAlignment="1">
      <alignment horizontal="center"/>
    </xf>
    <xf numFmtId="0" fontId="21" fillId="0" borderId="30" xfId="0" applyNumberFormat="1" applyFont="1" applyBorder="1" applyAlignment="1">
      <alignment horizontal="center" vertical="distributed" wrapText="1"/>
    </xf>
    <xf numFmtId="0" fontId="21" fillId="0" borderId="31" xfId="0" applyNumberFormat="1" applyFont="1" applyBorder="1" applyAlignment="1">
      <alignment horizontal="center" vertical="distributed" wrapText="1"/>
    </xf>
    <xf numFmtId="0" fontId="55" fillId="7" borderId="229" xfId="0" applyFont="1" applyFill="1" applyBorder="1" applyAlignment="1" applyProtection="1">
      <alignment horizontal="left" indent="2"/>
      <protection/>
    </xf>
    <xf numFmtId="0" fontId="55" fillId="7" borderId="0" xfId="0" applyFont="1" applyFill="1" applyBorder="1" applyAlignment="1" applyProtection="1">
      <alignment horizontal="left" indent="2"/>
      <protection/>
    </xf>
    <xf numFmtId="0" fontId="55" fillId="7" borderId="230" xfId="0" applyFont="1" applyFill="1" applyBorder="1" applyAlignment="1" applyProtection="1">
      <alignment horizontal="left" indent="2"/>
      <protection/>
    </xf>
    <xf numFmtId="0" fontId="55" fillId="7" borderId="231" xfId="0" applyFont="1" applyFill="1" applyBorder="1" applyAlignment="1" applyProtection="1">
      <alignment horizontal="left" indent="2"/>
      <protection/>
    </xf>
    <xf numFmtId="0" fontId="55" fillId="7" borderId="232" xfId="0" applyFont="1" applyFill="1" applyBorder="1" applyAlignment="1" applyProtection="1">
      <alignment horizontal="left" indent="2"/>
      <protection/>
    </xf>
    <xf numFmtId="0" fontId="55" fillId="7" borderId="233" xfId="0" applyFont="1" applyFill="1" applyBorder="1" applyAlignment="1" applyProtection="1">
      <alignment horizontal="left" indent="2"/>
      <protection/>
    </xf>
    <xf numFmtId="0" fontId="0" fillId="0" borderId="24" xfId="0" applyFont="1" applyBorder="1" applyAlignment="1" applyProtection="1">
      <alignment/>
      <protection locked="0"/>
    </xf>
    <xf numFmtId="0" fontId="55" fillId="7" borderId="229" xfId="0" applyFont="1" applyFill="1" applyBorder="1" applyAlignment="1" applyProtection="1">
      <alignment horizontal="left" vertical="top" wrapText="1" indent="2"/>
      <protection/>
    </xf>
    <xf numFmtId="0" fontId="55" fillId="7" borderId="0" xfId="0" applyFont="1" applyFill="1" applyBorder="1" applyAlignment="1" applyProtection="1">
      <alignment horizontal="left" vertical="top" wrapText="1" indent="2"/>
      <protection/>
    </xf>
    <xf numFmtId="0" fontId="55" fillId="7" borderId="230" xfId="0" applyFont="1" applyFill="1" applyBorder="1" applyAlignment="1" applyProtection="1">
      <alignment horizontal="left" vertical="top" wrapText="1" indent="2"/>
      <protection/>
    </xf>
    <xf numFmtId="0" fontId="41" fillId="7" borderId="246" xfId="0" applyFont="1" applyFill="1" applyBorder="1" applyAlignment="1" applyProtection="1">
      <alignment horizontal="left" vertical="top" wrapText="1"/>
      <protection/>
    </xf>
    <xf numFmtId="0" fontId="41" fillId="7" borderId="244" xfId="0" applyFont="1" applyFill="1" applyBorder="1" applyAlignment="1" applyProtection="1">
      <alignment horizontal="left" vertical="top" wrapText="1"/>
      <protection/>
    </xf>
    <xf numFmtId="0" fontId="44" fillId="7" borderId="80" xfId="0" applyFont="1" applyFill="1" applyBorder="1" applyAlignment="1" applyProtection="1">
      <alignment horizontal="left" vertical="top" wrapText="1"/>
      <protection/>
    </xf>
    <xf numFmtId="0" fontId="44" fillId="7" borderId="78" xfId="0" applyFont="1" applyFill="1" applyBorder="1" applyAlignment="1" applyProtection="1">
      <alignment horizontal="left" vertical="top" wrapText="1"/>
      <protection/>
    </xf>
    <xf numFmtId="0" fontId="44" fillId="7" borderId="81" xfId="0" applyFont="1" applyFill="1" applyBorder="1" applyAlignment="1" applyProtection="1">
      <alignment horizontal="left" vertical="top" wrapText="1"/>
      <protection/>
    </xf>
    <xf numFmtId="0" fontId="44" fillId="7" borderId="229" xfId="0" applyFont="1" applyFill="1" applyBorder="1" applyAlignment="1" applyProtection="1">
      <alignment horizontal="left" vertical="top" wrapText="1"/>
      <protection/>
    </xf>
    <xf numFmtId="0" fontId="44" fillId="7" borderId="0" xfId="0" applyFont="1" applyFill="1" applyBorder="1" applyAlignment="1" applyProtection="1">
      <alignment horizontal="left" vertical="top" wrapText="1"/>
      <protection/>
    </xf>
    <xf numFmtId="0" fontId="44" fillId="7" borderId="230" xfId="0" applyFont="1" applyFill="1" applyBorder="1" applyAlignment="1" applyProtection="1">
      <alignment horizontal="left" vertical="top" wrapText="1"/>
      <protection/>
    </xf>
    <xf numFmtId="0" fontId="44" fillId="7" borderId="234" xfId="0" applyFont="1" applyFill="1" applyBorder="1" applyAlignment="1" applyProtection="1">
      <alignment horizontal="left" vertical="top" wrapText="1"/>
      <protection/>
    </xf>
    <xf numFmtId="0" fontId="44" fillId="7" borderId="21" xfId="0" applyFont="1" applyFill="1" applyBorder="1" applyAlignment="1" applyProtection="1">
      <alignment horizontal="left" vertical="top" wrapText="1"/>
      <protection/>
    </xf>
    <xf numFmtId="0" fontId="44" fillId="7" borderId="235" xfId="0" applyFont="1" applyFill="1" applyBorder="1" applyAlignment="1" applyProtection="1">
      <alignment horizontal="left" vertical="top" wrapText="1"/>
      <protection/>
    </xf>
    <xf numFmtId="0" fontId="55" fillId="7" borderId="236" xfId="0" applyFont="1" applyFill="1" applyBorder="1" applyAlignment="1" applyProtection="1">
      <alignment horizontal="left" indent="2"/>
      <protection/>
    </xf>
    <xf numFmtId="0" fontId="55" fillId="7" borderId="1" xfId="0" applyFont="1" applyFill="1" applyBorder="1" applyAlignment="1" applyProtection="1">
      <alignment horizontal="left" indent="2"/>
      <protection/>
    </xf>
    <xf numFmtId="0" fontId="55" fillId="7" borderId="237" xfId="0" applyFont="1" applyFill="1" applyBorder="1" applyAlignment="1" applyProtection="1">
      <alignment horizontal="left" indent="2"/>
      <protection/>
    </xf>
    <xf numFmtId="0" fontId="40" fillId="7" borderId="242" xfId="0" applyFont="1" applyFill="1" applyBorder="1" applyAlignment="1" applyProtection="1">
      <alignment horizontal="left" vertical="top" wrapText="1"/>
      <protection/>
    </xf>
    <xf numFmtId="0" fontId="0" fillId="7" borderId="247" xfId="0" applyFill="1" applyBorder="1" applyAlignment="1" applyProtection="1">
      <alignment horizontal="left" vertical="top"/>
      <protection/>
    </xf>
    <xf numFmtId="0" fontId="41" fillId="7" borderId="247" xfId="0" applyFont="1" applyFill="1" applyBorder="1" applyAlignment="1" applyProtection="1">
      <alignment horizontal="left" vertical="top" wrapText="1"/>
      <protection/>
    </xf>
    <xf numFmtId="0" fontId="44" fillId="7" borderId="240" xfId="0" applyFont="1" applyFill="1" applyBorder="1" applyAlignment="1" applyProtection="1">
      <alignment vertical="distributed"/>
      <protection/>
    </xf>
    <xf numFmtId="0" fontId="44" fillId="7" borderId="24" xfId="0" applyFont="1" applyFill="1" applyBorder="1" applyAlignment="1" applyProtection="1">
      <alignment vertical="distributed"/>
      <protection/>
    </xf>
    <xf numFmtId="0" fontId="44" fillId="7" borderId="241" xfId="0" applyFont="1" applyFill="1" applyBorder="1" applyAlignment="1" applyProtection="1">
      <alignment vertical="distributed"/>
      <protection/>
    </xf>
    <xf numFmtId="0" fontId="40" fillId="7" borderId="240" xfId="0" applyFont="1" applyFill="1" applyBorder="1" applyAlignment="1" applyProtection="1">
      <alignment horizontal="center" vertical="top" wrapText="1"/>
      <protection/>
    </xf>
    <xf numFmtId="0" fontId="40" fillId="7" borderId="25" xfId="0" applyFont="1" applyFill="1" applyBorder="1" applyAlignment="1" applyProtection="1">
      <alignment horizontal="center" vertical="top" wrapText="1"/>
      <protection/>
    </xf>
    <xf numFmtId="0" fontId="40" fillId="7" borderId="131" xfId="0" applyFont="1" applyFill="1" applyBorder="1" applyAlignment="1" applyProtection="1">
      <alignment horizontal="center" vertical="top" wrapText="1"/>
      <protection/>
    </xf>
    <xf numFmtId="0" fontId="40" fillId="7" borderId="241" xfId="0" applyFont="1" applyFill="1" applyBorder="1" applyAlignment="1" applyProtection="1">
      <alignment horizontal="center" vertical="top" wrapText="1"/>
      <protection/>
    </xf>
    <xf numFmtId="0" fontId="41" fillId="7" borderId="240" xfId="0" applyFont="1" applyFill="1" applyBorder="1" applyAlignment="1" applyProtection="1">
      <alignment horizontal="center" vertical="top" wrapText="1"/>
      <protection/>
    </xf>
    <xf numFmtId="0" fontId="41" fillId="7" borderId="241" xfId="0" applyFont="1" applyFill="1" applyBorder="1" applyAlignment="1" applyProtection="1">
      <alignment horizontal="center" vertical="top" wrapText="1"/>
      <protection/>
    </xf>
    <xf numFmtId="0" fontId="54" fillId="7" borderId="236" xfId="0" applyFont="1" applyFill="1" applyBorder="1" applyAlignment="1" applyProtection="1">
      <alignment horizontal="left" vertical="top" wrapText="1"/>
      <protection/>
    </xf>
    <xf numFmtId="0" fontId="54" fillId="7" borderId="1" xfId="0" applyFont="1" applyFill="1" applyBorder="1" applyAlignment="1" applyProtection="1">
      <alignment horizontal="left" vertical="top" wrapText="1"/>
      <protection/>
    </xf>
    <xf numFmtId="0" fontId="54" fillId="7" borderId="237" xfId="0" applyFont="1" applyFill="1" applyBorder="1" applyAlignment="1" applyProtection="1">
      <alignment horizontal="left" vertical="top" wrapText="1"/>
      <protection/>
    </xf>
    <xf numFmtId="0" fontId="54" fillId="7" borderId="229" xfId="0" applyFont="1" applyFill="1" applyBorder="1" applyAlignment="1" applyProtection="1">
      <alignment horizontal="left" vertical="top" wrapText="1"/>
      <protection/>
    </xf>
    <xf numFmtId="0" fontId="54" fillId="7" borderId="0" xfId="0" applyFont="1" applyFill="1" applyBorder="1" applyAlignment="1" applyProtection="1">
      <alignment horizontal="left" vertical="top" wrapText="1"/>
      <protection/>
    </xf>
    <xf numFmtId="0" fontId="54" fillId="7" borderId="230" xfId="0" applyFont="1" applyFill="1" applyBorder="1" applyAlignment="1" applyProtection="1">
      <alignment horizontal="left" vertical="top" wrapText="1"/>
      <protection/>
    </xf>
    <xf numFmtId="0" fontId="54" fillId="7" borderId="231" xfId="0" applyFont="1" applyFill="1" applyBorder="1" applyAlignment="1" applyProtection="1">
      <alignment horizontal="left" vertical="top" wrapText="1"/>
      <protection/>
    </xf>
    <xf numFmtId="0" fontId="54" fillId="7" borderId="232" xfId="0" applyFont="1" applyFill="1" applyBorder="1" applyAlignment="1" applyProtection="1">
      <alignment horizontal="left" vertical="top" wrapText="1"/>
      <protection/>
    </xf>
    <xf numFmtId="0" fontId="54" fillId="7" borderId="233" xfId="0" applyFont="1" applyFill="1" applyBorder="1" applyAlignment="1" applyProtection="1">
      <alignment horizontal="left" vertical="top" wrapText="1"/>
      <protection/>
    </xf>
    <xf numFmtId="0" fontId="41" fillId="7" borderId="240" xfId="0" applyFont="1" applyFill="1" applyBorder="1" applyAlignment="1" applyProtection="1">
      <alignment vertical="top" wrapText="1"/>
      <protection/>
    </xf>
    <xf numFmtId="0" fontId="41" fillId="7" borderId="241" xfId="0" applyFont="1" applyFill="1" applyBorder="1" applyAlignment="1" applyProtection="1">
      <alignment vertical="top" wrapText="1"/>
      <protection/>
    </xf>
    <xf numFmtId="0" fontId="41" fillId="7" borderId="24" xfId="0" applyFont="1" applyFill="1" applyBorder="1" applyAlignment="1" applyProtection="1">
      <alignment horizontal="center" vertical="top" wrapText="1"/>
      <protection/>
    </xf>
    <xf numFmtId="0" fontId="41" fillId="7" borderId="229" xfId="0" applyFont="1" applyFill="1" applyBorder="1" applyAlignment="1" applyProtection="1">
      <alignment horizontal="center" vertical="top" wrapText="1"/>
      <protection/>
    </xf>
    <xf numFmtId="0" fontId="41" fillId="7" borderId="230" xfId="0" applyFont="1" applyFill="1" applyBorder="1" applyAlignment="1" applyProtection="1">
      <alignment horizontal="center" vertical="top" wrapText="1"/>
      <protection/>
    </xf>
    <xf numFmtId="0" fontId="41" fillId="7" borderId="229" xfId="0" applyFont="1" applyFill="1" applyBorder="1" applyAlignment="1" applyProtection="1">
      <alignment vertical="top" wrapText="1"/>
      <protection/>
    </xf>
    <xf numFmtId="0" fontId="41" fillId="7" borderId="230" xfId="0" applyFont="1" applyFill="1" applyBorder="1" applyAlignment="1" applyProtection="1">
      <alignment vertical="top" wrapText="1"/>
      <protection/>
    </xf>
    <xf numFmtId="0" fontId="41" fillId="7" borderId="0" xfId="0" applyFont="1" applyFill="1" applyBorder="1" applyAlignment="1" applyProtection="1">
      <alignment horizontal="center" vertical="top" wrapText="1"/>
      <protection/>
    </xf>
    <xf numFmtId="0" fontId="41" fillId="7" borderId="246" xfId="0" applyFont="1" applyFill="1" applyBorder="1" applyAlignment="1" applyProtection="1">
      <alignment horizontal="center" vertical="distributed" wrapText="1"/>
      <protection/>
    </xf>
    <xf numFmtId="0" fontId="41" fillId="7" borderId="244" xfId="0" applyFont="1" applyFill="1" applyBorder="1" applyAlignment="1" applyProtection="1">
      <alignment horizontal="center" vertical="distributed" wrapText="1"/>
      <protection/>
    </xf>
    <xf numFmtId="0" fontId="44" fillId="7" borderId="248" xfId="0" applyFont="1" applyFill="1" applyBorder="1" applyAlignment="1" applyProtection="1">
      <alignment vertical="distributed"/>
      <protection/>
    </xf>
    <xf numFmtId="0" fontId="44" fillId="7" borderId="249" xfId="0" applyFont="1" applyFill="1" applyBorder="1" applyAlignment="1" applyProtection="1">
      <alignment vertical="distributed"/>
      <protection/>
    </xf>
    <xf numFmtId="0" fontId="44" fillId="7" borderId="250" xfId="0" applyFont="1" applyFill="1" applyBorder="1" applyAlignment="1" applyProtection="1">
      <alignment vertical="distributed"/>
      <protection/>
    </xf>
    <xf numFmtId="0" fontId="40" fillId="14" borderId="236" xfId="0" applyFont="1" applyFill="1" applyBorder="1" applyAlignment="1" applyProtection="1">
      <alignment horizontal="center" vertical="distributed" wrapText="1"/>
      <protection/>
    </xf>
    <xf numFmtId="0" fontId="40" fillId="14" borderId="31" xfId="0" applyFont="1" applyFill="1" applyBorder="1" applyAlignment="1" applyProtection="1">
      <alignment horizontal="center" vertical="distributed" wrapText="1"/>
      <protection/>
    </xf>
    <xf numFmtId="0" fontId="40" fillId="14" borderId="234" xfId="0" applyFont="1" applyFill="1" applyBorder="1" applyAlignment="1" applyProtection="1">
      <alignment horizontal="center" vertical="distributed" wrapText="1"/>
      <protection/>
    </xf>
    <xf numFmtId="0" fontId="40" fillId="14" borderId="33" xfId="0" applyFont="1" applyFill="1" applyBorder="1" applyAlignment="1" applyProtection="1">
      <alignment horizontal="center" vertical="distributed" wrapText="1"/>
      <protection/>
    </xf>
    <xf numFmtId="0" fontId="44" fillId="14" borderId="30" xfId="0" applyFont="1" applyFill="1" applyBorder="1" applyAlignment="1" applyProtection="1">
      <alignment horizontal="center" vertical="distributed" wrapText="1"/>
      <protection/>
    </xf>
    <xf numFmtId="0" fontId="44" fillId="14" borderId="31" xfId="0" applyFont="1" applyFill="1" applyBorder="1" applyAlignment="1" applyProtection="1">
      <alignment horizontal="center" vertical="distributed" wrapText="1"/>
      <protection/>
    </xf>
    <xf numFmtId="0" fontId="44" fillId="14" borderId="22" xfId="0" applyFont="1" applyFill="1" applyBorder="1" applyAlignment="1" applyProtection="1">
      <alignment horizontal="center" vertical="distributed" wrapText="1"/>
      <protection/>
    </xf>
    <xf numFmtId="0" fontId="44" fillId="14" borderId="33" xfId="0" applyFont="1" applyFill="1" applyBorder="1" applyAlignment="1" applyProtection="1">
      <alignment horizontal="center" vertical="distributed" wrapText="1"/>
      <protection/>
    </xf>
    <xf numFmtId="0" fontId="40" fillId="14" borderId="131" xfId="0" applyFont="1" applyFill="1" applyBorder="1" applyAlignment="1" applyProtection="1">
      <alignment horizontal="center" vertical="distributed" wrapText="1"/>
      <protection/>
    </xf>
    <xf numFmtId="0" fontId="40" fillId="14" borderId="25" xfId="0" applyFont="1" applyFill="1" applyBorder="1" applyAlignment="1" applyProtection="1">
      <alignment horizontal="center" vertical="distributed" wrapText="1"/>
      <protection/>
    </xf>
    <xf numFmtId="0" fontId="40" fillId="14" borderId="241" xfId="0" applyFont="1" applyFill="1" applyBorder="1" applyAlignment="1" applyProtection="1">
      <alignment horizontal="center" vertical="distributed" wrapText="1"/>
      <protection/>
    </xf>
    <xf numFmtId="0" fontId="40" fillId="14" borderId="24" xfId="0" applyFont="1" applyFill="1" applyBorder="1" applyAlignment="1" applyProtection="1">
      <alignment horizontal="center" vertical="distributed" wrapText="1"/>
      <protection/>
    </xf>
    <xf numFmtId="0" fontId="41" fillId="7" borderId="242" xfId="0" applyFont="1" applyFill="1" applyBorder="1" applyAlignment="1" applyProtection="1">
      <alignment vertical="distributed" wrapText="1"/>
      <protection/>
    </xf>
    <xf numFmtId="0" fontId="41" fillId="7" borderId="247" xfId="0" applyFont="1" applyFill="1" applyBorder="1" applyAlignment="1" applyProtection="1">
      <alignment vertical="distributed" wrapText="1"/>
      <protection/>
    </xf>
    <xf numFmtId="0" fontId="41" fillId="7" borderId="247" xfId="0" applyFont="1" applyFill="1" applyBorder="1" applyAlignment="1" applyProtection="1">
      <alignment horizontal="center" vertical="distributed" wrapText="1"/>
      <protection/>
    </xf>
    <xf numFmtId="0" fontId="44" fillId="7" borderId="80" xfId="0" applyFont="1" applyFill="1" applyBorder="1" applyAlignment="1" applyProtection="1">
      <alignment wrapText="1"/>
      <protection/>
    </xf>
    <xf numFmtId="0" fontId="44" fillId="7" borderId="78" xfId="0" applyFont="1" applyFill="1" applyBorder="1" applyAlignment="1" applyProtection="1">
      <alignment wrapText="1"/>
      <protection/>
    </xf>
    <xf numFmtId="0" fontId="44" fillId="7" borderId="81" xfId="0" applyFont="1" applyFill="1" applyBorder="1" applyAlignment="1" applyProtection="1">
      <alignment wrapText="1"/>
      <protection/>
    </xf>
    <xf numFmtId="0" fontId="44" fillId="7" borderId="229" xfId="0" applyFont="1" applyFill="1" applyBorder="1" applyAlignment="1" applyProtection="1">
      <alignment wrapText="1"/>
      <protection/>
    </xf>
    <xf numFmtId="0" fontId="44" fillId="7" borderId="0" xfId="0" applyFont="1" applyFill="1" applyBorder="1" applyAlignment="1" applyProtection="1">
      <alignment wrapText="1"/>
      <protection/>
    </xf>
    <xf numFmtId="0" fontId="44" fillId="7" borderId="230" xfId="0" applyFont="1" applyFill="1" applyBorder="1" applyAlignment="1" applyProtection="1">
      <alignment wrapText="1"/>
      <protection/>
    </xf>
    <xf numFmtId="0" fontId="44" fillId="7" borderId="234" xfId="0" applyFont="1" applyFill="1" applyBorder="1" applyAlignment="1" applyProtection="1">
      <alignment wrapText="1"/>
      <protection/>
    </xf>
    <xf numFmtId="0" fontId="44" fillId="7" borderId="21" xfId="0" applyFont="1" applyFill="1" applyBorder="1" applyAlignment="1" applyProtection="1">
      <alignment wrapText="1"/>
      <protection/>
    </xf>
    <xf numFmtId="0" fontId="44" fillId="7" borderId="235" xfId="0" applyFont="1" applyFill="1" applyBorder="1" applyAlignment="1" applyProtection="1">
      <alignment wrapText="1"/>
      <protection/>
    </xf>
    <xf numFmtId="0" fontId="40" fillId="7" borderId="240" xfId="0" applyFont="1" applyFill="1" applyBorder="1" applyAlignment="1" applyProtection="1">
      <alignment horizontal="center" vertical="distributed" wrapText="1"/>
      <protection/>
    </xf>
    <xf numFmtId="0" fontId="40" fillId="7" borderId="25" xfId="0" applyFont="1" applyFill="1" applyBorder="1" applyAlignment="1" applyProtection="1">
      <alignment horizontal="center" vertical="distributed" wrapText="1"/>
      <protection/>
    </xf>
    <xf numFmtId="0" fontId="40" fillId="7" borderId="131" xfId="0" applyFont="1" applyFill="1" applyBorder="1" applyAlignment="1" applyProtection="1">
      <alignment horizontal="center" vertical="distributed" wrapText="1"/>
      <protection/>
    </xf>
    <xf numFmtId="0" fontId="40" fillId="7" borderId="241" xfId="0" applyFont="1" applyFill="1" applyBorder="1" applyAlignment="1" applyProtection="1">
      <alignment horizontal="center" vertical="distributed" wrapText="1"/>
      <protection/>
    </xf>
    <xf numFmtId="0" fontId="41" fillId="7" borderId="131" xfId="0" applyFont="1" applyFill="1" applyBorder="1" applyAlignment="1" applyProtection="1">
      <alignment horizontal="center" wrapText="1"/>
      <protection/>
    </xf>
    <xf numFmtId="0" fontId="41" fillId="7" borderId="241" xfId="0" applyFont="1" applyFill="1" applyBorder="1" applyAlignment="1" applyProtection="1">
      <alignment horizontal="center" wrapText="1"/>
      <protection/>
    </xf>
    <xf numFmtId="0" fontId="41" fillId="7" borderId="242" xfId="0" applyFont="1" applyFill="1" applyBorder="1" applyAlignment="1" applyProtection="1">
      <alignment wrapText="1"/>
      <protection/>
    </xf>
    <xf numFmtId="0" fontId="41" fillId="7" borderId="247" xfId="0" applyFont="1" applyFill="1" applyBorder="1" applyAlignment="1" applyProtection="1">
      <alignment wrapText="1"/>
      <protection/>
    </xf>
    <xf numFmtId="0" fontId="41" fillId="7" borderId="246" xfId="0" applyFont="1" applyFill="1" applyBorder="1" applyAlignment="1" applyProtection="1">
      <alignment horizontal="center" wrapText="1"/>
      <protection/>
    </xf>
    <xf numFmtId="0" fontId="41" fillId="7" borderId="247" xfId="0" applyFont="1" applyFill="1" applyBorder="1" applyAlignment="1" applyProtection="1">
      <alignment horizontal="center" wrapText="1"/>
      <protection/>
    </xf>
    <xf numFmtId="0" fontId="41" fillId="7" borderId="244" xfId="0" applyFont="1" applyFill="1" applyBorder="1" applyAlignment="1" applyProtection="1">
      <alignment horizontal="center" wrapText="1"/>
      <protection/>
    </xf>
    <xf numFmtId="0" fontId="41" fillId="7" borderId="240" xfId="0" applyFont="1" applyFill="1" applyBorder="1" applyAlignment="1" applyProtection="1">
      <alignment wrapText="1"/>
      <protection/>
    </xf>
    <xf numFmtId="0" fontId="41" fillId="7" borderId="25" xfId="0" applyFont="1" applyFill="1" applyBorder="1" applyAlignment="1" applyProtection="1">
      <alignment wrapText="1"/>
      <protection/>
    </xf>
    <xf numFmtId="0" fontId="41" fillId="7" borderId="25" xfId="0" applyFont="1" applyFill="1" applyBorder="1" applyAlignment="1" applyProtection="1">
      <alignment horizontal="center" wrapText="1"/>
      <protection/>
    </xf>
    <xf numFmtId="0" fontId="41" fillId="7" borderId="246" xfId="0" applyFont="1" applyFill="1" applyBorder="1" applyAlignment="1" applyProtection="1">
      <alignment vertical="distributed" wrapText="1"/>
      <protection/>
    </xf>
    <xf numFmtId="0" fontId="41" fillId="7" borderId="244" xfId="0" applyFont="1" applyFill="1" applyBorder="1" applyAlignment="1" applyProtection="1">
      <alignment vertical="distributed" wrapText="1"/>
      <protection/>
    </xf>
    <xf numFmtId="0" fontId="0" fillId="7" borderId="0" xfId="0" applyFill="1" applyAlignment="1" applyProtection="1">
      <alignment/>
      <protection/>
    </xf>
    <xf numFmtId="0" fontId="41" fillId="7" borderId="131" xfId="0" applyFont="1" applyFill="1" applyBorder="1" applyAlignment="1" applyProtection="1">
      <alignment vertical="distributed" wrapText="1"/>
      <protection/>
    </xf>
    <xf numFmtId="0" fontId="41" fillId="7" borderId="25" xfId="0" applyFont="1" applyFill="1" applyBorder="1" applyAlignment="1" applyProtection="1">
      <alignment vertical="distributed" wrapText="1"/>
      <protection/>
    </xf>
    <xf numFmtId="0" fontId="41" fillId="7" borderId="241" xfId="0" applyFont="1" applyFill="1" applyBorder="1" applyAlignment="1" applyProtection="1">
      <alignment vertical="distributed" wrapText="1"/>
      <protection/>
    </xf>
    <xf numFmtId="0" fontId="41" fillId="7" borderId="240" xfId="0" applyFont="1" applyFill="1" applyBorder="1" applyAlignment="1" applyProtection="1">
      <alignment vertical="distributed" wrapText="1"/>
      <protection/>
    </xf>
    <xf numFmtId="0" fontId="40" fillId="7" borderId="240" xfId="0" applyFont="1" applyFill="1" applyBorder="1" applyAlignment="1" applyProtection="1">
      <alignment vertical="distributed" wrapText="1"/>
      <protection/>
    </xf>
    <xf numFmtId="0" fontId="40" fillId="7" borderId="25" xfId="0" applyFont="1" applyFill="1" applyBorder="1" applyAlignment="1" applyProtection="1">
      <alignment vertical="distributed" wrapText="1"/>
      <protection/>
    </xf>
    <xf numFmtId="0" fontId="40" fillId="7" borderId="24" xfId="0" applyFont="1" applyFill="1" applyBorder="1" applyAlignment="1" applyProtection="1">
      <alignment horizontal="center" vertical="distributed" wrapText="1"/>
      <protection/>
    </xf>
    <xf numFmtId="0" fontId="44" fillId="7" borderId="80" xfId="0" applyNumberFormat="1" applyFont="1" applyFill="1" applyBorder="1" applyAlignment="1" applyProtection="1">
      <alignment horizontal="left" vertical="top" wrapText="1" readingOrder="1"/>
      <protection/>
    </xf>
    <xf numFmtId="0" fontId="44" fillId="7" borderId="78" xfId="0" applyNumberFormat="1" applyFont="1" applyFill="1" applyBorder="1" applyAlignment="1" applyProtection="1">
      <alignment horizontal="left" vertical="top" wrapText="1" readingOrder="1"/>
      <protection/>
    </xf>
    <xf numFmtId="0" fontId="44" fillId="7" borderId="81" xfId="0" applyNumberFormat="1" applyFont="1" applyFill="1" applyBorder="1" applyAlignment="1" applyProtection="1">
      <alignment horizontal="left" vertical="top" wrapText="1" readingOrder="1"/>
      <protection/>
    </xf>
    <xf numFmtId="0" fontId="44" fillId="7" borderId="229" xfId="0" applyNumberFormat="1" applyFont="1" applyFill="1" applyBorder="1" applyAlignment="1" applyProtection="1">
      <alignment horizontal="left" vertical="top" wrapText="1" readingOrder="1"/>
      <protection/>
    </xf>
    <xf numFmtId="0" fontId="44" fillId="7" borderId="0" xfId="0" applyNumberFormat="1" applyFont="1" applyFill="1" applyBorder="1" applyAlignment="1" applyProtection="1">
      <alignment horizontal="left" vertical="top" wrapText="1" readingOrder="1"/>
      <protection/>
    </xf>
    <xf numFmtId="0" fontId="44" fillId="7" borderId="230" xfId="0" applyNumberFormat="1" applyFont="1" applyFill="1" applyBorder="1" applyAlignment="1" applyProtection="1">
      <alignment horizontal="left" vertical="top" wrapText="1" readingOrder="1"/>
      <protection/>
    </xf>
    <xf numFmtId="0" fontId="44" fillId="7" borderId="240" xfId="0" applyFont="1" applyFill="1" applyBorder="1" applyAlignment="1" applyProtection="1">
      <alignment/>
      <protection/>
    </xf>
    <xf numFmtId="0" fontId="44" fillId="7" borderId="24" xfId="0" applyFont="1" applyFill="1" applyBorder="1" applyAlignment="1" applyProtection="1">
      <alignment/>
      <protection/>
    </xf>
    <xf numFmtId="0" fontId="44" fillId="7" borderId="241" xfId="0" applyFont="1" applyFill="1" applyBorder="1" applyAlignment="1" applyProtection="1">
      <alignment/>
      <protection/>
    </xf>
    <xf numFmtId="0" fontId="41" fillId="7" borderId="0" xfId="0" applyFont="1" applyFill="1" applyBorder="1" applyAlignment="1" applyProtection="1">
      <alignment vertical="top" wrapText="1"/>
      <protection/>
    </xf>
    <xf numFmtId="0" fontId="40" fillId="7" borderId="22" xfId="0" applyFont="1" applyFill="1" applyBorder="1" applyAlignment="1" applyProtection="1">
      <alignment horizontal="center" vertical="distributed" wrapText="1"/>
      <protection/>
    </xf>
    <xf numFmtId="0" fontId="40" fillId="7" borderId="21" xfId="0" applyFont="1" applyFill="1" applyBorder="1" applyAlignment="1" applyProtection="1">
      <alignment horizontal="center" vertical="distributed" wrapText="1"/>
      <protection/>
    </xf>
    <xf numFmtId="0" fontId="40" fillId="7" borderId="235" xfId="0" applyFont="1" applyFill="1" applyBorder="1" applyAlignment="1" applyProtection="1">
      <alignment horizontal="center" vertical="distributed" wrapText="1"/>
      <protection/>
    </xf>
    <xf numFmtId="0" fontId="41" fillId="7" borderId="131" xfId="0" applyFont="1" applyFill="1" applyBorder="1" applyAlignment="1" applyProtection="1">
      <alignment vertical="top" wrapText="1"/>
      <protection/>
    </xf>
    <xf numFmtId="0" fontId="41" fillId="7" borderId="25" xfId="0" applyFont="1" applyFill="1" applyBorder="1" applyAlignment="1" applyProtection="1">
      <alignment vertical="top" wrapText="1"/>
      <protection/>
    </xf>
    <xf numFmtId="0" fontId="41" fillId="7" borderId="251" xfId="0" applyFont="1" applyFill="1" applyBorder="1" applyAlignment="1" applyProtection="1">
      <alignment vertical="top" wrapText="1"/>
      <protection/>
    </xf>
    <xf numFmtId="0" fontId="40" fillId="7" borderId="30" xfId="0" applyFont="1" applyFill="1" applyBorder="1" applyAlignment="1" applyProtection="1">
      <alignment horizontal="center" vertical="center" wrapText="1"/>
      <protection/>
    </xf>
    <xf numFmtId="0" fontId="40" fillId="7" borderId="1" xfId="0" applyFont="1" applyFill="1" applyBorder="1" applyAlignment="1" applyProtection="1">
      <alignment horizontal="center" vertical="center" wrapText="1"/>
      <protection/>
    </xf>
    <xf numFmtId="0" fontId="40" fillId="7" borderId="31" xfId="0" applyFont="1" applyFill="1" applyBorder="1" applyAlignment="1" applyProtection="1">
      <alignment horizontal="center" vertical="center" wrapText="1"/>
      <protection/>
    </xf>
    <xf numFmtId="0" fontId="40" fillId="7" borderId="23" xfId="0" applyFont="1" applyFill="1" applyBorder="1" applyAlignment="1" applyProtection="1">
      <alignment horizontal="center" vertical="center" wrapText="1"/>
      <protection/>
    </xf>
    <xf numFmtId="0" fontId="40" fillId="7" borderId="0" xfId="0" applyFont="1" applyFill="1" applyBorder="1" applyAlignment="1" applyProtection="1">
      <alignment horizontal="center" vertical="center" wrapText="1"/>
      <protection/>
    </xf>
    <xf numFmtId="0" fontId="40" fillId="7" borderId="32" xfId="0" applyFont="1" applyFill="1" applyBorder="1" applyAlignment="1" applyProtection="1">
      <alignment horizontal="center" vertical="center" wrapText="1"/>
      <protection/>
    </xf>
    <xf numFmtId="0" fontId="40" fillId="7" borderId="22" xfId="0" applyFont="1" applyFill="1" applyBorder="1" applyAlignment="1" applyProtection="1">
      <alignment horizontal="center" vertical="center" wrapText="1"/>
      <protection/>
    </xf>
    <xf numFmtId="0" fontId="40" fillId="7" borderId="21" xfId="0" applyFont="1" applyFill="1" applyBorder="1" applyAlignment="1" applyProtection="1">
      <alignment horizontal="center" vertical="center" wrapText="1"/>
      <protection/>
    </xf>
    <xf numFmtId="0" fontId="40" fillId="7" borderId="33" xfId="0" applyFont="1" applyFill="1" applyBorder="1" applyAlignment="1" applyProtection="1">
      <alignment horizontal="center" vertical="center" wrapText="1"/>
      <protection/>
    </xf>
    <xf numFmtId="0" fontId="43" fillId="7" borderId="0" xfId="0" applyFont="1" applyFill="1" applyAlignment="1" applyProtection="1">
      <alignment horizontal="center"/>
      <protection/>
    </xf>
    <xf numFmtId="0" fontId="42" fillId="7" borderId="0" xfId="0" applyFont="1" applyFill="1" applyAlignment="1" applyProtection="1">
      <alignment horizontal="left" vertical="top" wrapText="1"/>
      <protection/>
    </xf>
    <xf numFmtId="0" fontId="42" fillId="7" borderId="1" xfId="0" applyFont="1" applyFill="1" applyBorder="1" applyAlignment="1" applyProtection="1">
      <alignment horizontal="center" vertical="center"/>
      <protection/>
    </xf>
    <xf numFmtId="0" fontId="42" fillId="7" borderId="31" xfId="0" applyFont="1" applyFill="1" applyBorder="1" applyAlignment="1" applyProtection="1">
      <alignment horizontal="center" vertical="center"/>
      <protection/>
    </xf>
    <xf numFmtId="0" fontId="42" fillId="7" borderId="23" xfId="0" applyFont="1" applyFill="1" applyBorder="1" applyAlignment="1" applyProtection="1">
      <alignment horizontal="center" vertical="center"/>
      <protection/>
    </xf>
    <xf numFmtId="0" fontId="42" fillId="7" borderId="0" xfId="0" applyFont="1" applyFill="1" applyBorder="1" applyAlignment="1" applyProtection="1">
      <alignment horizontal="center" vertical="center"/>
      <protection/>
    </xf>
    <xf numFmtId="0" fontId="42" fillId="7" borderId="32" xfId="0" applyFont="1" applyFill="1" applyBorder="1" applyAlignment="1" applyProtection="1">
      <alignment horizontal="center" vertical="center"/>
      <protection/>
    </xf>
    <xf numFmtId="0" fontId="42" fillId="7" borderId="22" xfId="0" applyFont="1" applyFill="1" applyBorder="1" applyAlignment="1" applyProtection="1">
      <alignment horizontal="center" vertical="center"/>
      <protection/>
    </xf>
    <xf numFmtId="0" fontId="42" fillId="7" borderId="21" xfId="0" applyFont="1" applyFill="1" applyBorder="1" applyAlignment="1" applyProtection="1">
      <alignment horizontal="center" vertical="center"/>
      <protection/>
    </xf>
    <xf numFmtId="0" fontId="42" fillId="7" borderId="33" xfId="0" applyFont="1" applyFill="1" applyBorder="1" applyAlignment="1" applyProtection="1">
      <alignment horizontal="center" vertical="center"/>
      <protection/>
    </xf>
    <xf numFmtId="0" fontId="43" fillId="7" borderId="0" xfId="0" applyFont="1" applyFill="1" applyAlignment="1" applyProtection="1">
      <alignment horizontal="center" vertical="distributed"/>
      <protection/>
    </xf>
    <xf numFmtId="0" fontId="44" fillId="7" borderId="0" xfId="0" applyFont="1" applyFill="1" applyAlignment="1" applyProtection="1">
      <alignment horizontal="center" vertical="distributed"/>
      <protection/>
    </xf>
    <xf numFmtId="0" fontId="17" fillId="0" borderId="30" xfId="0" applyFont="1" applyBorder="1" applyAlignment="1">
      <alignment horizontal="center" vertical="distributed"/>
    </xf>
    <xf numFmtId="0" fontId="17" fillId="0" borderId="31" xfId="0" applyFont="1" applyBorder="1" applyAlignment="1">
      <alignment horizontal="center" vertical="distributed"/>
    </xf>
    <xf numFmtId="0" fontId="17" fillId="0" borderId="23" xfId="0" applyFont="1" applyBorder="1" applyAlignment="1">
      <alignment horizontal="center" vertical="distributed"/>
    </xf>
    <xf numFmtId="0" fontId="17" fillId="0" borderId="32" xfId="0" applyFont="1" applyBorder="1" applyAlignment="1">
      <alignment horizontal="center" vertical="distributed"/>
    </xf>
    <xf numFmtId="0" fontId="17" fillId="0" borderId="22" xfId="0" applyFont="1" applyBorder="1" applyAlignment="1">
      <alignment horizontal="center" vertical="distributed"/>
    </xf>
    <xf numFmtId="0" fontId="17" fillId="0" borderId="33" xfId="0" applyFont="1" applyBorder="1" applyAlignment="1">
      <alignment horizontal="center" vertical="distributed"/>
    </xf>
    <xf numFmtId="0" fontId="0" fillId="0" borderId="30" xfId="0" applyFont="1" applyBorder="1" applyAlignment="1">
      <alignment horizontal="left" vertical="center" wrapText="1"/>
    </xf>
    <xf numFmtId="0" fontId="0" fillId="0" borderId="1" xfId="0" applyFont="1" applyBorder="1" applyAlignment="1">
      <alignment horizontal="left" vertical="center" wrapText="1"/>
    </xf>
    <xf numFmtId="0" fontId="0" fillId="0" borderId="31" xfId="0" applyFont="1" applyBorder="1" applyAlignment="1">
      <alignment horizontal="left" vertical="center" wrapText="1"/>
    </xf>
    <xf numFmtId="0" fontId="0" fillId="0" borderId="23" xfId="0" applyFont="1" applyBorder="1" applyAlignment="1">
      <alignment horizontal="left" vertical="center" wrapText="1"/>
    </xf>
    <xf numFmtId="0" fontId="0" fillId="0" borderId="0" xfId="0" applyFont="1" applyBorder="1" applyAlignment="1">
      <alignment horizontal="left" vertical="center" wrapText="1"/>
    </xf>
    <xf numFmtId="0" fontId="0" fillId="0" borderId="32" xfId="0" applyFont="1" applyBorder="1" applyAlignment="1">
      <alignment horizontal="left" vertical="center" wrapText="1"/>
    </xf>
    <xf numFmtId="0" fontId="0" fillId="0" borderId="22" xfId="0" applyFont="1" applyBorder="1" applyAlignment="1">
      <alignment horizontal="left" vertical="center" wrapText="1"/>
    </xf>
    <xf numFmtId="0" fontId="0" fillId="0" borderId="21" xfId="0" applyFont="1" applyBorder="1" applyAlignment="1">
      <alignment horizontal="left" vertical="center" wrapText="1"/>
    </xf>
    <xf numFmtId="0" fontId="0" fillId="0" borderId="33" xfId="0" applyFont="1" applyBorder="1" applyAlignment="1">
      <alignment horizontal="left" vertical="center" wrapText="1"/>
    </xf>
    <xf numFmtId="0" fontId="17" fillId="0" borderId="30" xfId="0" applyFont="1" applyBorder="1" applyAlignment="1">
      <alignment vertical="distributed"/>
    </xf>
    <xf numFmtId="0" fontId="17" fillId="0" borderId="1" xfId="0" applyFont="1" applyBorder="1" applyAlignment="1">
      <alignment vertical="distributed"/>
    </xf>
    <xf numFmtId="0" fontId="17" fillId="0" borderId="31" xfId="0" applyFont="1" applyBorder="1" applyAlignment="1">
      <alignment vertical="distributed"/>
    </xf>
    <xf numFmtId="0" fontId="17" fillId="0" borderId="23" xfId="0" applyFont="1" applyBorder="1" applyAlignment="1">
      <alignment vertical="distributed"/>
    </xf>
    <xf numFmtId="0" fontId="17" fillId="0" borderId="0" xfId="0" applyFont="1" applyBorder="1" applyAlignment="1">
      <alignment vertical="distributed"/>
    </xf>
    <xf numFmtId="0" fontId="17" fillId="0" borderId="32" xfId="0" applyFont="1" applyBorder="1" applyAlignment="1">
      <alignment vertical="distributed"/>
    </xf>
    <xf numFmtId="0" fontId="17" fillId="0" borderId="22" xfId="0" applyFont="1" applyBorder="1" applyAlignment="1">
      <alignment vertical="distributed"/>
    </xf>
    <xf numFmtId="0" fontId="17" fillId="0" borderId="21" xfId="0" applyFont="1" applyBorder="1" applyAlignment="1">
      <alignment vertical="distributed"/>
    </xf>
    <xf numFmtId="0" fontId="17" fillId="0" borderId="33" xfId="0" applyFont="1" applyBorder="1" applyAlignment="1">
      <alignment vertical="distributed"/>
    </xf>
    <xf numFmtId="1" fontId="17" fillId="3" borderId="30" xfId="0" applyNumberFormat="1" applyFont="1" applyFill="1" applyBorder="1" applyAlignment="1">
      <alignment horizontal="center" vertical="center"/>
    </xf>
    <xf numFmtId="1" fontId="17" fillId="3" borderId="31" xfId="0" applyNumberFormat="1" applyFont="1" applyFill="1" applyBorder="1" applyAlignment="1">
      <alignment horizontal="center" vertical="center"/>
    </xf>
    <xf numFmtId="1" fontId="17" fillId="3" borderId="23" xfId="0" applyNumberFormat="1" applyFont="1" applyFill="1" applyBorder="1" applyAlignment="1">
      <alignment horizontal="center" vertical="center"/>
    </xf>
    <xf numFmtId="1" fontId="17" fillId="3" borderId="32" xfId="0" applyNumberFormat="1" applyFont="1" applyFill="1" applyBorder="1" applyAlignment="1">
      <alignment horizontal="center" vertical="center"/>
    </xf>
    <xf numFmtId="1" fontId="17" fillId="3" borderId="22" xfId="0" applyNumberFormat="1" applyFont="1" applyFill="1" applyBorder="1" applyAlignment="1">
      <alignment horizontal="center" vertical="center"/>
    </xf>
    <xf numFmtId="1" fontId="17" fillId="3" borderId="33" xfId="0" applyNumberFormat="1" applyFont="1" applyFill="1" applyBorder="1" applyAlignment="1">
      <alignment horizontal="center" vertical="center"/>
    </xf>
    <xf numFmtId="0" fontId="7" fillId="0" borderId="131" xfId="0" applyFont="1" applyBorder="1" applyAlignment="1">
      <alignment horizontal="center" vertical="distributed" wrapText="1"/>
    </xf>
    <xf numFmtId="0" fontId="7" fillId="0" borderId="25" xfId="0" applyFont="1" applyBorder="1" applyAlignment="1">
      <alignment horizontal="center" vertical="distributed" wrapText="1"/>
    </xf>
    <xf numFmtId="0" fontId="7" fillId="0" borderId="131" xfId="0" applyFont="1" applyFill="1" applyBorder="1" applyAlignment="1">
      <alignment horizontal="center" vertical="distributed" wrapText="1"/>
    </xf>
    <xf numFmtId="0" fontId="7" fillId="0" borderId="24" xfId="0" applyFont="1" applyFill="1" applyBorder="1" applyAlignment="1">
      <alignment horizontal="center" vertical="distributed" wrapText="1"/>
    </xf>
    <xf numFmtId="0" fontId="7" fillId="0" borderId="25" xfId="0" applyFont="1" applyFill="1" applyBorder="1" applyAlignment="1">
      <alignment horizontal="center" vertical="distributed" wrapText="1"/>
    </xf>
    <xf numFmtId="0" fontId="17" fillId="0" borderId="131" xfId="0" applyFont="1" applyBorder="1" applyAlignment="1">
      <alignment vertical="distributed" wrapText="1"/>
    </xf>
    <xf numFmtId="0" fontId="17" fillId="0" borderId="24" xfId="0" applyFont="1" applyBorder="1" applyAlignment="1">
      <alignment vertical="distributed" wrapText="1"/>
    </xf>
    <xf numFmtId="0" fontId="17" fillId="0" borderId="25" xfId="0" applyFont="1" applyBorder="1" applyAlignment="1">
      <alignment vertical="distributed" wrapText="1"/>
    </xf>
    <xf numFmtId="0" fontId="17" fillId="0" borderId="30" xfId="0" applyFont="1" applyBorder="1" applyAlignment="1">
      <alignment horizontal="left" vertical="distributed" wrapText="1"/>
    </xf>
    <xf numFmtId="0" fontId="17" fillId="0" borderId="31" xfId="0" applyFont="1" applyBorder="1" applyAlignment="1">
      <alignment horizontal="left" vertical="distributed" wrapText="1"/>
    </xf>
    <xf numFmtId="0" fontId="17" fillId="0" borderId="23" xfId="0" applyFont="1" applyBorder="1" applyAlignment="1">
      <alignment horizontal="left" vertical="distributed" wrapText="1"/>
    </xf>
    <xf numFmtId="0" fontId="17" fillId="0" borderId="32" xfId="0" applyFont="1" applyBorder="1" applyAlignment="1">
      <alignment horizontal="left" vertical="distributed" wrapText="1"/>
    </xf>
    <xf numFmtId="0" fontId="17" fillId="0" borderId="22" xfId="0" applyFont="1" applyBorder="1" applyAlignment="1">
      <alignment horizontal="left" vertical="distributed" wrapText="1"/>
    </xf>
    <xf numFmtId="0" fontId="17" fillId="0" borderId="33" xfId="0" applyFont="1" applyBorder="1" applyAlignment="1">
      <alignment horizontal="left" vertical="distributed" wrapText="1"/>
    </xf>
    <xf numFmtId="0" fontId="2" fillId="0" borderId="30" xfId="0" applyFont="1" applyBorder="1" applyAlignment="1">
      <alignment horizontal="left" vertical="top" wrapText="1"/>
    </xf>
    <xf numFmtId="0" fontId="2" fillId="0" borderId="23" xfId="0" applyFont="1" applyBorder="1" applyAlignment="1">
      <alignment horizontal="left" vertical="top" wrapText="1"/>
    </xf>
    <xf numFmtId="0" fontId="2" fillId="0" borderId="0" xfId="0" applyFont="1" applyBorder="1" applyAlignment="1">
      <alignment horizontal="left" vertical="top" wrapText="1"/>
    </xf>
    <xf numFmtId="0" fontId="2" fillId="0" borderId="32" xfId="0" applyFont="1" applyBorder="1" applyAlignment="1">
      <alignment horizontal="left" vertical="top" wrapText="1"/>
    </xf>
    <xf numFmtId="0" fontId="2" fillId="0" borderId="22" xfId="0" applyFont="1" applyBorder="1" applyAlignment="1">
      <alignment horizontal="left" vertical="top" wrapText="1"/>
    </xf>
    <xf numFmtId="0" fontId="2" fillId="0" borderId="21" xfId="0" applyFont="1" applyBorder="1" applyAlignment="1">
      <alignment horizontal="left" vertical="top" wrapText="1"/>
    </xf>
    <xf numFmtId="0" fontId="2" fillId="0" borderId="33" xfId="0" applyFont="1" applyBorder="1" applyAlignment="1">
      <alignment horizontal="left" vertical="top" wrapText="1"/>
    </xf>
    <xf numFmtId="1" fontId="81" fillId="5" borderId="30" xfId="0" applyNumberFormat="1" applyFont="1" applyFill="1" applyBorder="1" applyAlignment="1" applyProtection="1">
      <alignment horizontal="center" vertical="center"/>
      <protection locked="0"/>
    </xf>
    <xf numFmtId="1" fontId="81" fillId="5" borderId="31" xfId="0" applyNumberFormat="1" applyFont="1" applyFill="1" applyBorder="1" applyAlignment="1" applyProtection="1">
      <alignment horizontal="center" vertical="center"/>
      <protection locked="0"/>
    </xf>
    <xf numFmtId="1" fontId="81" fillId="5" borderId="23" xfId="0" applyNumberFormat="1" applyFont="1" applyFill="1" applyBorder="1" applyAlignment="1" applyProtection="1">
      <alignment horizontal="center" vertical="center"/>
      <protection locked="0"/>
    </xf>
    <xf numFmtId="1" fontId="81" fillId="5" borderId="32" xfId="0" applyNumberFormat="1" applyFont="1" applyFill="1" applyBorder="1" applyAlignment="1" applyProtection="1">
      <alignment horizontal="center" vertical="center"/>
      <protection locked="0"/>
    </xf>
    <xf numFmtId="1" fontId="81" fillId="5" borderId="22" xfId="0" applyNumberFormat="1" applyFont="1" applyFill="1" applyBorder="1" applyAlignment="1" applyProtection="1">
      <alignment horizontal="center" vertical="center"/>
      <protection locked="0"/>
    </xf>
    <xf numFmtId="1" fontId="81" fillId="5" borderId="33" xfId="0" applyNumberFormat="1" applyFont="1" applyFill="1" applyBorder="1" applyAlignment="1" applyProtection="1">
      <alignment horizontal="center" vertical="center"/>
      <protection locked="0"/>
    </xf>
    <xf numFmtId="0" fontId="2" fillId="0" borderId="24" xfId="0" applyFont="1" applyBorder="1" applyAlignment="1">
      <alignment horizontal="center" vertical="top" wrapText="1"/>
    </xf>
    <xf numFmtId="0" fontId="17" fillId="0" borderId="131" xfId="0" applyFont="1" applyFill="1" applyBorder="1" applyAlignment="1">
      <alignment vertical="top" wrapText="1"/>
    </xf>
    <xf numFmtId="0" fontId="17" fillId="0" borderId="24" xfId="0" applyFont="1" applyFill="1" applyBorder="1" applyAlignment="1">
      <alignment vertical="top" wrapText="1"/>
    </xf>
    <xf numFmtId="0" fontId="2" fillId="0" borderId="29" xfId="0" applyFont="1" applyBorder="1" applyAlignment="1">
      <alignment horizontal="center" vertical="distributed" wrapText="1"/>
    </xf>
    <xf numFmtId="0" fontId="2" fillId="0" borderId="29" xfId="0" applyFont="1" applyBorder="1" applyAlignment="1">
      <alignment horizontal="center" vertical="top" wrapText="1"/>
    </xf>
    <xf numFmtId="0" fontId="2" fillId="0" borderId="21" xfId="0" applyNumberFormat="1" applyFont="1" applyBorder="1" applyAlignment="1">
      <alignment horizontal="center" vertical="distributed" wrapText="1"/>
    </xf>
    <xf numFmtId="1" fontId="17" fillId="5" borderId="22" xfId="0" applyNumberFormat="1" applyFont="1" applyFill="1" applyBorder="1" applyAlignment="1" applyProtection="1">
      <alignment horizontal="center" vertical="center" wrapText="1"/>
      <protection locked="0"/>
    </xf>
    <xf numFmtId="1" fontId="17" fillId="5" borderId="33" xfId="0" applyNumberFormat="1" applyFont="1" applyFill="1" applyBorder="1" applyAlignment="1" applyProtection="1">
      <alignment horizontal="center" vertical="center" wrapText="1"/>
      <protection locked="0"/>
    </xf>
    <xf numFmtId="0" fontId="2" fillId="0" borderId="24" xfId="0" applyNumberFormat="1" applyFont="1" applyBorder="1" applyAlignment="1">
      <alignment horizontal="center" vertical="distributed" wrapText="1"/>
    </xf>
    <xf numFmtId="0" fontId="2" fillId="0" borderId="24" xfId="0" applyFont="1" applyBorder="1" applyAlignment="1">
      <alignment horizontal="center" vertical="distributed" wrapText="1"/>
    </xf>
    <xf numFmtId="0" fontId="17" fillId="0" borderId="131" xfId="0" applyNumberFormat="1" applyFont="1" applyFill="1" applyBorder="1" applyAlignment="1">
      <alignment horizontal="left" vertical="top" wrapText="1"/>
    </xf>
    <xf numFmtId="0" fontId="17" fillId="0" borderId="24" xfId="0" applyNumberFormat="1" applyFont="1" applyFill="1" applyBorder="1" applyAlignment="1">
      <alignment horizontal="left" vertical="top" wrapText="1"/>
    </xf>
    <xf numFmtId="0" fontId="2" fillId="0" borderId="29" xfId="0" applyNumberFormat="1" applyFont="1" applyBorder="1" applyAlignment="1">
      <alignment horizontal="center" vertical="distributed" wrapText="1"/>
    </xf>
    <xf numFmtId="0" fontId="17" fillId="0" borderId="22" xfId="0" applyNumberFormat="1" applyFont="1" applyFill="1" applyBorder="1" applyAlignment="1">
      <alignment horizontal="left" vertical="top" wrapText="1"/>
    </xf>
    <xf numFmtId="0" fontId="17" fillId="0" borderId="21" xfId="0" applyNumberFormat="1" applyFont="1" applyFill="1" applyBorder="1" applyAlignment="1">
      <alignment horizontal="left" vertical="top" wrapText="1"/>
    </xf>
    <xf numFmtId="0" fontId="17" fillId="0" borderId="131" xfId="0" applyNumberFormat="1" applyFont="1" applyBorder="1" applyAlignment="1">
      <alignment horizontal="center" vertical="distributed" wrapText="1"/>
    </xf>
    <xf numFmtId="0" fontId="17" fillId="0" borderId="25" xfId="0" applyNumberFormat="1" applyFont="1" applyBorder="1" applyAlignment="1">
      <alignment horizontal="center" vertical="distributed" wrapText="1"/>
    </xf>
    <xf numFmtId="0" fontId="2" fillId="0" borderId="0" xfId="0" applyFont="1" applyAlignment="1">
      <alignment horizontal="left" vertical="center" wrapText="1"/>
    </xf>
    <xf numFmtId="49" fontId="2" fillId="0" borderId="0" xfId="0" applyNumberFormat="1" applyFont="1" applyAlignment="1">
      <alignment horizontal="left" vertical="center" wrapText="1"/>
    </xf>
    <xf numFmtId="0" fontId="17" fillId="0" borderId="0" xfId="0" applyFont="1" applyAlignment="1">
      <alignment horizontal="left" vertical="top"/>
    </xf>
    <xf numFmtId="0" fontId="2" fillId="0" borderId="0" xfId="0" applyFont="1" applyAlignment="1">
      <alignment horizontal="left" vertical="top"/>
    </xf>
    <xf numFmtId="49" fontId="17" fillId="0" borderId="0" xfId="0" applyNumberFormat="1" applyFont="1" applyAlignment="1">
      <alignment horizontal="left" vertical="center"/>
    </xf>
    <xf numFmtId="0" fontId="0" fillId="0" borderId="0" xfId="0" applyAlignment="1">
      <alignment horizontal="left"/>
    </xf>
    <xf numFmtId="0" fontId="2" fillId="0" borderId="0" xfId="0" applyFont="1" applyAlignment="1">
      <alignment horizontal="left" vertical="top" wrapText="1"/>
    </xf>
    <xf numFmtId="0" fontId="17" fillId="0" borderId="0" xfId="0" applyFont="1" applyAlignment="1">
      <alignment horizontal="left" vertical="center"/>
    </xf>
    <xf numFmtId="49" fontId="2" fillId="0" borderId="0" xfId="0" applyNumberFormat="1" applyFont="1" applyAlignment="1">
      <alignment horizontal="left" vertical="center"/>
    </xf>
    <xf numFmtId="0" fontId="17" fillId="0" borderId="0" xfId="0" applyFont="1" applyAlignment="1">
      <alignment horizontal="left" vertical="top" wrapText="1"/>
    </xf>
    <xf numFmtId="0" fontId="2" fillId="0" borderId="30" xfId="0" applyFont="1" applyBorder="1" applyAlignment="1">
      <alignment horizontal="left" vertical="center" wrapText="1"/>
    </xf>
    <xf numFmtId="0" fontId="2" fillId="0" borderId="1" xfId="0" applyFont="1" applyBorder="1" applyAlignment="1">
      <alignment horizontal="left" vertical="center" wrapText="1"/>
    </xf>
    <xf numFmtId="0" fontId="2" fillId="0" borderId="31" xfId="0" applyFont="1" applyBorder="1" applyAlignment="1">
      <alignment horizontal="left" vertical="center" wrapText="1"/>
    </xf>
    <xf numFmtId="0" fontId="2" fillId="0" borderId="23" xfId="0" applyFont="1" applyBorder="1" applyAlignment="1">
      <alignment horizontal="left" vertical="center" wrapText="1"/>
    </xf>
    <xf numFmtId="0" fontId="2" fillId="0" borderId="0" xfId="0" applyFont="1" applyBorder="1" applyAlignment="1">
      <alignment horizontal="left" vertical="center" wrapText="1"/>
    </xf>
    <xf numFmtId="0" fontId="2" fillId="0" borderId="32" xfId="0" applyFont="1" applyBorder="1" applyAlignment="1">
      <alignment horizontal="left" vertical="center" wrapText="1"/>
    </xf>
    <xf numFmtId="0" fontId="2" fillId="0" borderId="22" xfId="0" applyFont="1" applyBorder="1" applyAlignment="1">
      <alignment horizontal="left" vertical="center" wrapText="1"/>
    </xf>
    <xf numFmtId="0" fontId="2" fillId="0" borderId="21" xfId="0" applyFont="1" applyBorder="1" applyAlignment="1">
      <alignment horizontal="left" vertical="center" wrapText="1"/>
    </xf>
    <xf numFmtId="0" fontId="2" fillId="0" borderId="33" xfId="0" applyFont="1" applyBorder="1" applyAlignment="1">
      <alignment horizontal="left" vertical="center" wrapText="1"/>
    </xf>
    <xf numFmtId="0" fontId="0" fillId="0" borderId="2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16" fillId="0" borderId="0" xfId="0" applyFont="1" applyBorder="1" applyAlignment="1">
      <alignment vertical="center"/>
    </xf>
    <xf numFmtId="0" fontId="16" fillId="0" borderId="131" xfId="0" applyFont="1" applyFill="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131" xfId="0" applyFont="1" applyBorder="1" applyAlignment="1">
      <alignment vertical="center"/>
    </xf>
    <xf numFmtId="0" fontId="16" fillId="0" borderId="24" xfId="0" applyFont="1" applyBorder="1" applyAlignment="1">
      <alignment vertical="center"/>
    </xf>
    <xf numFmtId="0" fontId="16" fillId="0" borderId="25" xfId="0" applyFont="1" applyBorder="1" applyAlignment="1">
      <alignment vertical="center"/>
    </xf>
    <xf numFmtId="0" fontId="67" fillId="0" borderId="30" xfId="0" applyFont="1" applyBorder="1" applyAlignment="1">
      <alignment horizontal="left" vertical="center" wrapText="1"/>
    </xf>
    <xf numFmtId="0" fontId="67" fillId="0" borderId="1" xfId="0" applyFont="1" applyBorder="1" applyAlignment="1">
      <alignment horizontal="left" vertical="center" wrapText="1"/>
    </xf>
    <xf numFmtId="0" fontId="67" fillId="0" borderId="31" xfId="0" applyFont="1" applyBorder="1" applyAlignment="1">
      <alignment horizontal="left" vertical="center" wrapText="1"/>
    </xf>
    <xf numFmtId="0" fontId="67" fillId="0" borderId="22" xfId="0" applyFont="1" applyBorder="1" applyAlignment="1">
      <alignment horizontal="left" vertical="center" wrapText="1"/>
    </xf>
    <xf numFmtId="0" fontId="67" fillId="0" borderId="21" xfId="0" applyFont="1" applyBorder="1" applyAlignment="1">
      <alignment horizontal="left" vertical="center" wrapText="1"/>
    </xf>
    <xf numFmtId="0" fontId="67" fillId="0" borderId="33" xfId="0" applyFont="1" applyBorder="1" applyAlignment="1">
      <alignment horizontal="left" vertical="center" wrapText="1"/>
    </xf>
    <xf numFmtId="0" fontId="16" fillId="0" borderId="30" xfId="0" applyFont="1" applyBorder="1" applyAlignment="1">
      <alignment horizontal="left" vertical="top" wrapText="1"/>
    </xf>
    <xf numFmtId="0" fontId="16" fillId="0" borderId="1" xfId="0" applyFont="1" applyBorder="1" applyAlignment="1">
      <alignment horizontal="left" vertical="top" wrapText="1"/>
    </xf>
    <xf numFmtId="0" fontId="16" fillId="0" borderId="31" xfId="0" applyFont="1" applyBorder="1" applyAlignment="1">
      <alignment horizontal="left" vertical="top" wrapText="1"/>
    </xf>
    <xf numFmtId="0" fontId="16" fillId="0" borderId="23" xfId="0" applyFont="1" applyBorder="1" applyAlignment="1">
      <alignment horizontal="left" vertical="top" wrapText="1"/>
    </xf>
    <xf numFmtId="0" fontId="16" fillId="0" borderId="0" xfId="0" applyFont="1" applyBorder="1" applyAlignment="1">
      <alignment horizontal="left" vertical="top" wrapText="1"/>
    </xf>
    <xf numFmtId="0" fontId="16" fillId="0" borderId="32" xfId="0" applyFont="1" applyBorder="1" applyAlignment="1">
      <alignment horizontal="left" vertical="top" wrapText="1"/>
    </xf>
    <xf numFmtId="0" fontId="16" fillId="0" borderId="22" xfId="0" applyFont="1" applyBorder="1" applyAlignment="1">
      <alignment horizontal="left" vertical="top" wrapText="1"/>
    </xf>
    <xf numFmtId="0" fontId="16" fillId="0" borderId="21" xfId="0" applyFont="1" applyBorder="1" applyAlignment="1">
      <alignment horizontal="left" vertical="top" wrapText="1"/>
    </xf>
    <xf numFmtId="0" fontId="16" fillId="0" borderId="33" xfId="0" applyFont="1" applyBorder="1" applyAlignment="1">
      <alignment horizontal="left" vertical="top" wrapText="1"/>
    </xf>
    <xf numFmtId="0" fontId="16" fillId="0" borderId="26"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0" fillId="0" borderId="30" xfId="0" applyFont="1" applyBorder="1" applyAlignment="1">
      <alignment horizontal="left" vertical="center"/>
    </xf>
    <xf numFmtId="0" fontId="0" fillId="0" borderId="1" xfId="0" applyBorder="1" applyAlignment="1">
      <alignment/>
    </xf>
    <xf numFmtId="0" fontId="0" fillId="0" borderId="31" xfId="0" applyBorder="1" applyAlignment="1">
      <alignment/>
    </xf>
    <xf numFmtId="0" fontId="0" fillId="0" borderId="22" xfId="0" applyFont="1" applyBorder="1" applyAlignment="1">
      <alignment horizontal="left" vertical="center"/>
    </xf>
    <xf numFmtId="0" fontId="0" fillId="0" borderId="21" xfId="0" applyFont="1" applyBorder="1" applyAlignment="1">
      <alignment horizontal="left" vertical="center"/>
    </xf>
    <xf numFmtId="0" fontId="0" fillId="0" borderId="33" xfId="0" applyBorder="1" applyAlignment="1">
      <alignment/>
    </xf>
    <xf numFmtId="0" fontId="16" fillId="0" borderId="22" xfId="0" applyFont="1" applyBorder="1" applyAlignment="1">
      <alignment horizontal="left" vertical="center" wrapText="1"/>
    </xf>
    <xf numFmtId="0" fontId="16" fillId="0" borderId="21" xfId="0" applyFont="1" applyBorder="1" applyAlignment="1">
      <alignment horizontal="left" vertical="center" wrapText="1"/>
    </xf>
    <xf numFmtId="0" fontId="16" fillId="0" borderId="33" xfId="0" applyFont="1" applyBorder="1" applyAlignment="1">
      <alignment horizontal="left" vertical="center" wrapText="1"/>
    </xf>
    <xf numFmtId="0" fontId="0" fillId="0" borderId="131"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2" fillId="0" borderId="30" xfId="0" applyFont="1" applyBorder="1" applyAlignment="1">
      <alignment horizontal="left" vertical="center"/>
    </xf>
    <xf numFmtId="0" fontId="2" fillId="0" borderId="1" xfId="0" applyFont="1" applyBorder="1" applyAlignment="1">
      <alignment horizontal="left" vertical="center"/>
    </xf>
    <xf numFmtId="0" fontId="2" fillId="0" borderId="31" xfId="0" applyFont="1" applyBorder="1" applyAlignment="1">
      <alignment horizontal="left" vertical="center"/>
    </xf>
    <xf numFmtId="0" fontId="2" fillId="0" borderId="23" xfId="0" applyFont="1" applyBorder="1" applyAlignment="1">
      <alignment horizontal="left" vertical="center"/>
    </xf>
    <xf numFmtId="0" fontId="2" fillId="0" borderId="0" xfId="0" applyFont="1" applyBorder="1" applyAlignment="1">
      <alignment horizontal="left" vertical="center"/>
    </xf>
    <xf numFmtId="0" fontId="2" fillId="0" borderId="32" xfId="0" applyFont="1" applyBorder="1" applyAlignment="1">
      <alignment horizontal="left" vertical="center"/>
    </xf>
    <xf numFmtId="0" fontId="2" fillId="0" borderId="22" xfId="0" applyFont="1" applyBorder="1" applyAlignment="1">
      <alignment horizontal="left" vertical="center"/>
    </xf>
    <xf numFmtId="0" fontId="2" fillId="0" borderId="21" xfId="0" applyFont="1" applyBorder="1" applyAlignment="1">
      <alignment horizontal="left" vertical="center"/>
    </xf>
    <xf numFmtId="0" fontId="2" fillId="0" borderId="33" xfId="0" applyFont="1" applyBorder="1" applyAlignment="1">
      <alignment horizontal="left" vertical="center"/>
    </xf>
    <xf numFmtId="0" fontId="2" fillId="0" borderId="3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3" xfId="0" applyFont="1" applyBorder="1" applyAlignment="1">
      <alignment horizontal="center" vertical="center" wrapText="1"/>
    </xf>
    <xf numFmtId="0" fontId="16" fillId="0" borderId="26" xfId="0" applyFont="1" applyFill="1" applyBorder="1" applyAlignment="1">
      <alignment horizontal="left" vertical="center" wrapText="1"/>
    </xf>
    <xf numFmtId="0" fontId="16" fillId="0" borderId="28" xfId="0" applyFont="1" applyFill="1" applyBorder="1" applyAlignment="1">
      <alignment horizontal="left" vertical="center" wrapText="1"/>
    </xf>
    <xf numFmtId="0" fontId="16" fillId="0" borderId="26" xfId="0" applyFont="1" applyBorder="1" applyAlignment="1">
      <alignment horizontal="center" vertical="center"/>
    </xf>
    <xf numFmtId="0" fontId="16" fillId="0" borderId="28" xfId="0" applyFont="1" applyBorder="1" applyAlignment="1">
      <alignment horizontal="center" vertical="center"/>
    </xf>
    <xf numFmtId="0" fontId="16" fillId="0" borderId="23"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2" fillId="0" borderId="13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0" fillId="0" borderId="31" xfId="0" applyFont="1" applyBorder="1" applyAlignment="1">
      <alignment horizontal="left" vertical="center"/>
    </xf>
    <xf numFmtId="0" fontId="0" fillId="0" borderId="33" xfId="0" applyFont="1" applyBorder="1" applyAlignment="1">
      <alignment horizontal="left" vertical="center"/>
    </xf>
    <xf numFmtId="0" fontId="16" fillId="0" borderId="131" xfId="0" applyFont="1" applyFill="1" applyBorder="1" applyAlignment="1">
      <alignment horizontal="center" vertical="top" wrapText="1"/>
    </xf>
    <xf numFmtId="0" fontId="16" fillId="0" borderId="24" xfId="0" applyFont="1" applyFill="1" applyBorder="1" applyAlignment="1">
      <alignment horizontal="center" vertical="top" wrapText="1"/>
    </xf>
    <xf numFmtId="0" fontId="16" fillId="0" borderId="25" xfId="0" applyFont="1" applyFill="1" applyBorder="1" applyAlignment="1">
      <alignment horizontal="center" vertical="top" wrapText="1"/>
    </xf>
    <xf numFmtId="0" fontId="16" fillId="0" borderId="30"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7" fillId="0" borderId="21" xfId="20" applyFont="1" applyBorder="1" applyAlignment="1">
      <alignment horizontal="left" vertical="center" wrapText="1"/>
      <protection/>
    </xf>
    <xf numFmtId="0" fontId="9" fillId="0" borderId="0" xfId="0" applyFont="1" applyAlignment="1">
      <alignment horizontal="left" vertical="center" wrapText="1"/>
    </xf>
    <xf numFmtId="0" fontId="7" fillId="0" borderId="0" xfId="0" applyFont="1" applyAlignment="1">
      <alignment horizontal="left" vertical="center" wrapText="1"/>
    </xf>
    <xf numFmtId="0" fontId="32" fillId="0" borderId="232" xfId="0" applyFont="1" applyBorder="1" applyAlignment="1" applyProtection="1">
      <alignment vertical="top"/>
      <protection/>
    </xf>
    <xf numFmtId="0" fontId="32" fillId="0" borderId="232" xfId="0" applyFont="1" applyFill="1" applyBorder="1" applyAlignment="1" applyProtection="1">
      <alignment vertical="top"/>
      <protection/>
    </xf>
    <xf numFmtId="0" fontId="0" fillId="5" borderId="21" xfId="0" applyFill="1" applyBorder="1" applyAlignment="1" applyProtection="1">
      <alignment/>
      <protection locked="0"/>
    </xf>
  </cellXfs>
  <cellStyles count="8">
    <cellStyle name="Normal" xfId="0"/>
    <cellStyle name="Comma" xfId="15"/>
    <cellStyle name="Comma [0]" xfId="16"/>
    <cellStyle name="Currency" xfId="17"/>
    <cellStyle name="Currency [0]" xfId="18"/>
    <cellStyle name="Hyperlink" xfId="19"/>
    <cellStyle name="Normal_RF-EVAP"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590_J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Job Sheet"/>
      <sheetName val="Land Base Requirement "/>
      <sheetName val="CO Nitrogen Leaching Index"/>
      <sheetName val="CO Phosphorus Index"/>
      <sheetName val="Tables"/>
    </sheetNames>
    <sheetDataSet>
      <sheetData sheetId="5">
        <row r="5">
          <cell r="A5" t="str">
            <v>Alfalfa, green chop</v>
          </cell>
          <cell r="B5">
            <v>10</v>
          </cell>
          <cell r="C5" t="str">
            <v>ton</v>
          </cell>
          <cell r="D5">
            <v>2000</v>
          </cell>
          <cell r="E5">
            <v>25</v>
          </cell>
          <cell r="F5">
            <v>3.4</v>
          </cell>
          <cell r="G5">
            <v>0.32</v>
          </cell>
          <cell r="H5">
            <v>2.72</v>
          </cell>
        </row>
        <row r="6">
          <cell r="A6" t="str">
            <v>Alfalfa, hay</v>
          </cell>
          <cell r="B6">
            <v>4</v>
          </cell>
          <cell r="C6" t="str">
            <v>ton</v>
          </cell>
          <cell r="D6">
            <v>2000</v>
          </cell>
          <cell r="E6">
            <v>85</v>
          </cell>
          <cell r="F6">
            <v>2.8</v>
          </cell>
          <cell r="G6">
            <v>0.26</v>
          </cell>
          <cell r="H6">
            <v>2.2</v>
          </cell>
        </row>
        <row r="7">
          <cell r="A7" t="str">
            <v>Alfalfa-Smooth Brome, hay</v>
          </cell>
          <cell r="C7" t="str">
            <v>ton</v>
          </cell>
          <cell r="D7">
            <v>2000</v>
          </cell>
          <cell r="E7">
            <v>85</v>
          </cell>
          <cell r="F7">
            <v>2.418</v>
          </cell>
          <cell r="G7">
            <v>0.271</v>
          </cell>
          <cell r="H7">
            <v>1.898</v>
          </cell>
        </row>
        <row r="8">
          <cell r="A8" t="str">
            <v>Alfalfa-Timothy, hay</v>
          </cell>
          <cell r="C8" t="str">
            <v>ton</v>
          </cell>
          <cell r="D8">
            <v>2000</v>
          </cell>
          <cell r="E8">
            <v>85</v>
          </cell>
          <cell r="F8">
            <v>2.173</v>
          </cell>
          <cell r="G8">
            <v>0.633</v>
          </cell>
          <cell r="H8">
            <v>2.16</v>
          </cell>
        </row>
        <row r="9">
          <cell r="A9" t="str">
            <v>Alsike clover, hay</v>
          </cell>
          <cell r="B9">
            <v>2</v>
          </cell>
          <cell r="C9" t="str">
            <v>ton</v>
          </cell>
          <cell r="D9">
            <v>2000</v>
          </cell>
          <cell r="E9">
            <v>85</v>
          </cell>
          <cell r="F9">
            <v>2.4</v>
          </cell>
          <cell r="G9">
            <v>0.223</v>
          </cell>
          <cell r="H9">
            <v>2.482</v>
          </cell>
        </row>
        <row r="10">
          <cell r="A10" t="str">
            <v>Apples</v>
          </cell>
          <cell r="B10">
            <v>500</v>
          </cell>
          <cell r="C10" t="str">
            <v>bu</v>
          </cell>
          <cell r="D10">
            <v>48</v>
          </cell>
          <cell r="E10">
            <v>18</v>
          </cell>
          <cell r="F10">
            <v>0.444</v>
          </cell>
          <cell r="G10">
            <v>0.111</v>
          </cell>
          <cell r="H10">
            <v>0.888</v>
          </cell>
        </row>
        <row r="11">
          <cell r="A11" t="str">
            <v>Barley, grain</v>
          </cell>
          <cell r="B11">
            <v>110</v>
          </cell>
          <cell r="C11" t="str">
            <v>bu</v>
          </cell>
          <cell r="D11">
            <v>48</v>
          </cell>
          <cell r="E11">
            <v>86</v>
          </cell>
          <cell r="F11">
            <v>2.112</v>
          </cell>
          <cell r="G11">
            <v>0.418</v>
          </cell>
          <cell r="H11">
            <v>0.537</v>
          </cell>
        </row>
        <row r="12">
          <cell r="A12" t="str">
            <v>Barley, hay</v>
          </cell>
          <cell r="B12">
            <v>2</v>
          </cell>
          <cell r="C12" t="str">
            <v>ton</v>
          </cell>
          <cell r="D12">
            <v>2000</v>
          </cell>
          <cell r="E12">
            <v>85</v>
          </cell>
          <cell r="F12">
            <v>1.411</v>
          </cell>
          <cell r="G12">
            <v>0.258</v>
          </cell>
          <cell r="H12">
            <v>1.494</v>
          </cell>
        </row>
        <row r="13">
          <cell r="A13" t="str">
            <v>Barley, straw</v>
          </cell>
          <cell r="C13" t="str">
            <v>ton</v>
          </cell>
          <cell r="D13">
            <v>2000</v>
          </cell>
          <cell r="E13">
            <v>90</v>
          </cell>
          <cell r="F13">
            <v>0.8</v>
          </cell>
          <cell r="G13">
            <v>0.111</v>
          </cell>
          <cell r="H13">
            <v>1.794</v>
          </cell>
        </row>
        <row r="14">
          <cell r="A14" t="str">
            <v>Bean, dry</v>
          </cell>
          <cell r="B14">
            <v>25</v>
          </cell>
          <cell r="C14" t="str">
            <v>bu</v>
          </cell>
          <cell r="D14">
            <v>60</v>
          </cell>
          <cell r="E14">
            <v>90</v>
          </cell>
          <cell r="F14">
            <v>4</v>
          </cell>
          <cell r="G14">
            <v>0.5</v>
          </cell>
          <cell r="H14">
            <v>0.95</v>
          </cell>
        </row>
        <row r="15">
          <cell r="A15" t="str">
            <v>Bean, snap </v>
          </cell>
          <cell r="B15">
            <v>3</v>
          </cell>
          <cell r="C15" t="str">
            <v>ton</v>
          </cell>
          <cell r="D15">
            <v>2000</v>
          </cell>
          <cell r="E15">
            <v>13</v>
          </cell>
          <cell r="F15">
            <v>3</v>
          </cell>
          <cell r="G15">
            <v>2</v>
          </cell>
          <cell r="H15">
            <v>7.38</v>
          </cell>
        </row>
        <row r="16">
          <cell r="A16" t="str">
            <v>Beet, sugar </v>
          </cell>
          <cell r="B16">
            <v>20</v>
          </cell>
          <cell r="C16" t="str">
            <v>ton</v>
          </cell>
          <cell r="D16">
            <v>2000</v>
          </cell>
          <cell r="E16">
            <v>23</v>
          </cell>
          <cell r="F16">
            <v>1.08</v>
          </cell>
          <cell r="G16">
            <v>0.347</v>
          </cell>
          <cell r="H16">
            <v>1.217</v>
          </cell>
        </row>
        <row r="17">
          <cell r="A17" t="str">
            <v>Beet, table</v>
          </cell>
          <cell r="B17">
            <v>15</v>
          </cell>
          <cell r="C17" t="str">
            <v>ton</v>
          </cell>
          <cell r="D17">
            <v>2000</v>
          </cell>
          <cell r="E17">
            <v>13</v>
          </cell>
          <cell r="F17">
            <v>1.95</v>
          </cell>
          <cell r="G17">
            <v>0.61</v>
          </cell>
          <cell r="H17">
            <v>2.15</v>
          </cell>
        </row>
        <row r="18">
          <cell r="A18" t="str">
            <v>Beet, tops</v>
          </cell>
          <cell r="C18" t="str">
            <v>ton</v>
          </cell>
          <cell r="D18">
            <v>2000</v>
          </cell>
          <cell r="E18">
            <v>18</v>
          </cell>
          <cell r="F18">
            <v>2.5</v>
          </cell>
          <cell r="G18">
            <v>0.222</v>
          </cell>
          <cell r="H18">
            <v>5.72</v>
          </cell>
        </row>
        <row r="19">
          <cell r="A19" t="str">
            <v>Bluegrass, Kentucky, hay</v>
          </cell>
          <cell r="B19">
            <v>2</v>
          </cell>
          <cell r="C19" t="str">
            <v>ton</v>
          </cell>
          <cell r="D19">
            <v>2000</v>
          </cell>
          <cell r="E19">
            <v>85</v>
          </cell>
          <cell r="F19">
            <v>1.752</v>
          </cell>
          <cell r="G19">
            <v>0.211</v>
          </cell>
          <cell r="H19">
            <v>1.729</v>
          </cell>
        </row>
        <row r="20">
          <cell r="A20" t="str">
            <v>Bluestem, Big, hay</v>
          </cell>
          <cell r="B20">
            <v>3</v>
          </cell>
          <cell r="C20" t="str">
            <v>ton</v>
          </cell>
          <cell r="D20">
            <v>2000</v>
          </cell>
          <cell r="E20">
            <v>80</v>
          </cell>
          <cell r="F20">
            <v>1.1</v>
          </cell>
          <cell r="G20">
            <v>0.85</v>
          </cell>
          <cell r="H20">
            <v>1.75</v>
          </cell>
        </row>
        <row r="21">
          <cell r="A21" t="str">
            <v>Bluestem, Little, hay</v>
          </cell>
          <cell r="B21">
            <v>3</v>
          </cell>
          <cell r="C21" t="str">
            <v>ton</v>
          </cell>
          <cell r="D21">
            <v>2000</v>
          </cell>
          <cell r="E21">
            <v>80</v>
          </cell>
          <cell r="F21">
            <v>1.237</v>
          </cell>
          <cell r="G21">
            <v>0.85</v>
          </cell>
          <cell r="H21">
            <v>1.45</v>
          </cell>
        </row>
        <row r="22">
          <cell r="A22" t="str">
            <v>Bromegrass, Smooth, hay</v>
          </cell>
          <cell r="B22">
            <v>5</v>
          </cell>
          <cell r="C22" t="str">
            <v>ton</v>
          </cell>
          <cell r="D22">
            <v>2000</v>
          </cell>
          <cell r="E22">
            <v>85</v>
          </cell>
          <cell r="F22">
            <v>1.87</v>
          </cell>
          <cell r="G22">
            <v>0.211</v>
          </cell>
          <cell r="H22">
            <v>2.541</v>
          </cell>
        </row>
        <row r="23">
          <cell r="A23" t="str">
            <v>Cabbage</v>
          </cell>
          <cell r="B23">
            <v>360</v>
          </cell>
          <cell r="C23" t="str">
            <v>cwt</v>
          </cell>
          <cell r="D23">
            <v>100</v>
          </cell>
          <cell r="E23">
            <v>9</v>
          </cell>
          <cell r="F23">
            <v>3.666</v>
          </cell>
          <cell r="G23">
            <v>0.444</v>
          </cell>
          <cell r="H23">
            <v>3</v>
          </cell>
        </row>
        <row r="24">
          <cell r="A24" t="str">
            <v>Canola, seed</v>
          </cell>
          <cell r="B24">
            <v>35</v>
          </cell>
          <cell r="C24" t="str">
            <v>bu</v>
          </cell>
          <cell r="D24">
            <v>50</v>
          </cell>
          <cell r="E24">
            <v>90</v>
          </cell>
          <cell r="F24">
            <v>3.888</v>
          </cell>
          <cell r="G24">
            <v>0.622</v>
          </cell>
          <cell r="H24">
            <v>0.977</v>
          </cell>
        </row>
        <row r="25">
          <cell r="A25" t="str">
            <v>Canola, straw</v>
          </cell>
          <cell r="B25">
            <v>3</v>
          </cell>
          <cell r="C25" t="str">
            <v>ton</v>
          </cell>
          <cell r="D25">
            <v>2000</v>
          </cell>
          <cell r="E25">
            <v>90</v>
          </cell>
          <cell r="F25">
            <v>0.555</v>
          </cell>
        </row>
        <row r="26">
          <cell r="A26" t="str">
            <v>Cantaloupe</v>
          </cell>
          <cell r="B26">
            <v>180</v>
          </cell>
          <cell r="C26" t="str">
            <v>cwt</v>
          </cell>
          <cell r="D26">
            <v>100</v>
          </cell>
          <cell r="E26">
            <v>10</v>
          </cell>
          <cell r="F26">
            <v>1.7</v>
          </cell>
          <cell r="G26">
            <v>0.9</v>
          </cell>
          <cell r="H26">
            <v>4.6</v>
          </cell>
        </row>
        <row r="27">
          <cell r="A27" t="str">
            <v>Carrot</v>
          </cell>
          <cell r="B27">
            <v>350</v>
          </cell>
          <cell r="C27" t="str">
            <v>cwt</v>
          </cell>
          <cell r="D27">
            <v>100</v>
          </cell>
          <cell r="E27">
            <v>12</v>
          </cell>
          <cell r="F27">
            <v>1.58</v>
          </cell>
          <cell r="G27">
            <v>0.333</v>
          </cell>
          <cell r="H27">
            <v>2.083</v>
          </cell>
        </row>
        <row r="28">
          <cell r="A28" t="str">
            <v>Celery</v>
          </cell>
          <cell r="B28">
            <v>27</v>
          </cell>
          <cell r="C28" t="str">
            <v>ton</v>
          </cell>
          <cell r="D28">
            <v>2000</v>
          </cell>
          <cell r="E28">
            <v>8</v>
          </cell>
          <cell r="F28">
            <v>2.125</v>
          </cell>
          <cell r="G28">
            <v>1.125</v>
          </cell>
          <cell r="H28">
            <v>5.625</v>
          </cell>
        </row>
        <row r="29">
          <cell r="A29" t="str">
            <v>Clover, Red, hay</v>
          </cell>
          <cell r="B29">
            <v>2</v>
          </cell>
          <cell r="C29" t="str">
            <v>ton</v>
          </cell>
          <cell r="D29">
            <v>2000</v>
          </cell>
          <cell r="E29">
            <v>85</v>
          </cell>
          <cell r="F29">
            <v>2.64</v>
          </cell>
          <cell r="G29">
            <v>0.258</v>
          </cell>
          <cell r="H29">
            <v>1.882</v>
          </cell>
        </row>
        <row r="30">
          <cell r="A30" t="str">
            <v>Corn, grain</v>
          </cell>
          <cell r="B30">
            <v>160</v>
          </cell>
          <cell r="C30" t="str">
            <v>bu</v>
          </cell>
          <cell r="D30">
            <v>56</v>
          </cell>
          <cell r="E30">
            <v>85</v>
          </cell>
          <cell r="F30">
            <v>1.647</v>
          </cell>
          <cell r="G30">
            <v>0.317</v>
          </cell>
          <cell r="H30">
            <v>0.4</v>
          </cell>
        </row>
        <row r="31">
          <cell r="A31" t="str">
            <v>Corn, silage </v>
          </cell>
          <cell r="B31">
            <v>20</v>
          </cell>
          <cell r="C31" t="str">
            <v>ton</v>
          </cell>
          <cell r="D31">
            <v>2000</v>
          </cell>
          <cell r="E31">
            <v>35</v>
          </cell>
          <cell r="F31">
            <v>1.26</v>
          </cell>
          <cell r="G31">
            <v>0.26</v>
          </cell>
          <cell r="H31">
            <v>0.388</v>
          </cell>
        </row>
        <row r="32">
          <cell r="A32" t="str">
            <v>Corn, stover</v>
          </cell>
          <cell r="C32" t="str">
            <v>ton</v>
          </cell>
          <cell r="D32">
            <v>2000</v>
          </cell>
          <cell r="E32">
            <v>90</v>
          </cell>
          <cell r="F32">
            <v>1.111</v>
          </cell>
          <cell r="G32">
            <v>0.2</v>
          </cell>
          <cell r="H32">
            <v>1.5</v>
          </cell>
        </row>
        <row r="33">
          <cell r="A33" t="str">
            <v>Corn, sweet </v>
          </cell>
          <cell r="B33">
            <v>160</v>
          </cell>
          <cell r="C33" t="str">
            <v>cwt</v>
          </cell>
          <cell r="D33">
            <v>100</v>
          </cell>
          <cell r="E33">
            <v>27</v>
          </cell>
          <cell r="F33">
            <v>1.592</v>
          </cell>
          <cell r="G33">
            <v>0.888</v>
          </cell>
          <cell r="H33">
            <v>2.148</v>
          </cell>
        </row>
        <row r="34">
          <cell r="A34" t="str">
            <v>Cucumber</v>
          </cell>
          <cell r="B34">
            <v>8</v>
          </cell>
          <cell r="C34" t="str">
            <v>ton</v>
          </cell>
          <cell r="D34">
            <v>2000</v>
          </cell>
          <cell r="E34">
            <v>5</v>
          </cell>
          <cell r="F34">
            <v>4</v>
          </cell>
          <cell r="G34">
            <v>1.4</v>
          </cell>
          <cell r="H34">
            <v>6.6</v>
          </cell>
        </row>
        <row r="35">
          <cell r="A35" t="str">
            <v>Flax, seed</v>
          </cell>
          <cell r="B35">
            <v>15</v>
          </cell>
          <cell r="C35" t="str">
            <v>bu</v>
          </cell>
          <cell r="D35">
            <v>56</v>
          </cell>
          <cell r="E35">
            <v>93</v>
          </cell>
          <cell r="F35">
            <v>3.763</v>
          </cell>
          <cell r="G35">
            <v>0.548</v>
          </cell>
          <cell r="H35">
            <v>0.817</v>
          </cell>
        </row>
        <row r="36">
          <cell r="A36" t="str">
            <v>Flax, straw</v>
          </cell>
          <cell r="B36">
            <v>2</v>
          </cell>
          <cell r="C36" t="str">
            <v>ton</v>
          </cell>
          <cell r="D36">
            <v>2000</v>
          </cell>
          <cell r="E36">
            <v>90</v>
          </cell>
          <cell r="F36">
            <v>1.233</v>
          </cell>
          <cell r="G36">
            <v>0.111</v>
          </cell>
          <cell r="H36">
            <v>1.755</v>
          </cell>
        </row>
        <row r="37">
          <cell r="A37" t="str">
            <v>Grapes</v>
          </cell>
          <cell r="B37">
            <v>12</v>
          </cell>
          <cell r="C37" t="str">
            <v>ton</v>
          </cell>
          <cell r="D37">
            <v>2000</v>
          </cell>
          <cell r="E37">
            <v>20</v>
          </cell>
          <cell r="F37">
            <v>0.7</v>
          </cell>
          <cell r="G37">
            <v>0.5</v>
          </cell>
          <cell r="H37">
            <v>2.5</v>
          </cell>
        </row>
        <row r="38">
          <cell r="A38" t="str">
            <v>Indiangrass, hay</v>
          </cell>
          <cell r="B38">
            <v>3</v>
          </cell>
          <cell r="C38" t="str">
            <v>ton</v>
          </cell>
          <cell r="D38">
            <v>2000</v>
          </cell>
          <cell r="E38">
            <v>85</v>
          </cell>
          <cell r="F38">
            <v>1</v>
          </cell>
          <cell r="G38">
            <v>0.847</v>
          </cell>
          <cell r="H38">
            <v>1.2</v>
          </cell>
        </row>
        <row r="39">
          <cell r="A39" t="str">
            <v>Lespedeza, hay</v>
          </cell>
          <cell r="B39">
            <v>3</v>
          </cell>
          <cell r="C39" t="str">
            <v>ton</v>
          </cell>
          <cell r="D39">
            <v>2000</v>
          </cell>
          <cell r="E39">
            <v>85</v>
          </cell>
          <cell r="F39">
            <v>2.329</v>
          </cell>
          <cell r="G39">
            <v>0.2117</v>
          </cell>
          <cell r="H39">
            <v>1.05</v>
          </cell>
        </row>
        <row r="40">
          <cell r="A40" t="str">
            <v>Lettuce, head</v>
          </cell>
          <cell r="B40">
            <v>340</v>
          </cell>
          <cell r="C40" t="str">
            <v>cwt</v>
          </cell>
          <cell r="D40">
            <v>100</v>
          </cell>
          <cell r="E40">
            <v>5</v>
          </cell>
          <cell r="F40">
            <v>4.6</v>
          </cell>
          <cell r="G40">
            <v>1.6</v>
          </cell>
          <cell r="H40">
            <v>9.2</v>
          </cell>
        </row>
        <row r="41">
          <cell r="A41" t="str">
            <v>Millet, Proso</v>
          </cell>
          <cell r="C41" t="str">
            <v>bu</v>
          </cell>
          <cell r="D41">
            <v>56</v>
          </cell>
          <cell r="E41">
            <v>86</v>
          </cell>
          <cell r="F41">
            <v>2.069</v>
          </cell>
          <cell r="G41">
            <v>0.335</v>
          </cell>
          <cell r="H41">
            <v>0.479</v>
          </cell>
        </row>
        <row r="42">
          <cell r="A42" t="str">
            <v>Oat, grain</v>
          </cell>
          <cell r="B42">
            <v>80</v>
          </cell>
          <cell r="C42" t="str">
            <v>bu</v>
          </cell>
          <cell r="D42">
            <v>32</v>
          </cell>
          <cell r="E42">
            <v>86</v>
          </cell>
          <cell r="F42">
            <v>2.209</v>
          </cell>
          <cell r="G42">
            <v>0.372</v>
          </cell>
          <cell r="H42">
            <v>0.488</v>
          </cell>
        </row>
        <row r="43">
          <cell r="A43" t="str">
            <v>Oat, hay</v>
          </cell>
          <cell r="B43">
            <v>2</v>
          </cell>
          <cell r="C43" t="str">
            <v>ton</v>
          </cell>
          <cell r="D43">
            <v>2000</v>
          </cell>
          <cell r="E43">
            <v>85</v>
          </cell>
          <cell r="F43">
            <v>1.78</v>
          </cell>
          <cell r="G43">
            <v>0.24</v>
          </cell>
          <cell r="H43">
            <v>1.58</v>
          </cell>
        </row>
        <row r="44">
          <cell r="A44" t="str">
            <v>Oat, silage</v>
          </cell>
          <cell r="B44">
            <v>10</v>
          </cell>
          <cell r="C44" t="str">
            <v>ton</v>
          </cell>
          <cell r="D44">
            <v>2000</v>
          </cell>
          <cell r="E44">
            <v>25</v>
          </cell>
          <cell r="F44">
            <v>2.12</v>
          </cell>
          <cell r="G44">
            <v>0.28</v>
          </cell>
          <cell r="H44">
            <v>1.88</v>
          </cell>
        </row>
        <row r="45">
          <cell r="A45" t="str">
            <v>Oat, straw</v>
          </cell>
          <cell r="C45" t="str">
            <v>ton</v>
          </cell>
          <cell r="D45">
            <v>2000</v>
          </cell>
          <cell r="E45">
            <v>90</v>
          </cell>
          <cell r="F45">
            <v>0.71</v>
          </cell>
          <cell r="G45">
            <v>0.366</v>
          </cell>
          <cell r="H45">
            <v>2.388</v>
          </cell>
        </row>
        <row r="46">
          <cell r="A46" t="str">
            <v>Onion</v>
          </cell>
          <cell r="B46">
            <v>370</v>
          </cell>
          <cell r="C46" t="str">
            <v>cwt</v>
          </cell>
          <cell r="D46">
            <v>100</v>
          </cell>
          <cell r="E46">
            <v>10</v>
          </cell>
          <cell r="F46">
            <v>3</v>
          </cell>
          <cell r="G46">
            <v>0.6</v>
          </cell>
          <cell r="H46">
            <v>2.2</v>
          </cell>
        </row>
        <row r="47">
          <cell r="A47" t="str">
            <v>Orchardgrass, hay</v>
          </cell>
          <cell r="B47">
            <v>6</v>
          </cell>
          <cell r="C47" t="str">
            <v>ton</v>
          </cell>
          <cell r="D47">
            <v>2000</v>
          </cell>
          <cell r="E47">
            <v>85</v>
          </cell>
          <cell r="F47">
            <v>1.7058</v>
          </cell>
          <cell r="G47">
            <v>0.258</v>
          </cell>
          <cell r="H47">
            <v>2.635</v>
          </cell>
        </row>
        <row r="48">
          <cell r="A48" t="str">
            <v>Peaches</v>
          </cell>
          <cell r="B48">
            <v>15</v>
          </cell>
          <cell r="C48" t="str">
            <v>ton</v>
          </cell>
          <cell r="D48">
            <v>2000</v>
          </cell>
          <cell r="E48">
            <v>12</v>
          </cell>
          <cell r="F48">
            <v>1.166</v>
          </cell>
          <cell r="G48">
            <v>0.25</v>
          </cell>
          <cell r="H48">
            <v>1.583</v>
          </cell>
        </row>
        <row r="49">
          <cell r="A49" t="str">
            <v>Peas</v>
          </cell>
          <cell r="B49">
            <v>1.5</v>
          </cell>
          <cell r="C49" t="str">
            <v>ton</v>
          </cell>
          <cell r="D49">
            <v>2000</v>
          </cell>
          <cell r="E49">
            <v>20</v>
          </cell>
          <cell r="F49">
            <v>4.2</v>
          </cell>
          <cell r="G49">
            <v>2</v>
          </cell>
          <cell r="H49">
            <v>4.5</v>
          </cell>
        </row>
        <row r="50">
          <cell r="A50" t="str">
            <v>Pepper, bell </v>
          </cell>
          <cell r="B50">
            <v>9</v>
          </cell>
          <cell r="C50" t="str">
            <v>ton</v>
          </cell>
          <cell r="D50">
            <v>2000</v>
          </cell>
          <cell r="E50">
            <v>8</v>
          </cell>
          <cell r="F50">
            <v>2.5</v>
          </cell>
          <cell r="G50">
            <v>1.5</v>
          </cell>
          <cell r="H50">
            <v>6.12</v>
          </cell>
        </row>
        <row r="51">
          <cell r="A51" t="str">
            <v>Potato</v>
          </cell>
          <cell r="B51">
            <v>290</v>
          </cell>
          <cell r="C51" t="str">
            <v>cwt</v>
          </cell>
          <cell r="D51">
            <v>100</v>
          </cell>
          <cell r="E51">
            <v>25</v>
          </cell>
          <cell r="F51">
            <v>1.6</v>
          </cell>
          <cell r="G51">
            <v>0.24</v>
          </cell>
          <cell r="H51">
            <v>2.08</v>
          </cell>
        </row>
        <row r="52">
          <cell r="A52" t="str">
            <v>Potato, sweet</v>
          </cell>
          <cell r="B52">
            <v>7</v>
          </cell>
          <cell r="C52" t="str">
            <v>ton</v>
          </cell>
          <cell r="D52">
            <v>2000</v>
          </cell>
          <cell r="E52">
            <v>28</v>
          </cell>
          <cell r="F52">
            <v>1.07</v>
          </cell>
          <cell r="G52">
            <v>0.142</v>
          </cell>
          <cell r="H52">
            <v>1.5</v>
          </cell>
        </row>
        <row r="53">
          <cell r="A53" t="str">
            <v>Rape, seed</v>
          </cell>
          <cell r="B53">
            <v>35</v>
          </cell>
          <cell r="C53" t="str">
            <v>bu</v>
          </cell>
          <cell r="D53">
            <v>50</v>
          </cell>
          <cell r="E53">
            <v>90</v>
          </cell>
          <cell r="F53">
            <v>3.6</v>
          </cell>
          <cell r="G53">
            <v>0.788</v>
          </cell>
          <cell r="H53">
            <v>0.755</v>
          </cell>
        </row>
        <row r="54">
          <cell r="A54" t="str">
            <v>Rape, straw</v>
          </cell>
          <cell r="B54">
            <v>3</v>
          </cell>
          <cell r="C54" t="str">
            <v>ton</v>
          </cell>
          <cell r="D54">
            <v>2000</v>
          </cell>
          <cell r="E54">
            <v>90</v>
          </cell>
          <cell r="F54">
            <v>4.444</v>
          </cell>
          <cell r="G54">
            <v>0.43</v>
          </cell>
          <cell r="H54">
            <v>3.333</v>
          </cell>
        </row>
        <row r="55">
          <cell r="A55" t="str">
            <v>Reed canarygrass, hay</v>
          </cell>
          <cell r="B55">
            <v>6</v>
          </cell>
          <cell r="C55" t="str">
            <v>ton</v>
          </cell>
          <cell r="D55">
            <v>2000</v>
          </cell>
          <cell r="E55">
            <v>85</v>
          </cell>
          <cell r="F55">
            <v>1.705</v>
          </cell>
          <cell r="G55">
            <v>0.2823</v>
          </cell>
          <cell r="H55">
            <v>2.988</v>
          </cell>
        </row>
        <row r="56">
          <cell r="A56" t="str">
            <v>Rye, grain</v>
          </cell>
          <cell r="B56">
            <v>30</v>
          </cell>
          <cell r="C56" t="str">
            <v>bu</v>
          </cell>
          <cell r="D56">
            <v>56</v>
          </cell>
          <cell r="E56">
            <v>86</v>
          </cell>
          <cell r="F56">
            <v>2.209</v>
          </cell>
          <cell r="G56">
            <v>0.372</v>
          </cell>
          <cell r="H56">
            <v>0.523</v>
          </cell>
        </row>
        <row r="57">
          <cell r="A57" t="str">
            <v>Rye, straw</v>
          </cell>
          <cell r="B57">
            <v>1</v>
          </cell>
          <cell r="C57" t="str">
            <v>ton</v>
          </cell>
          <cell r="D57">
            <v>2000</v>
          </cell>
          <cell r="E57">
            <v>90</v>
          </cell>
          <cell r="F57">
            <v>0.5</v>
          </cell>
          <cell r="G57">
            <v>0.122</v>
          </cell>
          <cell r="H57">
            <v>0.688</v>
          </cell>
        </row>
        <row r="58">
          <cell r="A58" t="str">
            <v>Ryegrass, hay</v>
          </cell>
          <cell r="B58">
            <v>5</v>
          </cell>
          <cell r="C58" t="str">
            <v>ton</v>
          </cell>
          <cell r="D58">
            <v>2000</v>
          </cell>
          <cell r="E58">
            <v>85</v>
          </cell>
          <cell r="F58">
            <v>1.705</v>
          </cell>
          <cell r="G58">
            <v>0.294</v>
          </cell>
          <cell r="H58">
            <v>2.188</v>
          </cell>
        </row>
        <row r="59">
          <cell r="A59" t="str">
            <v>Sorghum, grain</v>
          </cell>
          <cell r="B59">
            <v>60</v>
          </cell>
          <cell r="C59" t="str">
            <v>bu</v>
          </cell>
          <cell r="D59">
            <v>56</v>
          </cell>
          <cell r="E59">
            <v>86</v>
          </cell>
          <cell r="F59">
            <v>1.959</v>
          </cell>
          <cell r="G59">
            <v>0.36</v>
          </cell>
          <cell r="H59">
            <v>0.418</v>
          </cell>
        </row>
        <row r="60">
          <cell r="A60" t="str">
            <v>Sorghum, silage</v>
          </cell>
          <cell r="B60">
            <v>20</v>
          </cell>
          <cell r="C60" t="str">
            <v>ton</v>
          </cell>
          <cell r="D60">
            <v>2000</v>
          </cell>
          <cell r="E60">
            <v>26</v>
          </cell>
          <cell r="F60">
            <v>1.384</v>
          </cell>
          <cell r="G60">
            <v>0.2307</v>
          </cell>
          <cell r="H60">
            <v>2.5</v>
          </cell>
        </row>
        <row r="61">
          <cell r="A61" t="str">
            <v>Sorghum, straw</v>
          </cell>
          <cell r="B61">
            <v>3</v>
          </cell>
          <cell r="C61" t="str">
            <v>ton</v>
          </cell>
          <cell r="D61">
            <v>2000</v>
          </cell>
          <cell r="E61">
            <v>90</v>
          </cell>
          <cell r="F61">
            <v>1.077</v>
          </cell>
          <cell r="G61">
            <v>0.155</v>
          </cell>
          <cell r="H61">
            <v>1.333</v>
          </cell>
        </row>
        <row r="62">
          <cell r="A62" t="str">
            <v>Sorghum-sudan, silage</v>
          </cell>
          <cell r="B62">
            <v>10</v>
          </cell>
          <cell r="C62" t="str">
            <v>ton</v>
          </cell>
          <cell r="D62">
            <v>2000</v>
          </cell>
          <cell r="E62">
            <v>23</v>
          </cell>
          <cell r="F62">
            <v>1.521</v>
          </cell>
          <cell r="G62">
            <v>0.391</v>
          </cell>
          <cell r="H62">
            <v>2.26</v>
          </cell>
        </row>
        <row r="63">
          <cell r="A63" t="str">
            <v>Soybean, seed</v>
          </cell>
          <cell r="B63">
            <v>35</v>
          </cell>
          <cell r="C63" t="str">
            <v>bu</v>
          </cell>
          <cell r="D63">
            <v>60</v>
          </cell>
          <cell r="E63">
            <v>86</v>
          </cell>
          <cell r="F63">
            <v>6.41</v>
          </cell>
          <cell r="G63">
            <v>0.651</v>
          </cell>
          <cell r="H63">
            <v>1.883</v>
          </cell>
        </row>
        <row r="64">
          <cell r="A64" t="str">
            <v>Soybean, stover</v>
          </cell>
          <cell r="C64" t="str">
            <v>ton</v>
          </cell>
          <cell r="D64">
            <v>2000</v>
          </cell>
          <cell r="E64">
            <v>85</v>
          </cell>
          <cell r="F64">
            <v>0.905</v>
          </cell>
          <cell r="G64">
            <v>0.235</v>
          </cell>
          <cell r="H64">
            <v>1.105</v>
          </cell>
        </row>
        <row r="65">
          <cell r="A65" t="str">
            <v>Spinach</v>
          </cell>
          <cell r="B65">
            <v>80</v>
          </cell>
          <cell r="C65" t="str">
            <v>cwt</v>
          </cell>
          <cell r="D65">
            <v>100</v>
          </cell>
          <cell r="E65">
            <v>9</v>
          </cell>
          <cell r="F65">
            <v>4.66</v>
          </cell>
          <cell r="G65">
            <v>0.555</v>
          </cell>
          <cell r="H65">
            <v>6.22</v>
          </cell>
        </row>
        <row r="66">
          <cell r="A66" t="str">
            <v>Sunflower, grain</v>
          </cell>
          <cell r="B66">
            <v>50</v>
          </cell>
          <cell r="C66" t="str">
            <v>bu</v>
          </cell>
          <cell r="D66">
            <v>25</v>
          </cell>
          <cell r="E66">
            <v>90</v>
          </cell>
          <cell r="F66">
            <v>3.2</v>
          </cell>
          <cell r="G66">
            <v>0.622</v>
          </cell>
          <cell r="H66">
            <v>1.11</v>
          </cell>
        </row>
        <row r="67">
          <cell r="A67" t="str">
            <v>Sunflower, seed for oil</v>
          </cell>
          <cell r="B67">
            <v>1100</v>
          </cell>
          <cell r="C67" t="str">
            <v>lb</v>
          </cell>
          <cell r="D67">
            <v>1</v>
          </cell>
          <cell r="E67">
            <v>90</v>
          </cell>
          <cell r="F67">
            <v>2.7</v>
          </cell>
          <cell r="G67">
            <v>0.622</v>
          </cell>
          <cell r="H67">
            <v>1.11</v>
          </cell>
        </row>
        <row r="68">
          <cell r="A68" t="str">
            <v>Sunflower, stover</v>
          </cell>
          <cell r="B68">
            <v>4</v>
          </cell>
          <cell r="C68" t="str">
            <v>ton</v>
          </cell>
          <cell r="D68">
            <v>2000</v>
          </cell>
          <cell r="E68">
            <v>90</v>
          </cell>
          <cell r="F68">
            <v>1.5</v>
          </cell>
          <cell r="G68">
            <v>0.177</v>
          </cell>
          <cell r="H68">
            <v>2.922</v>
          </cell>
        </row>
        <row r="69">
          <cell r="A69" t="str">
            <v>Sweetclover, hay</v>
          </cell>
          <cell r="B69">
            <v>2</v>
          </cell>
          <cell r="C69" t="str">
            <v>ton</v>
          </cell>
          <cell r="D69">
            <v>2000</v>
          </cell>
          <cell r="E69">
            <v>85</v>
          </cell>
          <cell r="F69">
            <v>2.611</v>
          </cell>
          <cell r="G69">
            <v>0.27</v>
          </cell>
          <cell r="H69">
            <v>1.647</v>
          </cell>
        </row>
        <row r="70">
          <cell r="A70" t="str">
            <v>Switchgrass, hay</v>
          </cell>
          <cell r="B70">
            <v>3</v>
          </cell>
          <cell r="C70" t="str">
            <v>ton</v>
          </cell>
          <cell r="D70">
            <v>2000</v>
          </cell>
          <cell r="E70">
            <v>85</v>
          </cell>
          <cell r="F70">
            <v>1.152</v>
          </cell>
          <cell r="G70">
            <v>0.105</v>
          </cell>
          <cell r="H70">
            <v>1.905</v>
          </cell>
        </row>
        <row r="71">
          <cell r="A71" t="str">
            <v>Tall fescue, hay</v>
          </cell>
          <cell r="B71">
            <v>3</v>
          </cell>
          <cell r="C71" t="str">
            <v>ton</v>
          </cell>
          <cell r="D71">
            <v>2000</v>
          </cell>
          <cell r="E71">
            <v>85</v>
          </cell>
          <cell r="F71">
            <v>1.964</v>
          </cell>
          <cell r="G71">
            <v>0.2</v>
          </cell>
          <cell r="H71">
            <v>2</v>
          </cell>
        </row>
        <row r="72">
          <cell r="A72" t="str">
            <v>Timothy, hay</v>
          </cell>
          <cell r="B72">
            <v>2</v>
          </cell>
          <cell r="C72" t="str">
            <v>ton</v>
          </cell>
          <cell r="D72">
            <v>2000</v>
          </cell>
          <cell r="E72">
            <v>85</v>
          </cell>
          <cell r="F72">
            <v>1.176</v>
          </cell>
          <cell r="G72">
            <v>0.223</v>
          </cell>
          <cell r="H72">
            <v>1.623</v>
          </cell>
        </row>
        <row r="73">
          <cell r="A73" t="str">
            <v>Tomato</v>
          </cell>
          <cell r="B73">
            <v>22</v>
          </cell>
          <cell r="C73" t="str">
            <v>ton</v>
          </cell>
          <cell r="D73">
            <v>2000</v>
          </cell>
          <cell r="E73">
            <v>6</v>
          </cell>
          <cell r="F73">
            <v>3.166</v>
          </cell>
          <cell r="G73">
            <v>0.666</v>
          </cell>
          <cell r="H73">
            <v>5.5</v>
          </cell>
        </row>
        <row r="74">
          <cell r="A74" t="str">
            <v>Trefoil, birdsfoot, hay</v>
          </cell>
          <cell r="B74">
            <v>3</v>
          </cell>
          <cell r="C74" t="str">
            <v>ton</v>
          </cell>
          <cell r="D74">
            <v>2000</v>
          </cell>
          <cell r="E74">
            <v>85</v>
          </cell>
          <cell r="F74">
            <v>3.094</v>
          </cell>
          <cell r="G74">
            <v>0.223</v>
          </cell>
          <cell r="H74">
            <v>1.823</v>
          </cell>
        </row>
        <row r="75">
          <cell r="A75" t="str">
            <v>Triticale, grain</v>
          </cell>
          <cell r="C75" t="str">
            <v>bu</v>
          </cell>
          <cell r="D75">
            <v>60</v>
          </cell>
          <cell r="E75">
            <v>86</v>
          </cell>
          <cell r="F75">
            <v>3.016</v>
          </cell>
          <cell r="G75">
            <v>0.34</v>
          </cell>
          <cell r="H75">
            <v>0.57</v>
          </cell>
        </row>
        <row r="76">
          <cell r="A76" t="str">
            <v>Wheat, hard red spring</v>
          </cell>
          <cell r="B76">
            <v>40</v>
          </cell>
          <cell r="C76" t="str">
            <v>bu</v>
          </cell>
          <cell r="D76">
            <v>60</v>
          </cell>
          <cell r="E76">
            <v>86</v>
          </cell>
          <cell r="F76">
            <v>2.604</v>
          </cell>
          <cell r="G76">
            <v>0.616</v>
          </cell>
          <cell r="H76">
            <v>0.523</v>
          </cell>
        </row>
        <row r="77">
          <cell r="A77" t="str">
            <v>Wheat, hard red winter</v>
          </cell>
          <cell r="B77">
            <v>40</v>
          </cell>
          <cell r="C77" t="str">
            <v>bu</v>
          </cell>
          <cell r="D77">
            <v>60</v>
          </cell>
          <cell r="E77">
            <v>86</v>
          </cell>
          <cell r="F77">
            <v>2.302</v>
          </cell>
          <cell r="G77">
            <v>0.616</v>
          </cell>
          <cell r="H77">
            <v>0.523</v>
          </cell>
        </row>
        <row r="78">
          <cell r="A78" t="str">
            <v>Wheat, soft red winter</v>
          </cell>
          <cell r="B78">
            <v>40</v>
          </cell>
          <cell r="C78" t="str">
            <v>bu</v>
          </cell>
          <cell r="D78">
            <v>60</v>
          </cell>
          <cell r="E78">
            <v>86</v>
          </cell>
          <cell r="F78">
            <v>2.093</v>
          </cell>
          <cell r="G78">
            <v>0.616</v>
          </cell>
          <cell r="H78">
            <v>0.523</v>
          </cell>
        </row>
        <row r="79">
          <cell r="A79" t="str">
            <v>Wheat, soft white spring</v>
          </cell>
          <cell r="B79">
            <v>40</v>
          </cell>
          <cell r="C79" t="str">
            <v>bu</v>
          </cell>
          <cell r="D79">
            <v>60</v>
          </cell>
          <cell r="E79">
            <v>86</v>
          </cell>
          <cell r="F79">
            <v>2.6</v>
          </cell>
          <cell r="G79">
            <v>0.616</v>
          </cell>
          <cell r="H79">
            <v>0.523</v>
          </cell>
        </row>
        <row r="80">
          <cell r="A80" t="str">
            <v>Wheat, soft white winter</v>
          </cell>
          <cell r="B80">
            <v>40</v>
          </cell>
          <cell r="C80" t="str">
            <v>bu</v>
          </cell>
          <cell r="D80">
            <v>60</v>
          </cell>
          <cell r="E80">
            <v>86</v>
          </cell>
          <cell r="F80">
            <v>1.802</v>
          </cell>
          <cell r="G80">
            <v>0.616</v>
          </cell>
          <cell r="H80">
            <v>0.523</v>
          </cell>
        </row>
        <row r="81">
          <cell r="A81" t="str">
            <v>Wheat, straw</v>
          </cell>
          <cell r="C81" t="str">
            <v>ton</v>
          </cell>
          <cell r="D81">
            <v>2000</v>
          </cell>
          <cell r="E81">
            <v>90</v>
          </cell>
          <cell r="F81">
            <v>0.666</v>
          </cell>
          <cell r="G81">
            <v>0.0666</v>
          </cell>
          <cell r="H81">
            <v>1.166</v>
          </cell>
        </row>
        <row r="82">
          <cell r="A82" t="str">
            <v>Wheatgrass, Crested, hay</v>
          </cell>
          <cell r="B82">
            <v>1</v>
          </cell>
          <cell r="C82" t="str">
            <v>ton</v>
          </cell>
          <cell r="D82">
            <v>2000</v>
          </cell>
          <cell r="E82">
            <v>85</v>
          </cell>
          <cell r="F82">
            <v>1.411</v>
          </cell>
          <cell r="G82">
            <v>0.27</v>
          </cell>
          <cell r="H82">
            <v>2.682</v>
          </cell>
        </row>
        <row r="93">
          <cell r="A93">
            <v>0</v>
          </cell>
        </row>
        <row r="94">
          <cell r="A94">
            <v>2</v>
          </cell>
        </row>
        <row r="95">
          <cell r="A95">
            <v>4</v>
          </cell>
        </row>
        <row r="96">
          <cell r="A96">
            <v>6</v>
          </cell>
        </row>
        <row r="97">
          <cell r="A97">
            <v>8</v>
          </cell>
        </row>
        <row r="98">
          <cell r="A98">
            <v>10</v>
          </cell>
        </row>
        <row r="99">
          <cell r="A99">
            <v>12</v>
          </cell>
        </row>
        <row r="100">
          <cell r="A100">
            <v>14</v>
          </cell>
        </row>
        <row r="101">
          <cell r="A101">
            <v>16</v>
          </cell>
        </row>
        <row r="102">
          <cell r="A102">
            <v>18</v>
          </cell>
        </row>
        <row r="103">
          <cell r="A103">
            <v>20</v>
          </cell>
        </row>
        <row r="111">
          <cell r="A111" t="str">
            <v>Beef Cattle, liquid lagoon with runoff </v>
          </cell>
        </row>
        <row r="112">
          <cell r="A112" t="str">
            <v>Beef Cattle, solid </v>
          </cell>
        </row>
        <row r="113">
          <cell r="A113" t="str">
            <v>Chicken, solid with litter </v>
          </cell>
        </row>
        <row r="114">
          <cell r="A114" t="str">
            <v>Chicken, solid without litter </v>
          </cell>
        </row>
        <row r="115">
          <cell r="A115" t="str">
            <v>Dairy Cattle, liquid lagoon with runoff </v>
          </cell>
        </row>
        <row r="116">
          <cell r="A116" t="str">
            <v>Dairy Cattle, liquid pit</v>
          </cell>
        </row>
        <row r="117">
          <cell r="A117" t="str">
            <v>Dairy Cattle, solid </v>
          </cell>
        </row>
        <row r="118">
          <cell r="A118" t="str">
            <v>Horse, solid without bedding </v>
          </cell>
        </row>
        <row r="119">
          <cell r="A119" t="str">
            <v>Poultry, liquid pit</v>
          </cell>
        </row>
        <row r="120">
          <cell r="A120" t="str">
            <v>Sheep, solid </v>
          </cell>
        </row>
        <row r="121">
          <cell r="A121" t="str">
            <v>Swine, liquid pit </v>
          </cell>
        </row>
        <row r="122">
          <cell r="A122" t="str">
            <v>Swine, liquid single-stage anaerobic </v>
          </cell>
        </row>
        <row r="123">
          <cell r="A123" t="str">
            <v>Swine, liquid two-stage anaerobic </v>
          </cell>
        </row>
        <row r="124">
          <cell r="A124" t="str">
            <v>Swine, solid </v>
          </cell>
        </row>
        <row r="125">
          <cell r="A125" t="str">
            <v>Turkey, solid with litter </v>
          </cell>
        </row>
        <row r="126">
          <cell r="A126" t="str">
            <v>Turkey, solid without litter </v>
          </cell>
        </row>
        <row r="160">
          <cell r="A160" t="str">
            <v>Beef, 450-750 lb</v>
          </cell>
        </row>
        <row r="161">
          <cell r="A161" t="str">
            <v>Beef, cow</v>
          </cell>
        </row>
        <row r="162">
          <cell r="A162" t="str">
            <v>Beef, feeder, 750-1,100 lb, high energy</v>
          </cell>
        </row>
        <row r="163">
          <cell r="A163" t="str">
            <v>Beef, feeder, 750-1,100 lb, high forage</v>
          </cell>
        </row>
        <row r="164">
          <cell r="A164" t="str">
            <v>Beef, veal</v>
          </cell>
        </row>
        <row r="165">
          <cell r="A165" t="str">
            <v>Dairy, dry cow</v>
          </cell>
        </row>
        <row r="166">
          <cell r="A166" t="str">
            <v>Dairy, heifer</v>
          </cell>
        </row>
        <row r="167">
          <cell r="A167" t="str">
            <v>Dairy, lactating cow</v>
          </cell>
        </row>
        <row r="168">
          <cell r="A168" t="str">
            <v>Horse</v>
          </cell>
        </row>
        <row r="169">
          <cell r="A169" t="str">
            <v>Poultry, broiler</v>
          </cell>
        </row>
        <row r="170">
          <cell r="A170" t="str">
            <v>Poultry, layer</v>
          </cell>
        </row>
        <row r="171">
          <cell r="A171" t="str">
            <v>Poultry, pullet</v>
          </cell>
        </row>
        <row r="172">
          <cell r="A172" t="str">
            <v>Poultry, turkey</v>
          </cell>
        </row>
        <row r="173">
          <cell r="A173" t="str">
            <v>Sheep, </v>
          </cell>
        </row>
        <row r="174">
          <cell r="A174" t="str">
            <v>Swine, boar</v>
          </cell>
        </row>
        <row r="175">
          <cell r="A175" t="str">
            <v>Swine, grower, 40-220 lb</v>
          </cell>
        </row>
        <row r="176">
          <cell r="A176" t="str">
            <v>Swine, nursery pig, 0-40 lb</v>
          </cell>
        </row>
        <row r="177">
          <cell r="A177" t="str">
            <v>Swine, replacement gilt</v>
          </cell>
        </row>
        <row r="178">
          <cell r="A178" t="str">
            <v>Swine, sow, gestating</v>
          </cell>
        </row>
        <row r="179">
          <cell r="A179" t="str">
            <v>Swine, sow, lactating</v>
          </cell>
        </row>
        <row r="190">
          <cell r="A190" t="str">
            <v>Swine, boar</v>
          </cell>
        </row>
        <row r="191">
          <cell r="A191" t="str">
            <v>Swine, grower, 40-220 lb</v>
          </cell>
        </row>
        <row r="192">
          <cell r="A192" t="str">
            <v>Swine, nursery pig, 0-40 lb</v>
          </cell>
        </row>
        <row r="193">
          <cell r="A193" t="str">
            <v>Swine, replacement gilt</v>
          </cell>
        </row>
        <row r="194">
          <cell r="A194" t="str">
            <v>Swine, sow, gestating</v>
          </cell>
        </row>
        <row r="195">
          <cell r="A195" t="str">
            <v>Swine, sow, lactating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oleObject" Target="../embeddings/oleObject_13_0.bin" /><Relationship Id="rId2" Type="http://schemas.openxmlformats.org/officeDocument/2006/relationships/vmlDrawing" Target="../drawings/vmlDrawing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J95"/>
  <sheetViews>
    <sheetView workbookViewId="0" topLeftCell="A1">
      <selection activeCell="A1" sqref="A1"/>
    </sheetView>
  </sheetViews>
  <sheetFormatPr defaultColWidth="9.140625" defaultRowHeight="12.75"/>
  <cols>
    <col min="1" max="1" width="6.7109375" style="0" customWidth="1"/>
  </cols>
  <sheetData>
    <row r="2" spans="1:10" ht="12.75">
      <c r="A2" s="1077" t="s">
        <v>466</v>
      </c>
      <c r="B2" s="1077"/>
      <c r="C2" s="1077"/>
      <c r="D2" s="1077"/>
      <c r="E2" s="1077"/>
      <c r="F2" s="1077"/>
      <c r="G2" s="1077"/>
      <c r="H2" s="1077"/>
      <c r="I2" s="1077"/>
      <c r="J2" s="1077"/>
    </row>
    <row r="3" spans="1:10" ht="12.75">
      <c r="A3" s="1077"/>
      <c r="B3" s="1077"/>
      <c r="C3" s="1077"/>
      <c r="D3" s="1077"/>
      <c r="E3" s="1077"/>
      <c r="F3" s="1077"/>
      <c r="G3" s="1077"/>
      <c r="H3" s="1077"/>
      <c r="I3" s="1077"/>
      <c r="J3" s="1077"/>
    </row>
    <row r="4" spans="1:10" ht="12.75">
      <c r="A4" s="1077"/>
      <c r="B4" s="1077"/>
      <c r="C4" s="1077"/>
      <c r="D4" s="1077"/>
      <c r="E4" s="1077"/>
      <c r="F4" s="1077"/>
      <c r="G4" s="1077"/>
      <c r="H4" s="1077"/>
      <c r="I4" s="1077"/>
      <c r="J4" s="1077"/>
    </row>
    <row r="5" spans="1:10" ht="12.75">
      <c r="A5" s="1078"/>
      <c r="B5" s="1078"/>
      <c r="C5" s="1078"/>
      <c r="D5" s="1078"/>
      <c r="E5" s="1078"/>
      <c r="F5" s="1078"/>
      <c r="G5" s="1078"/>
      <c r="H5" s="1078"/>
      <c r="I5" s="1078"/>
      <c r="J5" s="1078"/>
    </row>
    <row r="6" spans="1:10" ht="9" customHeight="1">
      <c r="A6" s="1018"/>
      <c r="B6" s="1018"/>
      <c r="C6" s="1018"/>
      <c r="D6" s="1018"/>
      <c r="E6" s="1018"/>
      <c r="F6" s="1018"/>
      <c r="G6" s="1018"/>
      <c r="H6" s="1018"/>
      <c r="I6" s="1018"/>
      <c r="J6" s="1018"/>
    </row>
    <row r="7" spans="1:10" ht="12.75">
      <c r="A7" s="1017"/>
      <c r="B7" s="1020"/>
      <c r="C7" s="1023" t="s">
        <v>491</v>
      </c>
      <c r="D7" s="1019"/>
      <c r="E7" s="1021"/>
      <c r="F7" s="1024" t="s">
        <v>492</v>
      </c>
      <c r="G7" s="1017"/>
      <c r="H7" s="1022"/>
      <c r="I7" s="1023" t="s">
        <v>493</v>
      </c>
      <c r="J7" s="1017"/>
    </row>
    <row r="8" spans="1:9" ht="12.75">
      <c r="A8" s="1016"/>
      <c r="B8" s="1016"/>
      <c r="C8" s="1016"/>
      <c r="D8" s="1016"/>
      <c r="E8" s="1016"/>
      <c r="F8" s="1016"/>
      <c r="G8" s="1016"/>
      <c r="H8" s="1016"/>
      <c r="I8" s="1016"/>
    </row>
    <row r="9" ht="16.5" customHeight="1">
      <c r="A9" s="2" t="s">
        <v>465</v>
      </c>
    </row>
    <row r="10" spans="1:10" ht="12.75">
      <c r="A10" s="369">
        <v>1</v>
      </c>
      <c r="B10" s="1074" t="s">
        <v>643</v>
      </c>
      <c r="C10" s="1074"/>
      <c r="D10" s="1074"/>
      <c r="E10" s="1074"/>
      <c r="F10" s="1074"/>
      <c r="G10" s="1074"/>
      <c r="H10" s="1074"/>
      <c r="I10" s="1074"/>
      <c r="J10" s="1074"/>
    </row>
    <row r="11" spans="2:10" ht="12.75">
      <c r="B11" s="1074"/>
      <c r="C11" s="1074"/>
      <c r="D11" s="1074"/>
      <c r="E11" s="1074"/>
      <c r="F11" s="1074"/>
      <c r="G11" s="1074"/>
      <c r="H11" s="1074"/>
      <c r="I11" s="1074"/>
      <c r="J11" s="1074"/>
    </row>
    <row r="12" spans="2:10" ht="12.75">
      <c r="B12" s="1011"/>
      <c r="C12" s="1011"/>
      <c r="D12" s="1011"/>
      <c r="E12" s="1011"/>
      <c r="F12" s="1011"/>
      <c r="G12" s="1011"/>
      <c r="H12" s="1011"/>
      <c r="I12" s="1011"/>
      <c r="J12" s="1011"/>
    </row>
    <row r="13" spans="1:10" ht="12.75">
      <c r="A13" s="369">
        <v>2</v>
      </c>
      <c r="B13" s="1075" t="s">
        <v>642</v>
      </c>
      <c r="C13" s="1075"/>
      <c r="D13" s="1075"/>
      <c r="E13" s="1075"/>
      <c r="F13" s="1075"/>
      <c r="G13" s="1075"/>
      <c r="H13" s="1075"/>
      <c r="I13" s="1075"/>
      <c r="J13" s="1075"/>
    </row>
    <row r="14" spans="2:10" ht="12.75">
      <c r="B14" s="1075"/>
      <c r="C14" s="1075"/>
      <c r="D14" s="1075"/>
      <c r="E14" s="1075"/>
      <c r="F14" s="1075"/>
      <c r="G14" s="1075"/>
      <c r="H14" s="1075"/>
      <c r="I14" s="1075"/>
      <c r="J14" s="1075"/>
    </row>
    <row r="16" spans="1:10" ht="12.75">
      <c r="A16" s="369">
        <v>3</v>
      </c>
      <c r="B16" s="1075" t="s">
        <v>640</v>
      </c>
      <c r="C16" s="1075"/>
      <c r="D16" s="1075"/>
      <c r="E16" s="1075"/>
      <c r="F16" s="1075"/>
      <c r="G16" s="1075"/>
      <c r="H16" s="1075"/>
      <c r="I16" s="1075"/>
      <c r="J16" s="1075"/>
    </row>
    <row r="17" spans="2:10" ht="12.75">
      <c r="B17" s="1075"/>
      <c r="C17" s="1075"/>
      <c r="D17" s="1075"/>
      <c r="E17" s="1075"/>
      <c r="F17" s="1075"/>
      <c r="G17" s="1075"/>
      <c r="H17" s="1075"/>
      <c r="I17" s="1075"/>
      <c r="J17" s="1075"/>
    </row>
    <row r="18" spans="2:10" ht="12.75">
      <c r="B18" s="1075"/>
      <c r="C18" s="1075"/>
      <c r="D18" s="1075"/>
      <c r="E18" s="1075"/>
      <c r="F18" s="1075"/>
      <c r="G18" s="1075"/>
      <c r="H18" s="1075"/>
      <c r="I18" s="1075"/>
      <c r="J18" s="1075"/>
    </row>
    <row r="21" ht="16.5" customHeight="1">
      <c r="A21" s="2" t="s">
        <v>471</v>
      </c>
    </row>
    <row r="22" spans="1:10" ht="12.75">
      <c r="A22" s="369">
        <v>1</v>
      </c>
      <c r="B22" s="1076" t="s">
        <v>467</v>
      </c>
      <c r="C22" s="1076"/>
      <c r="D22" s="1076"/>
      <c r="E22" s="1076"/>
      <c r="F22" s="1076"/>
      <c r="G22" s="1076"/>
      <c r="H22" s="1076"/>
      <c r="I22" s="1076"/>
      <c r="J22" s="1076"/>
    </row>
    <row r="24" spans="1:10" ht="12.75">
      <c r="A24" s="369">
        <v>2</v>
      </c>
      <c r="B24" s="1075" t="s">
        <v>639</v>
      </c>
      <c r="C24" s="1075"/>
      <c r="D24" s="1075"/>
      <c r="E24" s="1075"/>
      <c r="F24" s="1075"/>
      <c r="G24" s="1075"/>
      <c r="H24" s="1075"/>
      <c r="I24" s="1075"/>
      <c r="J24" s="1075"/>
    </row>
    <row r="25" spans="2:10" ht="12.75">
      <c r="B25" s="1075"/>
      <c r="C25" s="1075"/>
      <c r="D25" s="1075"/>
      <c r="E25" s="1075"/>
      <c r="F25" s="1075"/>
      <c r="G25" s="1075"/>
      <c r="H25" s="1075"/>
      <c r="I25" s="1075"/>
      <c r="J25" s="1075"/>
    </row>
    <row r="27" spans="1:10" ht="12.75">
      <c r="A27" s="369">
        <v>3</v>
      </c>
      <c r="B27" s="1075" t="s">
        <v>469</v>
      </c>
      <c r="C27" s="1075"/>
      <c r="D27" s="1075"/>
      <c r="E27" s="1075"/>
      <c r="F27" s="1075"/>
      <c r="G27" s="1075"/>
      <c r="H27" s="1075"/>
      <c r="I27" s="1075"/>
      <c r="J27" s="1075"/>
    </row>
    <row r="28" spans="2:10" ht="12.75">
      <c r="B28" s="1075"/>
      <c r="C28" s="1075"/>
      <c r="D28" s="1075"/>
      <c r="E28" s="1075"/>
      <c r="F28" s="1075"/>
      <c r="G28" s="1075"/>
      <c r="H28" s="1075"/>
      <c r="I28" s="1075"/>
      <c r="J28" s="1075"/>
    </row>
    <row r="29" spans="2:10" ht="12.75">
      <c r="B29" s="1075"/>
      <c r="C29" s="1075"/>
      <c r="D29" s="1075"/>
      <c r="E29" s="1075"/>
      <c r="F29" s="1075"/>
      <c r="G29" s="1075"/>
      <c r="H29" s="1075"/>
      <c r="I29" s="1075"/>
      <c r="J29" s="1075"/>
    </row>
    <row r="30" spans="2:10" ht="12.75">
      <c r="B30" s="1075"/>
      <c r="C30" s="1075"/>
      <c r="D30" s="1075"/>
      <c r="E30" s="1075"/>
      <c r="F30" s="1075"/>
      <c r="G30" s="1075"/>
      <c r="H30" s="1075"/>
      <c r="I30" s="1075"/>
      <c r="J30" s="1075"/>
    </row>
    <row r="32" spans="1:10" ht="12.75">
      <c r="A32" s="369">
        <v>4</v>
      </c>
      <c r="B32" s="1075" t="s">
        <v>468</v>
      </c>
      <c r="C32" s="1075"/>
      <c r="D32" s="1075"/>
      <c r="E32" s="1075"/>
      <c r="F32" s="1075"/>
      <c r="G32" s="1075"/>
      <c r="H32" s="1075"/>
      <c r="I32" s="1075"/>
      <c r="J32" s="1075"/>
    </row>
    <row r="33" spans="2:10" ht="12.75">
      <c r="B33" s="1075"/>
      <c r="C33" s="1075"/>
      <c r="D33" s="1075"/>
      <c r="E33" s="1075"/>
      <c r="F33" s="1075"/>
      <c r="G33" s="1075"/>
      <c r="H33" s="1075"/>
      <c r="I33" s="1075"/>
      <c r="J33" s="1075"/>
    </row>
    <row r="36" ht="16.5" customHeight="1">
      <c r="A36" s="2" t="s">
        <v>470</v>
      </c>
    </row>
    <row r="37" spans="1:2" ht="12.75">
      <c r="A37" s="369">
        <v>1</v>
      </c>
      <c r="B37" t="s">
        <v>472</v>
      </c>
    </row>
    <row r="39" spans="1:10" ht="12.75">
      <c r="A39" s="369">
        <v>2</v>
      </c>
      <c r="B39" s="1075" t="s">
        <v>473</v>
      </c>
      <c r="C39" s="1075"/>
      <c r="D39" s="1075"/>
      <c r="E39" s="1075"/>
      <c r="F39" s="1075"/>
      <c r="G39" s="1075"/>
      <c r="H39" s="1075"/>
      <c r="I39" s="1075"/>
      <c r="J39" s="1075"/>
    </row>
    <row r="40" spans="2:10" ht="12.75">
      <c r="B40" s="1075"/>
      <c r="C40" s="1075"/>
      <c r="D40" s="1075"/>
      <c r="E40" s="1075"/>
      <c r="F40" s="1075"/>
      <c r="G40" s="1075"/>
      <c r="H40" s="1075"/>
      <c r="I40" s="1075"/>
      <c r="J40" s="1075"/>
    </row>
    <row r="41" spans="2:10" ht="12.75">
      <c r="B41" s="1075"/>
      <c r="C41" s="1075"/>
      <c r="D41" s="1075"/>
      <c r="E41" s="1075"/>
      <c r="F41" s="1075"/>
      <c r="G41" s="1075"/>
      <c r="H41" s="1075"/>
      <c r="I41" s="1075"/>
      <c r="J41" s="1075"/>
    </row>
    <row r="43" spans="1:10" ht="12.75">
      <c r="A43" s="369">
        <v>3</v>
      </c>
      <c r="B43" s="1075" t="s">
        <v>474</v>
      </c>
      <c r="C43" s="1075"/>
      <c r="D43" s="1075"/>
      <c r="E43" s="1075"/>
      <c r="F43" s="1075"/>
      <c r="G43" s="1075"/>
      <c r="H43" s="1075"/>
      <c r="I43" s="1075"/>
      <c r="J43" s="1075"/>
    </row>
    <row r="44" spans="2:10" ht="12.75">
      <c r="B44" s="1075"/>
      <c r="C44" s="1075"/>
      <c r="D44" s="1075"/>
      <c r="E44" s="1075"/>
      <c r="F44" s="1075"/>
      <c r="G44" s="1075"/>
      <c r="H44" s="1075"/>
      <c r="I44" s="1075"/>
      <c r="J44" s="1075"/>
    </row>
    <row r="45" spans="2:10" ht="12.75">
      <c r="B45" s="1075"/>
      <c r="C45" s="1075"/>
      <c r="D45" s="1075"/>
      <c r="E45" s="1075"/>
      <c r="F45" s="1075"/>
      <c r="G45" s="1075"/>
      <c r="H45" s="1075"/>
      <c r="I45" s="1075"/>
      <c r="J45" s="1075"/>
    </row>
    <row r="46" spans="2:10" ht="12.75">
      <c r="B46" s="1075"/>
      <c r="C46" s="1075"/>
      <c r="D46" s="1075"/>
      <c r="E46" s="1075"/>
      <c r="F46" s="1075"/>
      <c r="G46" s="1075"/>
      <c r="H46" s="1075"/>
      <c r="I46" s="1075"/>
      <c r="J46" s="1075"/>
    </row>
    <row r="47" spans="2:10" ht="12.75">
      <c r="B47" s="1075"/>
      <c r="C47" s="1075"/>
      <c r="D47" s="1075"/>
      <c r="E47" s="1075"/>
      <c r="F47" s="1075"/>
      <c r="G47" s="1075"/>
      <c r="H47" s="1075"/>
      <c r="I47" s="1075"/>
      <c r="J47" s="1075"/>
    </row>
    <row r="49" spans="1:10" ht="12.75">
      <c r="A49" s="369">
        <v>4</v>
      </c>
      <c r="B49" s="1075" t="s">
        <v>475</v>
      </c>
      <c r="C49" s="1075"/>
      <c r="D49" s="1075"/>
      <c r="E49" s="1075"/>
      <c r="F49" s="1075"/>
      <c r="G49" s="1075"/>
      <c r="H49" s="1075"/>
      <c r="I49" s="1075"/>
      <c r="J49" s="1075"/>
    </row>
    <row r="50" spans="2:10" ht="12.75">
      <c r="B50" s="1075"/>
      <c r="C50" s="1075"/>
      <c r="D50" s="1075"/>
      <c r="E50" s="1075"/>
      <c r="F50" s="1075"/>
      <c r="G50" s="1075"/>
      <c r="H50" s="1075"/>
      <c r="I50" s="1075"/>
      <c r="J50" s="1075"/>
    </row>
    <row r="52" spans="1:10" ht="12.75">
      <c r="A52" s="369">
        <v>5</v>
      </c>
      <c r="B52" s="1076" t="s">
        <v>476</v>
      </c>
      <c r="C52" s="1076"/>
      <c r="D52" s="1076"/>
      <c r="E52" s="1076"/>
      <c r="F52" s="1076"/>
      <c r="G52" s="1076"/>
      <c r="H52" s="1076"/>
      <c r="I52" s="1076"/>
      <c r="J52" s="1076"/>
    </row>
    <row r="55" ht="16.5" customHeight="1">
      <c r="A55" s="2" t="s">
        <v>477</v>
      </c>
    </row>
    <row r="56" spans="1:10" ht="12.75">
      <c r="A56" s="369">
        <v>1</v>
      </c>
      <c r="B56" s="1076" t="s">
        <v>478</v>
      </c>
      <c r="C56" s="1076"/>
      <c r="D56" s="1076"/>
      <c r="E56" s="1076"/>
      <c r="F56" s="1076"/>
      <c r="G56" s="1076"/>
      <c r="H56" s="1076"/>
      <c r="I56" s="1076"/>
      <c r="J56" s="1076"/>
    </row>
    <row r="58" spans="1:10" ht="12.75">
      <c r="A58" s="369">
        <v>2</v>
      </c>
      <c r="B58" s="1075" t="s">
        <v>479</v>
      </c>
      <c r="C58" s="1075"/>
      <c r="D58" s="1075"/>
      <c r="E58" s="1075"/>
      <c r="F58" s="1075"/>
      <c r="G58" s="1075"/>
      <c r="H58" s="1075"/>
      <c r="I58" s="1075"/>
      <c r="J58" s="1075"/>
    </row>
    <row r="59" spans="2:10" ht="12.75">
      <c r="B59" s="1075"/>
      <c r="C59" s="1075"/>
      <c r="D59" s="1075"/>
      <c r="E59" s="1075"/>
      <c r="F59" s="1075"/>
      <c r="G59" s="1075"/>
      <c r="H59" s="1075"/>
      <c r="I59" s="1075"/>
      <c r="J59" s="1075"/>
    </row>
    <row r="61" spans="1:10" ht="12.75">
      <c r="A61" s="369">
        <v>3</v>
      </c>
      <c r="B61" s="1075" t="s">
        <v>480</v>
      </c>
      <c r="C61" s="1075"/>
      <c r="D61" s="1075"/>
      <c r="E61" s="1075"/>
      <c r="F61" s="1075"/>
      <c r="G61" s="1075"/>
      <c r="H61" s="1075"/>
      <c r="I61" s="1075"/>
      <c r="J61" s="1075"/>
    </row>
    <row r="62" spans="2:10" ht="12.75">
      <c r="B62" s="1075"/>
      <c r="C62" s="1075"/>
      <c r="D62" s="1075"/>
      <c r="E62" s="1075"/>
      <c r="F62" s="1075"/>
      <c r="G62" s="1075"/>
      <c r="H62" s="1075"/>
      <c r="I62" s="1075"/>
      <c r="J62" s="1075"/>
    </row>
    <row r="63" spans="2:10" ht="12.75">
      <c r="B63" s="1075"/>
      <c r="C63" s="1075"/>
      <c r="D63" s="1075"/>
      <c r="E63" s="1075"/>
      <c r="F63" s="1075"/>
      <c r="G63" s="1075"/>
      <c r="H63" s="1075"/>
      <c r="I63" s="1075"/>
      <c r="J63" s="1075"/>
    </row>
    <row r="64" spans="2:10" ht="12.75">
      <c r="B64" s="1075"/>
      <c r="C64" s="1075"/>
      <c r="D64" s="1075"/>
      <c r="E64" s="1075"/>
      <c r="F64" s="1075"/>
      <c r="G64" s="1075"/>
      <c r="H64" s="1075"/>
      <c r="I64" s="1075"/>
      <c r="J64" s="1075"/>
    </row>
    <row r="67" ht="16.5" customHeight="1">
      <c r="A67" s="2" t="s">
        <v>481</v>
      </c>
    </row>
    <row r="68" spans="1:10" ht="12.75">
      <c r="A68" s="369">
        <v>1</v>
      </c>
      <c r="B68" s="1075" t="s">
        <v>488</v>
      </c>
      <c r="C68" s="1075"/>
      <c r="D68" s="1075"/>
      <c r="E68" s="1075"/>
      <c r="F68" s="1075"/>
      <c r="G68" s="1075"/>
      <c r="H68" s="1075"/>
      <c r="I68" s="1075"/>
      <c r="J68" s="1075"/>
    </row>
    <row r="69" spans="2:10" ht="12.75">
      <c r="B69" s="1075"/>
      <c r="C69" s="1075"/>
      <c r="D69" s="1075"/>
      <c r="E69" s="1075"/>
      <c r="F69" s="1075"/>
      <c r="G69" s="1075"/>
      <c r="H69" s="1075"/>
      <c r="I69" s="1075"/>
      <c r="J69" s="1075"/>
    </row>
    <row r="71" spans="1:10" ht="12.75">
      <c r="A71" s="369">
        <v>2</v>
      </c>
      <c r="B71" s="1075" t="s">
        <v>482</v>
      </c>
      <c r="C71" s="1075"/>
      <c r="D71" s="1075"/>
      <c r="E71" s="1075"/>
      <c r="F71" s="1075"/>
      <c r="G71" s="1075"/>
      <c r="H71" s="1075"/>
      <c r="I71" s="1075"/>
      <c r="J71" s="1075"/>
    </row>
    <row r="72" spans="2:10" ht="12.75">
      <c r="B72" s="1075"/>
      <c r="C72" s="1075"/>
      <c r="D72" s="1075"/>
      <c r="E72" s="1075"/>
      <c r="F72" s="1075"/>
      <c r="G72" s="1075"/>
      <c r="H72" s="1075"/>
      <c r="I72" s="1075"/>
      <c r="J72" s="1075"/>
    </row>
    <row r="74" spans="1:2" ht="12.75">
      <c r="A74" s="369">
        <v>3</v>
      </c>
      <c r="B74" t="s">
        <v>483</v>
      </c>
    </row>
    <row r="76" spans="1:10" ht="12.75">
      <c r="A76" s="369">
        <v>4</v>
      </c>
      <c r="B76" s="1075" t="s">
        <v>489</v>
      </c>
      <c r="C76" s="1075"/>
      <c r="D76" s="1075"/>
      <c r="E76" s="1075"/>
      <c r="F76" s="1075"/>
      <c r="G76" s="1075"/>
      <c r="H76" s="1075"/>
      <c r="I76" s="1075"/>
      <c r="J76" s="1075"/>
    </row>
    <row r="77" spans="2:10" ht="12.75">
      <c r="B77" s="1075"/>
      <c r="C77" s="1075"/>
      <c r="D77" s="1075"/>
      <c r="E77" s="1075"/>
      <c r="F77" s="1075"/>
      <c r="G77" s="1075"/>
      <c r="H77" s="1075"/>
      <c r="I77" s="1075"/>
      <c r="J77" s="1075"/>
    </row>
    <row r="78" spans="2:10" ht="12.75">
      <c r="B78" s="1075"/>
      <c r="C78" s="1075"/>
      <c r="D78" s="1075"/>
      <c r="E78" s="1075"/>
      <c r="F78" s="1075"/>
      <c r="G78" s="1075"/>
      <c r="H78" s="1075"/>
      <c r="I78" s="1075"/>
      <c r="J78" s="1075"/>
    </row>
    <row r="80" spans="1:10" ht="12.75">
      <c r="A80" s="369">
        <v>5</v>
      </c>
      <c r="B80" s="1075" t="s">
        <v>484</v>
      </c>
      <c r="C80" s="1075"/>
      <c r="D80" s="1075"/>
      <c r="E80" s="1075"/>
      <c r="F80" s="1075"/>
      <c r="G80" s="1075"/>
      <c r="H80" s="1075"/>
      <c r="I80" s="1075"/>
      <c r="J80" s="1075"/>
    </row>
    <row r="81" spans="2:10" ht="12.75">
      <c r="B81" s="1075"/>
      <c r="C81" s="1075"/>
      <c r="D81" s="1075"/>
      <c r="E81" s="1075"/>
      <c r="F81" s="1075"/>
      <c r="G81" s="1075"/>
      <c r="H81" s="1075"/>
      <c r="I81" s="1075"/>
      <c r="J81" s="1075"/>
    </row>
    <row r="83" spans="1:10" ht="12.75">
      <c r="A83" s="369">
        <v>6</v>
      </c>
      <c r="B83" s="1075" t="s">
        <v>485</v>
      </c>
      <c r="C83" s="1075"/>
      <c r="D83" s="1075"/>
      <c r="E83" s="1075"/>
      <c r="F83" s="1075"/>
      <c r="G83" s="1075"/>
      <c r="H83" s="1075"/>
      <c r="I83" s="1075"/>
      <c r="J83" s="1075"/>
    </row>
    <row r="84" spans="2:10" ht="12.75">
      <c r="B84" s="1075"/>
      <c r="C84" s="1075"/>
      <c r="D84" s="1075"/>
      <c r="E84" s="1075"/>
      <c r="F84" s="1075"/>
      <c r="G84" s="1075"/>
      <c r="H84" s="1075"/>
      <c r="I84" s="1075"/>
      <c r="J84" s="1075"/>
    </row>
    <row r="86" spans="1:10" ht="12.75">
      <c r="A86" s="369">
        <v>7</v>
      </c>
      <c r="B86" s="1075" t="s">
        <v>487</v>
      </c>
      <c r="C86" s="1075"/>
      <c r="D86" s="1075"/>
      <c r="E86" s="1075"/>
      <c r="F86" s="1075"/>
      <c r="G86" s="1075"/>
      <c r="H86" s="1075"/>
      <c r="I86" s="1075"/>
      <c r="J86" s="1075"/>
    </row>
    <row r="87" spans="2:10" ht="12.75">
      <c r="B87" s="1075"/>
      <c r="C87" s="1075"/>
      <c r="D87" s="1075"/>
      <c r="E87" s="1075"/>
      <c r="F87" s="1075"/>
      <c r="G87" s="1075"/>
      <c r="H87" s="1075"/>
      <c r="I87" s="1075"/>
      <c r="J87" s="1075"/>
    </row>
    <row r="88" spans="2:10" ht="12.75">
      <c r="B88" s="1075"/>
      <c r="C88" s="1075"/>
      <c r="D88" s="1075"/>
      <c r="E88" s="1075"/>
      <c r="F88" s="1075"/>
      <c r="G88" s="1075"/>
      <c r="H88" s="1075"/>
      <c r="I88" s="1075"/>
      <c r="J88" s="1075"/>
    </row>
    <row r="89" spans="2:10" ht="12.75">
      <c r="B89" s="1075"/>
      <c r="C89" s="1075"/>
      <c r="D89" s="1075"/>
      <c r="E89" s="1075"/>
      <c r="F89" s="1075"/>
      <c r="G89" s="1075"/>
      <c r="H89" s="1075"/>
      <c r="I89" s="1075"/>
      <c r="J89" s="1075"/>
    </row>
    <row r="91" spans="1:10" ht="12.75">
      <c r="A91" s="369">
        <v>8</v>
      </c>
      <c r="B91" s="1075" t="s">
        <v>490</v>
      </c>
      <c r="C91" s="1075"/>
      <c r="D91" s="1075"/>
      <c r="E91" s="1075"/>
      <c r="F91" s="1075"/>
      <c r="G91" s="1075"/>
      <c r="H91" s="1075"/>
      <c r="I91" s="1075"/>
      <c r="J91" s="1075"/>
    </row>
    <row r="92" spans="2:10" ht="12.75">
      <c r="B92" s="1075"/>
      <c r="C92" s="1075"/>
      <c r="D92" s="1075"/>
      <c r="E92" s="1075"/>
      <c r="F92" s="1075"/>
      <c r="G92" s="1075"/>
      <c r="H92" s="1075"/>
      <c r="I92" s="1075"/>
      <c r="J92" s="1075"/>
    </row>
    <row r="94" spans="1:10" ht="12.75">
      <c r="A94" s="369">
        <v>9</v>
      </c>
      <c r="B94" s="1075" t="s">
        <v>486</v>
      </c>
      <c r="C94" s="1075"/>
      <c r="D94" s="1075"/>
      <c r="E94" s="1075"/>
      <c r="F94" s="1075"/>
      <c r="G94" s="1075"/>
      <c r="H94" s="1075"/>
      <c r="I94" s="1075"/>
      <c r="J94" s="1075"/>
    </row>
    <row r="95" spans="2:10" ht="12.75">
      <c r="B95" s="1075"/>
      <c r="C95" s="1075"/>
      <c r="D95" s="1075"/>
      <c r="E95" s="1075"/>
      <c r="F95" s="1075"/>
      <c r="G95" s="1075"/>
      <c r="H95" s="1075"/>
      <c r="I95" s="1075"/>
      <c r="J95" s="1075"/>
    </row>
  </sheetData>
  <sheetProtection password="CC96" sheet="1" objects="1" scenarios="1"/>
  <mergeCells count="23">
    <mergeCell ref="B86:J89"/>
    <mergeCell ref="B94:J95"/>
    <mergeCell ref="B91:J92"/>
    <mergeCell ref="A2:J5"/>
    <mergeCell ref="B71:J72"/>
    <mergeCell ref="B76:J78"/>
    <mergeCell ref="B80:J81"/>
    <mergeCell ref="B83:J84"/>
    <mergeCell ref="B58:J59"/>
    <mergeCell ref="B61:J64"/>
    <mergeCell ref="B68:J69"/>
    <mergeCell ref="B43:J47"/>
    <mergeCell ref="B49:J50"/>
    <mergeCell ref="B32:J33"/>
    <mergeCell ref="B52:J52"/>
    <mergeCell ref="B56:J56"/>
    <mergeCell ref="B10:J11"/>
    <mergeCell ref="B27:J30"/>
    <mergeCell ref="B39:J41"/>
    <mergeCell ref="B13:J14"/>
    <mergeCell ref="B16:J18"/>
    <mergeCell ref="B24:J25"/>
    <mergeCell ref="B22:J22"/>
  </mergeCells>
  <printOptions/>
  <pageMargins left="0.75" right="0.75" top="0.75" bottom="1" header="0.5" footer="0.5"/>
  <pageSetup horizontalDpi="600" verticalDpi="600" orientation="portrait" r:id="rId1"/>
  <headerFooter alignWithMargins="0">
    <oddHeader>&amp;L&amp;"Tahoma,Bold"&amp;12CNMP Planning Tool Instructions&amp;R&amp;"Tahoma,Bold"&amp;P of &amp;N</oddHeader>
  </headerFooter>
</worksheet>
</file>

<file path=xl/worksheets/sheet10.xml><?xml version="1.0" encoding="utf-8"?>
<worksheet xmlns="http://schemas.openxmlformats.org/spreadsheetml/2006/main" xmlns:r="http://schemas.openxmlformats.org/officeDocument/2006/relationships">
  <sheetPr>
    <tabColor indexed="13"/>
  </sheetPr>
  <dimension ref="A1:L172"/>
  <sheetViews>
    <sheetView workbookViewId="0" topLeftCell="A1">
      <selection activeCell="K5" sqref="K5:L5"/>
    </sheetView>
  </sheetViews>
  <sheetFormatPr defaultColWidth="9.140625" defaultRowHeight="12.75"/>
  <cols>
    <col min="1" max="2" width="7.8515625" style="0" customWidth="1"/>
    <col min="3" max="6" width="7.7109375" style="0" customWidth="1"/>
    <col min="7" max="7" width="7.8515625" style="0" customWidth="1"/>
    <col min="8" max="10" width="7.7109375" style="0" customWidth="1"/>
    <col min="11" max="12" width="6.7109375" style="0" customWidth="1"/>
  </cols>
  <sheetData>
    <row r="1" ht="15" customHeight="1">
      <c r="L1" s="1005" t="s">
        <v>75</v>
      </c>
    </row>
    <row r="2" spans="1:12" s="346" customFormat="1" ht="24" customHeight="1">
      <c r="A2" s="489" t="s">
        <v>564</v>
      </c>
      <c r="B2" s="1778">
        <f>IF('590 JS'!B6="","",'590 JS'!B6)</f>
      </c>
      <c r="C2" s="1778"/>
      <c r="D2" s="1778"/>
      <c r="E2" s="1778"/>
      <c r="F2" s="1778"/>
      <c r="G2" s="626" t="s">
        <v>590</v>
      </c>
      <c r="H2" s="1778">
        <f>IF('590 JS'!G6="","",'590 JS'!G6)</f>
      </c>
      <c r="I2" s="1778"/>
      <c r="J2" s="489" t="s">
        <v>565</v>
      </c>
      <c r="K2" s="1779">
        <f ca="1">TODAY()</f>
        <v>39106</v>
      </c>
      <c r="L2" s="1779"/>
    </row>
    <row r="4" spans="1:12" s="462" customFormat="1" ht="24" customHeight="1">
      <c r="A4" s="1997" t="s">
        <v>591</v>
      </c>
      <c r="B4" s="1998"/>
      <c r="C4" s="1997" t="s">
        <v>592</v>
      </c>
      <c r="D4" s="1998"/>
      <c r="E4" s="1997" t="s">
        <v>593</v>
      </c>
      <c r="F4" s="1998"/>
      <c r="G4" s="1997" t="s">
        <v>594</v>
      </c>
      <c r="H4" s="1998"/>
      <c r="I4" s="1997" t="s">
        <v>595</v>
      </c>
      <c r="J4" s="1998"/>
      <c r="K4" s="1997" t="s">
        <v>596</v>
      </c>
      <c r="L4" s="1998"/>
    </row>
    <row r="5" spans="1:12" s="462" customFormat="1" ht="24.75" customHeight="1">
      <c r="A5" s="1995" t="s">
        <v>11</v>
      </c>
      <c r="B5" s="1996"/>
      <c r="C5" s="1994" t="s">
        <v>717</v>
      </c>
      <c r="D5" s="1994"/>
      <c r="E5" s="1994" t="s">
        <v>718</v>
      </c>
      <c r="F5" s="1994"/>
      <c r="G5" s="1994" t="s">
        <v>719</v>
      </c>
      <c r="H5" s="1994"/>
      <c r="I5" s="1987" t="s">
        <v>720</v>
      </c>
      <c r="J5" s="1987"/>
      <c r="K5" s="1988"/>
      <c r="L5" s="1989"/>
    </row>
    <row r="6" spans="1:12" s="462" customFormat="1" ht="24.75" customHeight="1">
      <c r="A6" s="1992" t="s">
        <v>14</v>
      </c>
      <c r="B6" s="1993"/>
      <c r="C6" s="1994" t="s">
        <v>717</v>
      </c>
      <c r="D6" s="1994"/>
      <c r="E6" s="1994" t="s">
        <v>718</v>
      </c>
      <c r="F6" s="1994"/>
      <c r="G6" s="1994" t="s">
        <v>719</v>
      </c>
      <c r="H6" s="1994"/>
      <c r="I6" s="1990" t="s">
        <v>720</v>
      </c>
      <c r="J6" s="1990"/>
      <c r="K6" s="1765"/>
      <c r="L6" s="1766"/>
    </row>
    <row r="7" spans="1:12" ht="36" customHeight="1">
      <c r="A7" s="1983" t="s">
        <v>12</v>
      </c>
      <c r="B7" s="1984"/>
      <c r="C7" s="1985" t="s">
        <v>721</v>
      </c>
      <c r="D7" s="1985"/>
      <c r="E7" s="1985" t="s">
        <v>722</v>
      </c>
      <c r="F7" s="1985"/>
      <c r="G7" s="1985" t="s">
        <v>723</v>
      </c>
      <c r="H7" s="1985"/>
      <c r="I7" s="1991" t="s">
        <v>724</v>
      </c>
      <c r="J7" s="1991"/>
      <c r="K7" s="1765"/>
      <c r="L7" s="1766"/>
    </row>
    <row r="8" spans="1:12" ht="72" customHeight="1">
      <c r="A8" s="1983" t="s">
        <v>13</v>
      </c>
      <c r="B8" s="1984"/>
      <c r="C8" s="1986" t="s">
        <v>725</v>
      </c>
      <c r="D8" s="1986"/>
      <c r="E8" s="1986" t="s">
        <v>726</v>
      </c>
      <c r="F8" s="1986"/>
      <c r="G8" s="1986" t="s">
        <v>727</v>
      </c>
      <c r="H8" s="1986"/>
      <c r="I8" s="1982" t="s">
        <v>728</v>
      </c>
      <c r="J8" s="1982"/>
      <c r="K8" s="1765"/>
      <c r="L8" s="1766"/>
    </row>
    <row r="9" spans="1:12" ht="19.5" customHeight="1">
      <c r="A9" s="1960" t="s">
        <v>5</v>
      </c>
      <c r="B9" s="1961"/>
      <c r="C9" s="1961"/>
      <c r="D9" s="1961"/>
      <c r="E9" s="1961"/>
      <c r="F9" s="1961"/>
      <c r="G9" s="1961"/>
      <c r="H9" s="1961"/>
      <c r="I9" s="1961"/>
      <c r="J9" s="1962"/>
      <c r="K9" s="1761">
        <f>SUM(K5:L8)</f>
        <v>0</v>
      </c>
      <c r="L9" s="1762"/>
    </row>
    <row r="10" spans="1:12" ht="12.75">
      <c r="A10" s="1963" t="s">
        <v>729</v>
      </c>
      <c r="B10" s="1964"/>
      <c r="C10" s="1969" t="s">
        <v>730</v>
      </c>
      <c r="D10" s="1154"/>
      <c r="E10" s="1154"/>
      <c r="F10" s="1154"/>
      <c r="G10" s="1154"/>
      <c r="H10" s="1154"/>
      <c r="I10" s="1154"/>
      <c r="J10" s="1155"/>
      <c r="K10" s="1976"/>
      <c r="L10" s="1977"/>
    </row>
    <row r="11" spans="1:12" ht="12.75">
      <c r="A11" s="1965"/>
      <c r="B11" s="1966"/>
      <c r="C11" s="1970"/>
      <c r="D11" s="1971"/>
      <c r="E11" s="1971"/>
      <c r="F11" s="1971"/>
      <c r="G11" s="1971"/>
      <c r="H11" s="1971"/>
      <c r="I11" s="1971"/>
      <c r="J11" s="1972"/>
      <c r="K11" s="1978"/>
      <c r="L11" s="1979"/>
    </row>
    <row r="12" spans="1:12" ht="12.75">
      <c r="A12" s="1967"/>
      <c r="B12" s="1968"/>
      <c r="C12" s="1973"/>
      <c r="D12" s="1974"/>
      <c r="E12" s="1974"/>
      <c r="F12" s="1974"/>
      <c r="G12" s="1974"/>
      <c r="H12" s="1974"/>
      <c r="I12" s="1974"/>
      <c r="J12" s="1975"/>
      <c r="K12" s="1980"/>
      <c r="L12" s="1981"/>
    </row>
    <row r="13" spans="1:12" ht="12.75">
      <c r="A13" s="1940" t="s">
        <v>6</v>
      </c>
      <c r="B13" s="1941"/>
      <c r="C13" s="1941"/>
      <c r="D13" s="1941"/>
      <c r="E13" s="1941"/>
      <c r="F13" s="1941"/>
      <c r="G13" s="1941"/>
      <c r="H13" s="1941"/>
      <c r="I13" s="1941"/>
      <c r="J13" s="1942"/>
      <c r="K13" s="1949">
        <f>K9-K10</f>
        <v>0</v>
      </c>
      <c r="L13" s="1950"/>
    </row>
    <row r="14" spans="1:12" ht="12.75">
      <c r="A14" s="1943"/>
      <c r="B14" s="1944"/>
      <c r="C14" s="1944"/>
      <c r="D14" s="1944"/>
      <c r="E14" s="1944"/>
      <c r="F14" s="1944"/>
      <c r="G14" s="1944"/>
      <c r="H14" s="1944"/>
      <c r="I14" s="1944"/>
      <c r="J14" s="1945"/>
      <c r="K14" s="1951"/>
      <c r="L14" s="1952"/>
    </row>
    <row r="15" spans="1:12" ht="12.75">
      <c r="A15" s="1946"/>
      <c r="B15" s="1947"/>
      <c r="C15" s="1947"/>
      <c r="D15" s="1947"/>
      <c r="E15" s="1947"/>
      <c r="F15" s="1947"/>
      <c r="G15" s="1947"/>
      <c r="H15" s="1947"/>
      <c r="I15" s="1947"/>
      <c r="J15" s="1948"/>
      <c r="K15" s="1953"/>
      <c r="L15" s="1954"/>
    </row>
    <row r="16" spans="1:12" ht="12.75">
      <c r="A16" s="370"/>
      <c r="B16" s="370"/>
      <c r="C16" s="370"/>
      <c r="D16" s="370"/>
      <c r="E16" s="370"/>
      <c r="F16" s="370"/>
      <c r="G16" s="370"/>
      <c r="H16" s="370"/>
      <c r="I16" s="370"/>
      <c r="J16" s="370"/>
      <c r="K16" s="370"/>
      <c r="L16" s="370"/>
    </row>
    <row r="17" spans="1:12" ht="24" customHeight="1">
      <c r="A17" s="1955" t="s">
        <v>631</v>
      </c>
      <c r="B17" s="1956"/>
      <c r="C17" s="1957" t="s">
        <v>632</v>
      </c>
      <c r="D17" s="1958"/>
      <c r="E17" s="1958"/>
      <c r="F17" s="1958"/>
      <c r="G17" s="1958"/>
      <c r="H17" s="1958"/>
      <c r="I17" s="1958"/>
      <c r="J17" s="1958"/>
      <c r="K17" s="1958"/>
      <c r="L17" s="1959"/>
    </row>
    <row r="18" spans="1:12" ht="12.75">
      <c r="A18" s="1925" t="s">
        <v>633</v>
      </c>
      <c r="B18" s="1926"/>
      <c r="C18" s="1931" t="s">
        <v>7</v>
      </c>
      <c r="D18" s="1932"/>
      <c r="E18" s="1932"/>
      <c r="F18" s="1932"/>
      <c r="G18" s="1932"/>
      <c r="H18" s="1932"/>
      <c r="I18" s="1932"/>
      <c r="J18" s="1932"/>
      <c r="K18" s="1932"/>
      <c r="L18" s="1933"/>
    </row>
    <row r="19" spans="1:12" ht="12.75">
      <c r="A19" s="1927"/>
      <c r="B19" s="1928"/>
      <c r="C19" s="1934"/>
      <c r="D19" s="1935"/>
      <c r="E19" s="1935"/>
      <c r="F19" s="1935"/>
      <c r="G19" s="1935"/>
      <c r="H19" s="1935"/>
      <c r="I19" s="1935"/>
      <c r="J19" s="1935"/>
      <c r="K19" s="1935"/>
      <c r="L19" s="1936"/>
    </row>
    <row r="20" spans="1:12" ht="12.75">
      <c r="A20" s="1927"/>
      <c r="B20" s="1928"/>
      <c r="C20" s="1934"/>
      <c r="D20" s="1935"/>
      <c r="E20" s="1935"/>
      <c r="F20" s="1935"/>
      <c r="G20" s="1935"/>
      <c r="H20" s="1935"/>
      <c r="I20" s="1935"/>
      <c r="J20" s="1935"/>
      <c r="K20" s="1935"/>
      <c r="L20" s="1936"/>
    </row>
    <row r="21" spans="1:12" ht="12.75">
      <c r="A21" s="1929"/>
      <c r="B21" s="1930"/>
      <c r="C21" s="1937"/>
      <c r="D21" s="1938"/>
      <c r="E21" s="1938"/>
      <c r="F21" s="1938"/>
      <c r="G21" s="1938"/>
      <c r="H21" s="1938"/>
      <c r="I21" s="1938"/>
      <c r="J21" s="1938"/>
      <c r="K21" s="1938"/>
      <c r="L21" s="1939"/>
    </row>
    <row r="22" spans="1:12" ht="15" customHeight="1">
      <c r="A22" s="1925" t="s">
        <v>634</v>
      </c>
      <c r="B22" s="1926"/>
      <c r="C22" s="1931" t="s">
        <v>8</v>
      </c>
      <c r="D22" s="1932"/>
      <c r="E22" s="1932"/>
      <c r="F22" s="1932"/>
      <c r="G22" s="1932"/>
      <c r="H22" s="1932"/>
      <c r="I22" s="1932"/>
      <c r="J22" s="1932"/>
      <c r="K22" s="1932"/>
      <c r="L22" s="1933"/>
    </row>
    <row r="23" spans="1:12" ht="15" customHeight="1">
      <c r="A23" s="1927"/>
      <c r="B23" s="1928"/>
      <c r="C23" s="1934"/>
      <c r="D23" s="1935"/>
      <c r="E23" s="1935"/>
      <c r="F23" s="1935"/>
      <c r="G23" s="1935"/>
      <c r="H23" s="1935"/>
      <c r="I23" s="1935"/>
      <c r="J23" s="1935"/>
      <c r="K23" s="1935"/>
      <c r="L23" s="1936"/>
    </row>
    <row r="24" spans="1:12" ht="15" customHeight="1">
      <c r="A24" s="1927"/>
      <c r="B24" s="1928"/>
      <c r="C24" s="1934"/>
      <c r="D24" s="1935"/>
      <c r="E24" s="1935"/>
      <c r="F24" s="1935"/>
      <c r="G24" s="1935"/>
      <c r="H24" s="1935"/>
      <c r="I24" s="1935"/>
      <c r="J24" s="1935"/>
      <c r="K24" s="1935"/>
      <c r="L24" s="1936"/>
    </row>
    <row r="25" spans="1:12" ht="15" customHeight="1">
      <c r="A25" s="1929"/>
      <c r="B25" s="1930"/>
      <c r="C25" s="1937"/>
      <c r="D25" s="1938"/>
      <c r="E25" s="1938"/>
      <c r="F25" s="1938"/>
      <c r="G25" s="1938"/>
      <c r="H25" s="1938"/>
      <c r="I25" s="1938"/>
      <c r="J25" s="1938"/>
      <c r="K25" s="1938"/>
      <c r="L25" s="1939"/>
    </row>
    <row r="26" spans="1:12" ht="12.75">
      <c r="A26" s="1925" t="s">
        <v>635</v>
      </c>
      <c r="B26" s="1926"/>
      <c r="C26" s="1931" t="s">
        <v>9</v>
      </c>
      <c r="D26" s="1932"/>
      <c r="E26" s="1932"/>
      <c r="F26" s="1932"/>
      <c r="G26" s="1932"/>
      <c r="H26" s="1932"/>
      <c r="I26" s="1932"/>
      <c r="J26" s="1932"/>
      <c r="K26" s="1932"/>
      <c r="L26" s="1933"/>
    </row>
    <row r="27" spans="1:12" ht="12.75">
      <c r="A27" s="1927"/>
      <c r="B27" s="1928"/>
      <c r="C27" s="1934"/>
      <c r="D27" s="1935"/>
      <c r="E27" s="1935"/>
      <c r="F27" s="1935"/>
      <c r="G27" s="1935"/>
      <c r="H27" s="1935"/>
      <c r="I27" s="1935"/>
      <c r="J27" s="1935"/>
      <c r="K27" s="1935"/>
      <c r="L27" s="1936"/>
    </row>
    <row r="28" spans="1:12" ht="12.75">
      <c r="A28" s="1927"/>
      <c r="B28" s="1928"/>
      <c r="C28" s="1934"/>
      <c r="D28" s="1935"/>
      <c r="E28" s="1935"/>
      <c r="F28" s="1935"/>
      <c r="G28" s="1935"/>
      <c r="H28" s="1935"/>
      <c r="I28" s="1935"/>
      <c r="J28" s="1935"/>
      <c r="K28" s="1935"/>
      <c r="L28" s="1936"/>
    </row>
    <row r="29" spans="1:12" ht="12.75">
      <c r="A29" s="1929"/>
      <c r="B29" s="1930"/>
      <c r="C29" s="1937"/>
      <c r="D29" s="1938"/>
      <c r="E29" s="1938"/>
      <c r="F29" s="1938"/>
      <c r="G29" s="1938"/>
      <c r="H29" s="1938"/>
      <c r="I29" s="1938"/>
      <c r="J29" s="1938"/>
      <c r="K29" s="1938"/>
      <c r="L29" s="1939"/>
    </row>
    <row r="30" spans="1:12" ht="9.75" customHeight="1">
      <c r="A30" s="1925">
        <v>16</v>
      </c>
      <c r="B30" s="1926"/>
      <c r="C30" s="1931" t="s">
        <v>10</v>
      </c>
      <c r="D30" s="1932"/>
      <c r="E30" s="1932"/>
      <c r="F30" s="1932"/>
      <c r="G30" s="1932"/>
      <c r="H30" s="1932"/>
      <c r="I30" s="1932"/>
      <c r="J30" s="1932"/>
      <c r="K30" s="1932"/>
      <c r="L30" s="1933"/>
    </row>
    <row r="31" spans="1:12" ht="9.75" customHeight="1">
      <c r="A31" s="1927"/>
      <c r="B31" s="1928"/>
      <c r="C31" s="1934"/>
      <c r="D31" s="1935"/>
      <c r="E31" s="1935"/>
      <c r="F31" s="1935"/>
      <c r="G31" s="1935"/>
      <c r="H31" s="1935"/>
      <c r="I31" s="1935"/>
      <c r="J31" s="1935"/>
      <c r="K31" s="1935"/>
      <c r="L31" s="1936"/>
    </row>
    <row r="32" spans="1:12" ht="9.75" customHeight="1">
      <c r="A32" s="1927"/>
      <c r="B32" s="1928"/>
      <c r="C32" s="1934"/>
      <c r="D32" s="1935"/>
      <c r="E32" s="1935"/>
      <c r="F32" s="1935"/>
      <c r="G32" s="1935"/>
      <c r="H32" s="1935"/>
      <c r="I32" s="1935"/>
      <c r="J32" s="1935"/>
      <c r="K32" s="1935"/>
      <c r="L32" s="1936"/>
    </row>
    <row r="33" spans="1:12" ht="9.75" customHeight="1">
      <c r="A33" s="1929"/>
      <c r="B33" s="1930"/>
      <c r="C33" s="1937"/>
      <c r="D33" s="1938"/>
      <c r="E33" s="1938"/>
      <c r="F33" s="1938"/>
      <c r="G33" s="1938"/>
      <c r="H33" s="1938"/>
      <c r="I33" s="1938"/>
      <c r="J33" s="1938"/>
      <c r="K33" s="1938"/>
      <c r="L33" s="1939"/>
    </row>
    <row r="34" spans="1:12" ht="36" customHeight="1">
      <c r="A34" s="630" t="s">
        <v>52</v>
      </c>
      <c r="B34" s="629"/>
      <c r="C34" s="1788"/>
      <c r="D34" s="1788"/>
      <c r="E34" s="1788"/>
      <c r="F34" s="1788"/>
      <c r="G34" s="1788"/>
      <c r="H34" s="1788"/>
      <c r="I34" s="1788"/>
      <c r="J34" s="1788"/>
      <c r="K34" s="1788"/>
      <c r="L34" s="1788"/>
    </row>
    <row r="35" spans="1:12" ht="12.75">
      <c r="A35" s="370"/>
      <c r="B35" s="370"/>
      <c r="C35" s="370"/>
      <c r="D35" s="370"/>
      <c r="E35" s="370"/>
      <c r="F35" s="370"/>
      <c r="G35" s="370"/>
      <c r="H35" s="370"/>
      <c r="I35" s="370"/>
      <c r="J35" s="370"/>
      <c r="K35" s="370"/>
      <c r="L35" s="370"/>
    </row>
    <row r="36" spans="1:12" ht="24" customHeight="1">
      <c r="A36" s="613"/>
      <c r="B36" s="613"/>
      <c r="C36" s="613"/>
      <c r="D36" s="613"/>
      <c r="E36" s="613"/>
      <c r="F36" s="613"/>
      <c r="G36" s="613"/>
      <c r="H36" s="613"/>
      <c r="I36" s="613"/>
      <c r="J36" s="613"/>
      <c r="K36" s="613"/>
      <c r="L36" s="613"/>
    </row>
    <row r="37" spans="1:12" ht="15.75">
      <c r="A37" s="1923" t="s">
        <v>731</v>
      </c>
      <c r="B37" s="1923"/>
      <c r="C37" s="1923"/>
      <c r="D37" s="1923"/>
      <c r="E37" s="1923"/>
      <c r="F37" s="1923"/>
      <c r="G37" s="1923"/>
      <c r="H37" s="1923"/>
      <c r="I37" s="1923"/>
      <c r="J37" s="1923"/>
      <c r="K37" s="1923"/>
      <c r="L37" s="1923"/>
    </row>
    <row r="38" spans="1:12" ht="12.75">
      <c r="A38" s="1924" t="s">
        <v>732</v>
      </c>
      <c r="B38" s="1924"/>
      <c r="C38" s="1924"/>
      <c r="D38" s="1924"/>
      <c r="E38" s="1924"/>
      <c r="F38" s="1924"/>
      <c r="G38" s="1924"/>
      <c r="H38" s="1924"/>
      <c r="I38" s="1924"/>
      <c r="J38" s="1924"/>
      <c r="K38" s="1924"/>
      <c r="L38" s="1924"/>
    </row>
    <row r="39" spans="1:12" ht="12.75">
      <c r="A39" s="1924" t="s">
        <v>733</v>
      </c>
      <c r="B39" s="1924"/>
      <c r="C39" s="1924"/>
      <c r="D39" s="1924"/>
      <c r="E39" s="1924"/>
      <c r="F39" s="1924"/>
      <c r="G39" s="1924"/>
      <c r="H39" s="1924"/>
      <c r="I39" s="1924"/>
      <c r="J39" s="1924"/>
      <c r="K39" s="1924"/>
      <c r="L39" s="1924"/>
    </row>
    <row r="40" spans="1:12" ht="12.75">
      <c r="A40" s="609"/>
      <c r="B40" s="609"/>
      <c r="C40" s="609"/>
      <c r="D40" s="609"/>
      <c r="E40" s="609"/>
      <c r="F40" s="609"/>
      <c r="G40" s="609"/>
      <c r="H40" s="609"/>
      <c r="I40" s="609"/>
      <c r="J40" s="609"/>
      <c r="K40" s="609"/>
      <c r="L40" s="609"/>
    </row>
    <row r="41" spans="1:12" ht="12.75">
      <c r="A41" s="1914" t="s">
        <v>734</v>
      </c>
      <c r="B41" s="1914"/>
      <c r="C41" s="1914"/>
      <c r="D41" s="1914"/>
      <c r="E41" s="1914"/>
      <c r="F41" s="1914"/>
      <c r="G41" s="1914"/>
      <c r="H41" s="1914"/>
      <c r="I41" s="1914"/>
      <c r="J41" s="1914"/>
      <c r="K41" s="1914"/>
      <c r="L41" s="1914"/>
    </row>
    <row r="42" spans="1:12" ht="12.75">
      <c r="A42" s="1914"/>
      <c r="B42" s="1914"/>
      <c r="C42" s="1914"/>
      <c r="D42" s="1914"/>
      <c r="E42" s="1914"/>
      <c r="F42" s="1914"/>
      <c r="G42" s="1914"/>
      <c r="H42" s="1914"/>
      <c r="I42" s="1914"/>
      <c r="J42" s="1914"/>
      <c r="K42" s="1914"/>
      <c r="L42" s="1914"/>
    </row>
    <row r="43" spans="1:12" ht="12.75">
      <c r="A43" s="1914"/>
      <c r="B43" s="1914"/>
      <c r="C43" s="1914"/>
      <c r="D43" s="1914"/>
      <c r="E43" s="1914"/>
      <c r="F43" s="1914"/>
      <c r="G43" s="1914"/>
      <c r="H43" s="1914"/>
      <c r="I43" s="1914"/>
      <c r="J43" s="1914"/>
      <c r="K43" s="1914"/>
      <c r="L43" s="1914"/>
    </row>
    <row r="44" spans="1:12" ht="12.75">
      <c r="A44" s="1914"/>
      <c r="B44" s="1914"/>
      <c r="C44" s="1914"/>
      <c r="D44" s="1914"/>
      <c r="E44" s="1914"/>
      <c r="F44" s="1914"/>
      <c r="G44" s="1914"/>
      <c r="H44" s="1914"/>
      <c r="I44" s="1914"/>
      <c r="J44" s="1914"/>
      <c r="K44" s="1914"/>
      <c r="L44" s="1914"/>
    </row>
    <row r="45" spans="1:12" ht="12.75">
      <c r="A45" s="610"/>
      <c r="B45" s="610"/>
      <c r="C45" s="610"/>
      <c r="D45" s="610"/>
      <c r="E45" s="610"/>
      <c r="F45" s="610"/>
      <c r="G45" s="610"/>
      <c r="H45" s="610"/>
      <c r="I45" s="610"/>
      <c r="J45" s="610"/>
      <c r="K45" s="610"/>
      <c r="L45" s="610"/>
    </row>
    <row r="46" spans="1:12" ht="12.75">
      <c r="A46" s="1914" t="s">
        <v>735</v>
      </c>
      <c r="B46" s="1914"/>
      <c r="C46" s="1914"/>
      <c r="D46" s="1914"/>
      <c r="E46" s="1914"/>
      <c r="F46" s="1914"/>
      <c r="G46" s="1914"/>
      <c r="H46" s="1914"/>
      <c r="I46" s="1914"/>
      <c r="J46" s="1914"/>
      <c r="K46" s="1914"/>
      <c r="L46" s="1914"/>
    </row>
    <row r="47" spans="1:12" ht="12.75">
      <c r="A47" s="1914"/>
      <c r="B47" s="1914"/>
      <c r="C47" s="1914"/>
      <c r="D47" s="1914"/>
      <c r="E47" s="1914"/>
      <c r="F47" s="1914"/>
      <c r="G47" s="1914"/>
      <c r="H47" s="1914"/>
      <c r="I47" s="1914"/>
      <c r="J47" s="1914"/>
      <c r="K47" s="1914"/>
      <c r="L47" s="1914"/>
    </row>
    <row r="48" spans="1:12" ht="12.75">
      <c r="A48" s="1914"/>
      <c r="B48" s="1914"/>
      <c r="C48" s="1914"/>
      <c r="D48" s="1914"/>
      <c r="E48" s="1914"/>
      <c r="F48" s="1914"/>
      <c r="G48" s="1914"/>
      <c r="H48" s="1914"/>
      <c r="I48" s="1914"/>
      <c r="J48" s="1914"/>
      <c r="K48" s="1914"/>
      <c r="L48" s="1914"/>
    </row>
    <row r="49" spans="1:12" ht="12.75">
      <c r="A49" s="1914"/>
      <c r="B49" s="1914"/>
      <c r="C49" s="1914"/>
      <c r="D49" s="1914"/>
      <c r="E49" s="1914"/>
      <c r="F49" s="1914"/>
      <c r="G49" s="1914"/>
      <c r="H49" s="1914"/>
      <c r="I49" s="1914"/>
      <c r="J49" s="1914"/>
      <c r="K49" s="1914"/>
      <c r="L49" s="1914"/>
    </row>
    <row r="50" spans="1:12" ht="12.75">
      <c r="A50" s="610"/>
      <c r="B50" s="610"/>
      <c r="C50" s="610"/>
      <c r="D50" s="610"/>
      <c r="E50" s="610"/>
      <c r="F50" s="610"/>
      <c r="G50" s="610"/>
      <c r="H50" s="610"/>
      <c r="I50" s="610"/>
      <c r="J50" s="610"/>
      <c r="K50" s="610"/>
      <c r="L50" s="610"/>
    </row>
    <row r="51" spans="1:12" ht="12.75">
      <c r="A51" s="1914" t="s">
        <v>736</v>
      </c>
      <c r="B51" s="1914"/>
      <c r="C51" s="1914"/>
      <c r="D51" s="1914"/>
      <c r="E51" s="1914"/>
      <c r="F51" s="1914"/>
      <c r="G51" s="1914"/>
      <c r="H51" s="1914"/>
      <c r="I51" s="1914"/>
      <c r="J51" s="1914"/>
      <c r="K51" s="1914"/>
      <c r="L51" s="1914"/>
    </row>
    <row r="52" spans="1:12" ht="12.75">
      <c r="A52" s="1914"/>
      <c r="B52" s="1914"/>
      <c r="C52" s="1914"/>
      <c r="D52" s="1914"/>
      <c r="E52" s="1914"/>
      <c r="F52" s="1914"/>
      <c r="G52" s="1914"/>
      <c r="H52" s="1914"/>
      <c r="I52" s="1914"/>
      <c r="J52" s="1914"/>
      <c r="K52" s="1914"/>
      <c r="L52" s="1914"/>
    </row>
    <row r="53" spans="1:12" ht="12.75">
      <c r="A53" s="1914"/>
      <c r="B53" s="1914"/>
      <c r="C53" s="1914"/>
      <c r="D53" s="1914"/>
      <c r="E53" s="1914"/>
      <c r="F53" s="1914"/>
      <c r="G53" s="1914"/>
      <c r="H53" s="1914"/>
      <c r="I53" s="1914"/>
      <c r="J53" s="1914"/>
      <c r="K53" s="1914"/>
      <c r="L53" s="1914"/>
    </row>
    <row r="54" spans="1:12" ht="12.75">
      <c r="A54" s="610"/>
      <c r="B54" s="610"/>
      <c r="C54" s="610"/>
      <c r="D54" s="610"/>
      <c r="E54" s="610"/>
      <c r="F54" s="610"/>
      <c r="G54" s="610"/>
      <c r="H54" s="610"/>
      <c r="I54" s="610"/>
      <c r="J54" s="610"/>
      <c r="K54" s="610"/>
      <c r="L54" s="610"/>
    </row>
    <row r="55" spans="1:12" ht="12.75">
      <c r="A55" s="1914" t="s">
        <v>737</v>
      </c>
      <c r="B55" s="1914"/>
      <c r="C55" s="1914"/>
      <c r="D55" s="1914"/>
      <c r="E55" s="1914"/>
      <c r="F55" s="1914"/>
      <c r="G55" s="1914"/>
      <c r="H55" s="1914"/>
      <c r="I55" s="1914"/>
      <c r="J55" s="1914"/>
      <c r="K55" s="1914"/>
      <c r="L55" s="1914"/>
    </row>
    <row r="56" spans="1:12" ht="12.75">
      <c r="A56" s="1914"/>
      <c r="B56" s="1914"/>
      <c r="C56" s="1914"/>
      <c r="D56" s="1914"/>
      <c r="E56" s="1914"/>
      <c r="F56" s="1914"/>
      <c r="G56" s="1914"/>
      <c r="H56" s="1914"/>
      <c r="I56" s="1914"/>
      <c r="J56" s="1914"/>
      <c r="K56" s="1914"/>
      <c r="L56" s="1914"/>
    </row>
    <row r="57" spans="1:12" ht="12.75">
      <c r="A57" s="610"/>
      <c r="B57" s="610"/>
      <c r="C57" s="610"/>
      <c r="D57" s="610"/>
      <c r="E57" s="610"/>
      <c r="F57" s="610"/>
      <c r="G57" s="610"/>
      <c r="H57" s="610"/>
      <c r="I57" s="610"/>
      <c r="J57" s="610"/>
      <c r="K57" s="610"/>
      <c r="L57" s="610"/>
    </row>
    <row r="58" spans="1:12" ht="12.75">
      <c r="A58" s="1746" t="s">
        <v>738</v>
      </c>
      <c r="B58" s="1746"/>
      <c r="C58" s="1746"/>
      <c r="D58" s="1746"/>
      <c r="E58" s="1746"/>
      <c r="F58" s="1746"/>
      <c r="G58" s="1746"/>
      <c r="H58" s="1746"/>
      <c r="I58" s="1746"/>
      <c r="J58" s="1746"/>
      <c r="K58" s="1746"/>
      <c r="L58" s="1746"/>
    </row>
    <row r="59" spans="1:12" ht="12.75">
      <c r="A59" s="612"/>
      <c r="B59" s="612"/>
      <c r="C59" s="612"/>
      <c r="D59" s="612"/>
      <c r="E59" s="612"/>
      <c r="F59" s="612"/>
      <c r="G59" s="612"/>
      <c r="H59" s="612"/>
      <c r="I59" s="612"/>
      <c r="J59" s="612"/>
      <c r="K59" s="612"/>
      <c r="L59" s="612"/>
    </row>
    <row r="60" spans="1:12" s="468" customFormat="1" ht="12.75" customHeight="1">
      <c r="A60" s="1904" t="s">
        <v>739</v>
      </c>
      <c r="B60" s="1915"/>
      <c r="C60" s="1915"/>
      <c r="D60" s="1915"/>
      <c r="E60" s="1916"/>
      <c r="F60" s="611"/>
      <c r="G60" s="613"/>
      <c r="H60" s="1904" t="s">
        <v>740</v>
      </c>
      <c r="I60" s="1905"/>
      <c r="J60" s="1905"/>
      <c r="K60" s="1905"/>
      <c r="L60" s="1906"/>
    </row>
    <row r="61" spans="1:12" s="468" customFormat="1" ht="12.75">
      <c r="A61" s="1917"/>
      <c r="B61" s="1918"/>
      <c r="C61" s="1918"/>
      <c r="D61" s="1918"/>
      <c r="E61" s="1919"/>
      <c r="F61" s="1746" t="s">
        <v>650</v>
      </c>
      <c r="G61" s="1746"/>
      <c r="H61" s="1907"/>
      <c r="I61" s="1908"/>
      <c r="J61" s="1908"/>
      <c r="K61" s="1908"/>
      <c r="L61" s="1909"/>
    </row>
    <row r="62" spans="1:12" s="468" customFormat="1" ht="12.75">
      <c r="A62" s="1920"/>
      <c r="B62" s="1921"/>
      <c r="C62" s="1921"/>
      <c r="D62" s="1921"/>
      <c r="E62" s="1922"/>
      <c r="F62" s="611"/>
      <c r="G62" s="611"/>
      <c r="H62" s="1910"/>
      <c r="I62" s="1911"/>
      <c r="J62" s="1911"/>
      <c r="K62" s="1911"/>
      <c r="L62" s="1912"/>
    </row>
    <row r="63" spans="1:12" s="468" customFormat="1" ht="25.5">
      <c r="A63" s="611"/>
      <c r="B63" s="611"/>
      <c r="C63" s="615" t="s">
        <v>651</v>
      </c>
      <c r="D63" s="611"/>
      <c r="E63" s="611"/>
      <c r="F63" s="611"/>
      <c r="G63" s="611"/>
      <c r="H63" s="611"/>
      <c r="I63" s="611"/>
      <c r="J63" s="611"/>
      <c r="K63" s="611"/>
      <c r="L63" s="611"/>
    </row>
    <row r="64" spans="1:12" s="468" customFormat="1" ht="12.75">
      <c r="A64" s="1904" t="s">
        <v>741</v>
      </c>
      <c r="B64" s="1905"/>
      <c r="C64" s="1905"/>
      <c r="D64" s="1905"/>
      <c r="E64" s="1906"/>
      <c r="F64" s="611"/>
      <c r="G64" s="611"/>
      <c r="H64" s="1904" t="s">
        <v>742</v>
      </c>
      <c r="I64" s="1905"/>
      <c r="J64" s="1905"/>
      <c r="K64" s="1905"/>
      <c r="L64" s="1906"/>
    </row>
    <row r="65" spans="1:12" s="468" customFormat="1" ht="12.75">
      <c r="A65" s="1907"/>
      <c r="B65" s="1908"/>
      <c r="C65" s="1908"/>
      <c r="D65" s="1908"/>
      <c r="E65" s="1909"/>
      <c r="F65" s="1746" t="s">
        <v>650</v>
      </c>
      <c r="G65" s="1746"/>
      <c r="H65" s="1907"/>
      <c r="I65" s="1908"/>
      <c r="J65" s="1908"/>
      <c r="K65" s="1908"/>
      <c r="L65" s="1909"/>
    </row>
    <row r="66" spans="1:12" s="468" customFormat="1" ht="14.25" customHeight="1">
      <c r="A66" s="1907"/>
      <c r="B66" s="1908"/>
      <c r="C66" s="1908"/>
      <c r="D66" s="1908"/>
      <c r="E66" s="1909"/>
      <c r="F66" s="611"/>
      <c r="G66" s="611"/>
      <c r="H66" s="1907"/>
      <c r="I66" s="1908"/>
      <c r="J66" s="1908"/>
      <c r="K66" s="1908"/>
      <c r="L66" s="1909"/>
    </row>
    <row r="67" spans="1:12" s="468" customFormat="1" ht="12.75">
      <c r="A67" s="1910"/>
      <c r="B67" s="1911"/>
      <c r="C67" s="1911"/>
      <c r="D67" s="1911"/>
      <c r="E67" s="1912"/>
      <c r="F67" s="611"/>
      <c r="G67" s="611"/>
      <c r="H67" s="1910"/>
      <c r="I67" s="1911"/>
      <c r="J67" s="1911"/>
      <c r="K67" s="1911"/>
      <c r="L67" s="1912"/>
    </row>
    <row r="68" spans="1:12" s="468" customFormat="1" ht="25.5">
      <c r="A68" s="611"/>
      <c r="B68" s="611"/>
      <c r="C68" s="615" t="s">
        <v>651</v>
      </c>
      <c r="D68" s="611"/>
      <c r="E68" s="611"/>
      <c r="F68" s="611"/>
      <c r="G68" s="611"/>
      <c r="H68" s="611"/>
      <c r="I68" s="611"/>
      <c r="J68" s="611"/>
      <c r="K68" s="611"/>
      <c r="L68" s="611"/>
    </row>
    <row r="69" spans="1:12" s="468" customFormat="1" ht="12.75">
      <c r="A69" s="1904" t="s">
        <v>743</v>
      </c>
      <c r="B69" s="1905"/>
      <c r="C69" s="1905"/>
      <c r="D69" s="1905"/>
      <c r="E69" s="1906"/>
      <c r="F69" s="611"/>
      <c r="G69" s="611"/>
      <c r="H69" s="1904" t="s">
        <v>742</v>
      </c>
      <c r="I69" s="1905"/>
      <c r="J69" s="1905"/>
      <c r="K69" s="1905"/>
      <c r="L69" s="1906"/>
    </row>
    <row r="70" spans="1:12" s="468" customFormat="1" ht="12.75">
      <c r="A70" s="1907"/>
      <c r="B70" s="1908"/>
      <c r="C70" s="1908"/>
      <c r="D70" s="1908"/>
      <c r="E70" s="1909"/>
      <c r="F70" s="611"/>
      <c r="G70" s="611"/>
      <c r="H70" s="1907"/>
      <c r="I70" s="1908"/>
      <c r="J70" s="1908"/>
      <c r="K70" s="1908"/>
      <c r="L70" s="1909"/>
    </row>
    <row r="71" spans="1:12" s="468" customFormat="1" ht="12.75">
      <c r="A71" s="1907"/>
      <c r="B71" s="1908"/>
      <c r="C71" s="1908"/>
      <c r="D71" s="1908"/>
      <c r="E71" s="1909"/>
      <c r="F71" s="1746" t="s">
        <v>650</v>
      </c>
      <c r="G71" s="1746"/>
      <c r="H71" s="1907"/>
      <c r="I71" s="1908"/>
      <c r="J71" s="1908"/>
      <c r="K71" s="1908"/>
      <c r="L71" s="1909"/>
    </row>
    <row r="72" spans="1:12" s="468" customFormat="1" ht="12.75">
      <c r="A72" s="1907"/>
      <c r="B72" s="1908"/>
      <c r="C72" s="1908"/>
      <c r="D72" s="1908"/>
      <c r="E72" s="1909"/>
      <c r="F72" s="611"/>
      <c r="G72" s="611"/>
      <c r="H72" s="1907"/>
      <c r="I72" s="1908"/>
      <c r="J72" s="1908"/>
      <c r="K72" s="1908"/>
      <c r="L72" s="1909"/>
    </row>
    <row r="73" spans="1:12" s="468" customFormat="1" ht="12.75">
      <c r="A73" s="1910"/>
      <c r="B73" s="1911"/>
      <c r="C73" s="1911"/>
      <c r="D73" s="1911"/>
      <c r="E73" s="1912"/>
      <c r="F73" s="613"/>
      <c r="G73" s="613"/>
      <c r="H73" s="1910"/>
      <c r="I73" s="1911"/>
      <c r="J73" s="1911"/>
      <c r="K73" s="1911"/>
      <c r="L73" s="1912"/>
    </row>
    <row r="74" spans="1:12" s="468" customFormat="1" ht="25.5">
      <c r="A74" s="614"/>
      <c r="B74" s="614"/>
      <c r="C74" s="615" t="s">
        <v>651</v>
      </c>
      <c r="D74" s="614"/>
      <c r="E74" s="614"/>
      <c r="F74" s="613"/>
      <c r="G74" s="613"/>
      <c r="H74" s="614"/>
      <c r="I74" s="614"/>
      <c r="J74" s="614"/>
      <c r="K74" s="614"/>
      <c r="L74" s="614"/>
    </row>
    <row r="75" spans="1:12" s="468" customFormat="1" ht="12.75">
      <c r="A75" s="1904" t="s">
        <v>744</v>
      </c>
      <c r="B75" s="1905"/>
      <c r="C75" s="1905"/>
      <c r="D75" s="1905"/>
      <c r="E75" s="1906"/>
      <c r="F75" s="613"/>
      <c r="G75" s="613"/>
      <c r="H75" s="614"/>
      <c r="I75" s="614"/>
      <c r="J75" s="614"/>
      <c r="K75" s="614"/>
      <c r="L75" s="614"/>
    </row>
    <row r="76" spans="1:12" s="468" customFormat="1" ht="12.75">
      <c r="A76" s="1907"/>
      <c r="B76" s="1908"/>
      <c r="C76" s="1908"/>
      <c r="D76" s="1908"/>
      <c r="E76" s="1909"/>
      <c r="F76" s="613"/>
      <c r="G76" s="613"/>
      <c r="H76" s="614"/>
      <c r="I76" s="614"/>
      <c r="J76" s="614"/>
      <c r="K76" s="614"/>
      <c r="L76" s="614"/>
    </row>
    <row r="77" spans="1:12" s="468" customFormat="1" ht="12.75">
      <c r="A77" s="1910"/>
      <c r="B77" s="1911"/>
      <c r="C77" s="1911"/>
      <c r="D77" s="1911"/>
      <c r="E77" s="1912"/>
      <c r="F77" s="613"/>
      <c r="G77" s="613"/>
      <c r="H77" s="614"/>
      <c r="I77" s="614"/>
      <c r="J77" s="614"/>
      <c r="K77" s="614"/>
      <c r="L77" s="614"/>
    </row>
    <row r="78" spans="1:12" ht="12.75">
      <c r="A78" s="616"/>
      <c r="B78" s="616"/>
      <c r="C78" s="616"/>
      <c r="D78" s="616"/>
      <c r="E78" s="616"/>
      <c r="F78" s="617"/>
      <c r="G78" s="617"/>
      <c r="H78" s="616"/>
      <c r="I78" s="616"/>
      <c r="J78" s="616"/>
      <c r="K78" s="616"/>
      <c r="L78" s="616"/>
    </row>
    <row r="79" spans="1:12" ht="13.5">
      <c r="A79" s="618" t="s">
        <v>656</v>
      </c>
      <c r="B79" s="616"/>
      <c r="C79" s="616"/>
      <c r="D79" s="616"/>
      <c r="E79" s="616"/>
      <c r="F79" s="617"/>
      <c r="G79" s="617"/>
      <c r="H79" s="616"/>
      <c r="I79" s="616"/>
      <c r="J79" s="616"/>
      <c r="K79" s="616"/>
      <c r="L79" s="616"/>
    </row>
    <row r="80" spans="1:12" ht="13.5">
      <c r="A80" s="618" t="s">
        <v>745</v>
      </c>
      <c r="B80" s="616"/>
      <c r="C80" s="616"/>
      <c r="D80" s="616"/>
      <c r="E80" s="616"/>
      <c r="F80" s="617"/>
      <c r="G80" s="617"/>
      <c r="H80" s="616"/>
      <c r="I80" s="616"/>
      <c r="J80" s="616"/>
      <c r="K80" s="616"/>
      <c r="L80" s="616"/>
    </row>
    <row r="81" spans="1:12" ht="13.5">
      <c r="A81" s="618"/>
      <c r="B81" s="616"/>
      <c r="C81" s="616"/>
      <c r="D81" s="616"/>
      <c r="E81" s="616"/>
      <c r="F81" s="617"/>
      <c r="G81" s="617"/>
      <c r="H81" s="616"/>
      <c r="I81" s="616"/>
      <c r="J81" s="616"/>
      <c r="K81" s="616"/>
      <c r="L81" s="616"/>
    </row>
    <row r="82" spans="1:12" ht="15.75">
      <c r="A82" s="1913" t="s">
        <v>658</v>
      </c>
      <c r="B82" s="1913"/>
      <c r="C82" s="1913"/>
      <c r="D82" s="1913"/>
      <c r="E82" s="1913"/>
      <c r="F82" s="1913"/>
      <c r="G82" s="1913"/>
      <c r="H82" s="1913"/>
      <c r="I82" s="1913"/>
      <c r="J82" s="1913"/>
      <c r="K82" s="1913"/>
      <c r="L82" s="1913"/>
    </row>
    <row r="83" spans="1:12" ht="13.5">
      <c r="A83" s="618"/>
      <c r="B83" s="616"/>
      <c r="C83" s="616"/>
      <c r="D83" s="616"/>
      <c r="E83" s="616"/>
      <c r="F83" s="617"/>
      <c r="G83" s="617"/>
      <c r="H83" s="616"/>
      <c r="I83" s="616"/>
      <c r="J83" s="616"/>
      <c r="K83" s="616"/>
      <c r="L83" s="616"/>
    </row>
    <row r="84" spans="1:12" ht="12.75">
      <c r="A84" s="1914" t="s">
        <v>750</v>
      </c>
      <c r="B84" s="1914"/>
      <c r="C84" s="1914"/>
      <c r="D84" s="1914"/>
      <c r="E84" s="1914"/>
      <c r="F84" s="1914"/>
      <c r="G84" s="1914"/>
      <c r="H84" s="1914"/>
      <c r="I84" s="1914"/>
      <c r="J84" s="1914"/>
      <c r="K84" s="1914"/>
      <c r="L84" s="1914"/>
    </row>
    <row r="85" spans="1:12" ht="12.75">
      <c r="A85" s="1914"/>
      <c r="B85" s="1914"/>
      <c r="C85" s="1914"/>
      <c r="D85" s="1914"/>
      <c r="E85" s="1914"/>
      <c r="F85" s="1914"/>
      <c r="G85" s="1914"/>
      <c r="H85" s="1914"/>
      <c r="I85" s="1914"/>
      <c r="J85" s="1914"/>
      <c r="K85" s="1914"/>
      <c r="L85" s="1914"/>
    </row>
    <row r="86" spans="1:12" ht="12.75">
      <c r="A86" s="1914"/>
      <c r="B86" s="1914"/>
      <c r="C86" s="1914"/>
      <c r="D86" s="1914"/>
      <c r="E86" s="1914"/>
      <c r="F86" s="1914"/>
      <c r="G86" s="1914"/>
      <c r="H86" s="1914"/>
      <c r="I86" s="1914"/>
      <c r="J86" s="1914"/>
      <c r="K86" s="1914"/>
      <c r="L86" s="1914"/>
    </row>
    <row r="87" spans="1:12" ht="12.75">
      <c r="A87" s="1914"/>
      <c r="B87" s="1914"/>
      <c r="C87" s="1914"/>
      <c r="D87" s="1914"/>
      <c r="E87" s="1914"/>
      <c r="F87" s="1914"/>
      <c r="G87" s="1914"/>
      <c r="H87" s="1914"/>
      <c r="I87" s="1914"/>
      <c r="J87" s="1914"/>
      <c r="K87" s="1914"/>
      <c r="L87" s="1914"/>
    </row>
    <row r="88" spans="1:12" ht="12.75">
      <c r="A88" s="1914"/>
      <c r="B88" s="1914"/>
      <c r="C88" s="1914"/>
      <c r="D88" s="1914"/>
      <c r="E88" s="1914"/>
      <c r="F88" s="1914"/>
      <c r="G88" s="1914"/>
      <c r="H88" s="1914"/>
      <c r="I88" s="1914"/>
      <c r="J88" s="1914"/>
      <c r="K88" s="1914"/>
      <c r="L88" s="1914"/>
    </row>
    <row r="89" spans="1:12" ht="12.75">
      <c r="A89" s="1914"/>
      <c r="B89" s="1914"/>
      <c r="C89" s="1914"/>
      <c r="D89" s="1914"/>
      <c r="E89" s="1914"/>
      <c r="F89" s="1914"/>
      <c r="G89" s="1914"/>
      <c r="H89" s="1914"/>
      <c r="I89" s="1914"/>
      <c r="J89" s="1914"/>
      <c r="K89" s="1914"/>
      <c r="L89" s="1914"/>
    </row>
    <row r="90" spans="1:12" ht="12.75">
      <c r="A90" s="1914"/>
      <c r="B90" s="1914"/>
      <c r="C90" s="1914"/>
      <c r="D90" s="1914"/>
      <c r="E90" s="1914"/>
      <c r="F90" s="1914"/>
      <c r="G90" s="1914"/>
      <c r="H90" s="1914"/>
      <c r="I90" s="1914"/>
      <c r="J90" s="1914"/>
      <c r="K90" s="1914"/>
      <c r="L90" s="1914"/>
    </row>
    <row r="91" spans="1:12" ht="12.75">
      <c r="A91" s="1914"/>
      <c r="B91" s="1914"/>
      <c r="C91" s="1914"/>
      <c r="D91" s="1914"/>
      <c r="E91" s="1914"/>
      <c r="F91" s="1914"/>
      <c r="G91" s="1914"/>
      <c r="H91" s="1914"/>
      <c r="I91" s="1914"/>
      <c r="J91" s="1914"/>
      <c r="K91" s="1914"/>
      <c r="L91" s="1914"/>
    </row>
    <row r="92" spans="1:12" ht="12.75">
      <c r="A92" s="1914"/>
      <c r="B92" s="1914"/>
      <c r="C92" s="1914"/>
      <c r="D92" s="1914"/>
      <c r="E92" s="1914"/>
      <c r="F92" s="1914"/>
      <c r="G92" s="1914"/>
      <c r="H92" s="1914"/>
      <c r="I92" s="1914"/>
      <c r="J92" s="1914"/>
      <c r="K92" s="1914"/>
      <c r="L92" s="1914"/>
    </row>
    <row r="93" spans="1:12" ht="13.5">
      <c r="A93" s="618"/>
      <c r="B93" s="616"/>
      <c r="C93" s="616"/>
      <c r="D93" s="616"/>
      <c r="E93" s="616"/>
      <c r="F93" s="617"/>
      <c r="G93" s="617"/>
      <c r="H93" s="616"/>
      <c r="I93" s="616"/>
      <c r="J93" s="616"/>
      <c r="K93" s="616"/>
      <c r="L93" s="616"/>
    </row>
    <row r="94" spans="1:12" ht="15.75" customHeight="1">
      <c r="A94" s="1913" t="s">
        <v>751</v>
      </c>
      <c r="B94" s="1913"/>
      <c r="C94" s="1913"/>
      <c r="D94" s="1913"/>
      <c r="E94" s="1913"/>
      <c r="F94" s="1913"/>
      <c r="G94" s="1913"/>
      <c r="H94" s="1913"/>
      <c r="I94" s="1913"/>
      <c r="J94" s="1913"/>
      <c r="K94" s="1913"/>
      <c r="L94" s="1913"/>
    </row>
    <row r="95" spans="1:12" ht="13.5" thickBot="1">
      <c r="A95" s="617"/>
      <c r="B95" s="617"/>
      <c r="C95" s="617"/>
      <c r="D95" s="617"/>
      <c r="E95" s="617"/>
      <c r="F95" s="617"/>
      <c r="G95" s="617"/>
      <c r="H95" s="617"/>
      <c r="I95" s="617"/>
      <c r="J95" s="617"/>
      <c r="K95" s="617"/>
      <c r="L95" s="617"/>
    </row>
    <row r="96" spans="1:12" s="469" customFormat="1" ht="12.75" customHeight="1">
      <c r="A96" s="1888" t="s">
        <v>794</v>
      </c>
      <c r="B96" s="1889"/>
      <c r="C96" s="1889"/>
      <c r="D96" s="1889"/>
      <c r="E96" s="1889"/>
      <c r="F96" s="1889"/>
      <c r="G96" s="1889"/>
      <c r="H96" s="1889"/>
      <c r="I96" s="1889"/>
      <c r="J96" s="1889"/>
      <c r="K96" s="1889"/>
      <c r="L96" s="1890"/>
    </row>
    <row r="97" spans="1:12" s="469" customFormat="1" ht="12.75">
      <c r="A97" s="1891"/>
      <c r="B97" s="1892"/>
      <c r="C97" s="1892"/>
      <c r="D97" s="1892"/>
      <c r="E97" s="1892"/>
      <c r="F97" s="1892"/>
      <c r="G97" s="1892"/>
      <c r="H97" s="1892"/>
      <c r="I97" s="1892"/>
      <c r="J97" s="1892"/>
      <c r="K97" s="1892"/>
      <c r="L97" s="1893"/>
    </row>
    <row r="98" spans="1:12" s="469" customFormat="1" ht="12.75">
      <c r="A98" s="1891"/>
      <c r="B98" s="1892"/>
      <c r="C98" s="1892"/>
      <c r="D98" s="1892"/>
      <c r="E98" s="1892"/>
      <c r="F98" s="1892"/>
      <c r="G98" s="1892"/>
      <c r="H98" s="1892"/>
      <c r="I98" s="1892"/>
      <c r="J98" s="1892"/>
      <c r="K98" s="1892"/>
      <c r="L98" s="1893"/>
    </row>
    <row r="99" spans="1:12" s="469" customFormat="1" ht="12.75">
      <c r="A99" s="1891"/>
      <c r="B99" s="1892"/>
      <c r="C99" s="1892"/>
      <c r="D99" s="1892"/>
      <c r="E99" s="1892"/>
      <c r="F99" s="1892"/>
      <c r="G99" s="1892"/>
      <c r="H99" s="1892"/>
      <c r="I99" s="1892"/>
      <c r="J99" s="1892"/>
      <c r="K99" s="1892"/>
      <c r="L99" s="1893"/>
    </row>
    <row r="100" spans="1:12" s="469" customFormat="1" ht="12.75">
      <c r="A100" s="1891"/>
      <c r="B100" s="1892"/>
      <c r="C100" s="1892"/>
      <c r="D100" s="1892"/>
      <c r="E100" s="1892"/>
      <c r="F100" s="1892"/>
      <c r="G100" s="1892"/>
      <c r="H100" s="1892"/>
      <c r="I100" s="1892"/>
      <c r="J100" s="1892"/>
      <c r="K100" s="1892"/>
      <c r="L100" s="1893"/>
    </row>
    <row r="101" spans="1:12" ht="12.75">
      <c r="A101" s="1894" t="s">
        <v>795</v>
      </c>
      <c r="B101" s="1895"/>
      <c r="C101" s="1895"/>
      <c r="D101" s="1895"/>
      <c r="E101" s="1895"/>
      <c r="F101" s="1895"/>
      <c r="G101" s="1895"/>
      <c r="H101" s="1895"/>
      <c r="I101" s="1895"/>
      <c r="J101" s="1895"/>
      <c r="K101" s="1895"/>
      <c r="L101" s="1896"/>
    </row>
    <row r="102" spans="1:12" ht="19.5" customHeight="1">
      <c r="A102" s="1832"/>
      <c r="B102" s="1897"/>
      <c r="C102" s="1898" t="s">
        <v>796</v>
      </c>
      <c r="D102" s="1899"/>
      <c r="E102" s="1899"/>
      <c r="F102" s="1899"/>
      <c r="G102" s="1899"/>
      <c r="H102" s="1899"/>
      <c r="I102" s="1899"/>
      <c r="J102" s="1899"/>
      <c r="K102" s="1899"/>
      <c r="L102" s="1900"/>
    </row>
    <row r="103" spans="1:12" ht="60" customHeight="1">
      <c r="A103" s="1832"/>
      <c r="B103" s="1897"/>
      <c r="C103" s="1901" t="s">
        <v>797</v>
      </c>
      <c r="D103" s="1902"/>
      <c r="E103" s="1901" t="s">
        <v>798</v>
      </c>
      <c r="F103" s="1902"/>
      <c r="G103" s="1903" t="s">
        <v>799</v>
      </c>
      <c r="H103" s="1902"/>
      <c r="I103" s="1903" t="s">
        <v>800</v>
      </c>
      <c r="J103" s="1902"/>
      <c r="K103" s="1903" t="s">
        <v>801</v>
      </c>
      <c r="L103" s="1828"/>
    </row>
    <row r="104" spans="1:12" s="470" customFormat="1" ht="19.5" customHeight="1">
      <c r="A104" s="1885" t="s">
        <v>802</v>
      </c>
      <c r="B104" s="1886"/>
      <c r="C104" s="1866" t="s">
        <v>803</v>
      </c>
      <c r="D104" s="1887"/>
      <c r="E104" s="1887"/>
      <c r="F104" s="1887"/>
      <c r="G104" s="1887"/>
      <c r="H104" s="1887"/>
      <c r="I104" s="1887"/>
      <c r="J104" s="1887"/>
      <c r="K104" s="1887"/>
      <c r="L104" s="1867"/>
    </row>
    <row r="105" spans="1:12" ht="12.75" customHeight="1">
      <c r="A105" s="1884" t="s">
        <v>804</v>
      </c>
      <c r="B105" s="1882"/>
      <c r="C105" s="1881" t="s">
        <v>592</v>
      </c>
      <c r="D105" s="1882"/>
      <c r="E105" s="1881" t="s">
        <v>592</v>
      </c>
      <c r="F105" s="1882"/>
      <c r="G105" s="1881" t="s">
        <v>592</v>
      </c>
      <c r="H105" s="1882"/>
      <c r="I105" s="1881" t="s">
        <v>592</v>
      </c>
      <c r="J105" s="1882"/>
      <c r="K105" s="1881" t="s">
        <v>592</v>
      </c>
      <c r="L105" s="1883"/>
    </row>
    <row r="106" spans="1:12" ht="12.75" customHeight="1">
      <c r="A106" s="1884" t="s">
        <v>805</v>
      </c>
      <c r="B106" s="1882"/>
      <c r="C106" s="1881" t="s">
        <v>592</v>
      </c>
      <c r="D106" s="1882"/>
      <c r="E106" s="1881" t="s">
        <v>592</v>
      </c>
      <c r="F106" s="1882"/>
      <c r="G106" s="1881" t="s">
        <v>592</v>
      </c>
      <c r="H106" s="1882"/>
      <c r="I106" s="1881" t="s">
        <v>592</v>
      </c>
      <c r="J106" s="1882"/>
      <c r="K106" s="1881" t="s">
        <v>592</v>
      </c>
      <c r="L106" s="1883"/>
    </row>
    <row r="107" spans="1:12" ht="12.75" customHeight="1">
      <c r="A107" s="1884" t="s">
        <v>806</v>
      </c>
      <c r="B107" s="1882"/>
      <c r="C107" s="1881" t="s">
        <v>592</v>
      </c>
      <c r="D107" s="1882"/>
      <c r="E107" s="1881" t="s">
        <v>592</v>
      </c>
      <c r="F107" s="1882"/>
      <c r="G107" s="1881" t="s">
        <v>592</v>
      </c>
      <c r="H107" s="1882"/>
      <c r="I107" s="1881" t="s">
        <v>593</v>
      </c>
      <c r="J107" s="1882"/>
      <c r="K107" s="1881" t="s">
        <v>594</v>
      </c>
      <c r="L107" s="1883"/>
    </row>
    <row r="108" spans="1:12" ht="12.75" customHeight="1">
      <c r="A108" s="1884" t="s">
        <v>807</v>
      </c>
      <c r="B108" s="1882"/>
      <c r="C108" s="1881" t="s">
        <v>592</v>
      </c>
      <c r="D108" s="1882"/>
      <c r="E108" s="1881" t="s">
        <v>592</v>
      </c>
      <c r="F108" s="1882"/>
      <c r="G108" s="1881" t="s">
        <v>593</v>
      </c>
      <c r="H108" s="1882"/>
      <c r="I108" s="1881" t="s">
        <v>594</v>
      </c>
      <c r="J108" s="1882"/>
      <c r="K108" s="1881" t="s">
        <v>595</v>
      </c>
      <c r="L108" s="1883"/>
    </row>
    <row r="109" spans="1:12" ht="12.75" customHeight="1">
      <c r="A109" s="1884" t="s">
        <v>808</v>
      </c>
      <c r="B109" s="1882"/>
      <c r="C109" s="1881" t="s">
        <v>592</v>
      </c>
      <c r="D109" s="1882"/>
      <c r="E109" s="1881" t="s">
        <v>592</v>
      </c>
      <c r="F109" s="1882"/>
      <c r="G109" s="1881" t="s">
        <v>593</v>
      </c>
      <c r="H109" s="1882"/>
      <c r="I109" s="1881" t="s">
        <v>594</v>
      </c>
      <c r="J109" s="1882"/>
      <c r="K109" s="1881" t="s">
        <v>595</v>
      </c>
      <c r="L109" s="1883"/>
    </row>
    <row r="110" spans="1:12" ht="12.75" customHeight="1" thickBot="1">
      <c r="A110" s="1852" t="s">
        <v>809</v>
      </c>
      <c r="B110" s="1853"/>
      <c r="C110" s="1878" t="s">
        <v>592</v>
      </c>
      <c r="D110" s="1853"/>
      <c r="E110" s="1878" t="s">
        <v>593</v>
      </c>
      <c r="F110" s="1853"/>
      <c r="G110" s="1878" t="s">
        <v>594</v>
      </c>
      <c r="H110" s="1853"/>
      <c r="I110" s="1878" t="s">
        <v>595</v>
      </c>
      <c r="J110" s="1853"/>
      <c r="K110" s="1878" t="s">
        <v>595</v>
      </c>
      <c r="L110" s="1879"/>
    </row>
    <row r="111" spans="1:12" ht="19.5" customHeight="1" thickBot="1">
      <c r="A111" s="1880"/>
      <c r="B111" s="1880"/>
      <c r="C111" s="1880"/>
      <c r="D111" s="1880"/>
      <c r="E111" s="1880"/>
      <c r="F111" s="1880"/>
      <c r="G111" s="1880"/>
      <c r="H111" s="1880"/>
      <c r="I111" s="1880"/>
      <c r="J111" s="1880"/>
      <c r="K111" s="1880"/>
      <c r="L111" s="1880"/>
    </row>
    <row r="112" spans="1:12" ht="12.75" customHeight="1">
      <c r="A112" s="1794" t="s">
        <v>810</v>
      </c>
      <c r="B112" s="1795"/>
      <c r="C112" s="1795"/>
      <c r="D112" s="1795"/>
      <c r="E112" s="1795"/>
      <c r="F112" s="1795"/>
      <c r="G112" s="1795"/>
      <c r="H112" s="1795"/>
      <c r="I112" s="1795"/>
      <c r="J112" s="1796"/>
      <c r="K112" s="619"/>
      <c r="L112" s="619"/>
    </row>
    <row r="113" spans="1:12" ht="12.75" customHeight="1">
      <c r="A113" s="1797"/>
      <c r="B113" s="1798"/>
      <c r="C113" s="1798"/>
      <c r="D113" s="1798"/>
      <c r="E113" s="1798"/>
      <c r="F113" s="1798"/>
      <c r="G113" s="1798"/>
      <c r="H113" s="1798"/>
      <c r="I113" s="1798"/>
      <c r="J113" s="1799"/>
      <c r="K113" s="619"/>
      <c r="L113" s="619"/>
    </row>
    <row r="114" spans="1:12" ht="12.75" customHeight="1">
      <c r="A114" s="1797"/>
      <c r="B114" s="1798"/>
      <c r="C114" s="1798"/>
      <c r="D114" s="1798"/>
      <c r="E114" s="1798"/>
      <c r="F114" s="1798"/>
      <c r="G114" s="1798"/>
      <c r="H114" s="1798"/>
      <c r="I114" s="1798"/>
      <c r="J114" s="1799"/>
      <c r="K114" s="619"/>
      <c r="L114" s="619"/>
    </row>
    <row r="115" spans="1:12" ht="12.75" customHeight="1">
      <c r="A115" s="1797"/>
      <c r="B115" s="1798"/>
      <c r="C115" s="1798"/>
      <c r="D115" s="1798"/>
      <c r="E115" s="1798"/>
      <c r="F115" s="1798"/>
      <c r="G115" s="1798"/>
      <c r="H115" s="1798"/>
      <c r="I115" s="1798"/>
      <c r="J115" s="1799"/>
      <c r="K115" s="619"/>
      <c r="L115" s="619"/>
    </row>
    <row r="116" spans="1:12" ht="12.75" customHeight="1">
      <c r="A116" s="1800"/>
      <c r="B116" s="1801"/>
      <c r="C116" s="1801"/>
      <c r="D116" s="1801"/>
      <c r="E116" s="1801"/>
      <c r="F116" s="1801"/>
      <c r="G116" s="1801"/>
      <c r="H116" s="1801"/>
      <c r="I116" s="1801"/>
      <c r="J116" s="1802"/>
      <c r="K116" s="619"/>
      <c r="L116" s="619"/>
    </row>
    <row r="117" spans="1:12" ht="19.5" customHeight="1">
      <c r="A117" s="1809" t="s">
        <v>811</v>
      </c>
      <c r="B117" s="1810"/>
      <c r="C117" s="1810"/>
      <c r="D117" s="1810"/>
      <c r="E117" s="1810"/>
      <c r="F117" s="1810"/>
      <c r="G117" s="1810"/>
      <c r="H117" s="1810"/>
      <c r="I117" s="1810"/>
      <c r="J117" s="1811"/>
      <c r="K117" s="620"/>
      <c r="L117" s="620"/>
    </row>
    <row r="118" spans="1:12" ht="24" customHeight="1">
      <c r="A118" s="1864" t="s">
        <v>812</v>
      </c>
      <c r="B118" s="1865"/>
      <c r="C118" s="1866" t="s">
        <v>592</v>
      </c>
      <c r="D118" s="1865"/>
      <c r="E118" s="1866" t="s">
        <v>593</v>
      </c>
      <c r="F118" s="1865"/>
      <c r="G118" s="1866" t="s">
        <v>594</v>
      </c>
      <c r="H118" s="1865"/>
      <c r="I118" s="1866" t="s">
        <v>595</v>
      </c>
      <c r="J118" s="1867"/>
      <c r="K118" s="617"/>
      <c r="L118" s="617"/>
    </row>
    <row r="119" spans="1:12" ht="12.75" customHeight="1">
      <c r="A119" s="1875" t="s">
        <v>813</v>
      </c>
      <c r="B119" s="1876"/>
      <c r="C119" s="1868" t="s">
        <v>814</v>
      </c>
      <c r="D119" s="1877"/>
      <c r="E119" s="1868" t="s">
        <v>815</v>
      </c>
      <c r="F119" s="1877"/>
      <c r="G119" s="1868" t="s">
        <v>816</v>
      </c>
      <c r="H119" s="1877"/>
      <c r="I119" s="1868" t="s">
        <v>817</v>
      </c>
      <c r="J119" s="1869"/>
      <c r="K119" s="617"/>
      <c r="L119" s="617"/>
    </row>
    <row r="120" spans="1:12" ht="12.75" customHeight="1">
      <c r="A120" s="1875" t="s">
        <v>818</v>
      </c>
      <c r="B120" s="1876"/>
      <c r="C120" s="1868" t="s">
        <v>819</v>
      </c>
      <c r="D120" s="1877"/>
      <c r="E120" s="1868" t="s">
        <v>820</v>
      </c>
      <c r="F120" s="1877"/>
      <c r="G120" s="1868" t="s">
        <v>821</v>
      </c>
      <c r="H120" s="1877"/>
      <c r="I120" s="1868" t="s">
        <v>822</v>
      </c>
      <c r="J120" s="1869"/>
      <c r="K120" s="617"/>
      <c r="L120" s="617"/>
    </row>
    <row r="121" spans="1:12" ht="12.75" customHeight="1">
      <c r="A121" s="1875" t="s">
        <v>823</v>
      </c>
      <c r="B121" s="1876"/>
      <c r="C121" s="1868" t="s">
        <v>824</v>
      </c>
      <c r="D121" s="1877"/>
      <c r="E121" s="1868" t="s">
        <v>825</v>
      </c>
      <c r="F121" s="1877"/>
      <c r="G121" s="1868" t="s">
        <v>826</v>
      </c>
      <c r="H121" s="1877"/>
      <c r="I121" s="1868" t="s">
        <v>827</v>
      </c>
      <c r="J121" s="1869"/>
      <c r="K121" s="617"/>
      <c r="L121" s="617"/>
    </row>
    <row r="122" spans="1:12" ht="12.75" customHeight="1" thickBot="1">
      <c r="A122" s="1870" t="s">
        <v>828</v>
      </c>
      <c r="B122" s="1871"/>
      <c r="C122" s="1872" t="s">
        <v>829</v>
      </c>
      <c r="D122" s="1873"/>
      <c r="E122" s="1872" t="s">
        <v>830</v>
      </c>
      <c r="F122" s="1873"/>
      <c r="G122" s="1872" t="s">
        <v>831</v>
      </c>
      <c r="H122" s="1873"/>
      <c r="I122" s="1872" t="s">
        <v>832</v>
      </c>
      <c r="J122" s="1874"/>
      <c r="K122" s="617"/>
      <c r="L122" s="617"/>
    </row>
    <row r="123" spans="1:12" ht="13.5" thickBot="1">
      <c r="A123" s="617"/>
      <c r="B123" s="617"/>
      <c r="C123" s="617"/>
      <c r="D123" s="617"/>
      <c r="E123" s="617"/>
      <c r="F123" s="617"/>
      <c r="G123" s="617"/>
      <c r="H123" s="617"/>
      <c r="I123" s="617"/>
      <c r="J123" s="617"/>
      <c r="K123" s="617"/>
      <c r="L123" s="617"/>
    </row>
    <row r="124" spans="1:12" ht="14.25" customHeight="1">
      <c r="A124" s="1855" t="s">
        <v>833</v>
      </c>
      <c r="B124" s="1856"/>
      <c r="C124" s="1856"/>
      <c r="D124" s="1856"/>
      <c r="E124" s="1856"/>
      <c r="F124" s="1856"/>
      <c r="G124" s="1856"/>
      <c r="H124" s="1856"/>
      <c r="I124" s="1856"/>
      <c r="J124" s="1857"/>
      <c r="K124" s="621"/>
      <c r="L124" s="621"/>
    </row>
    <row r="125" spans="1:12" ht="12.75">
      <c r="A125" s="1858"/>
      <c r="B125" s="1859"/>
      <c r="C125" s="1859"/>
      <c r="D125" s="1859"/>
      <c r="E125" s="1859"/>
      <c r="F125" s="1859"/>
      <c r="G125" s="1859"/>
      <c r="H125" s="1859"/>
      <c r="I125" s="1859"/>
      <c r="J125" s="1860"/>
      <c r="K125" s="621"/>
      <c r="L125" s="621"/>
    </row>
    <row r="126" spans="1:12" ht="12.75">
      <c r="A126" s="1858"/>
      <c r="B126" s="1859"/>
      <c r="C126" s="1859"/>
      <c r="D126" s="1859"/>
      <c r="E126" s="1859"/>
      <c r="F126" s="1859"/>
      <c r="G126" s="1859"/>
      <c r="H126" s="1859"/>
      <c r="I126" s="1859"/>
      <c r="J126" s="1860"/>
      <c r="K126" s="621"/>
      <c r="L126" s="621"/>
    </row>
    <row r="127" spans="1:12" ht="12.75">
      <c r="A127" s="1858"/>
      <c r="B127" s="1859"/>
      <c r="C127" s="1859"/>
      <c r="D127" s="1859"/>
      <c r="E127" s="1859"/>
      <c r="F127" s="1859"/>
      <c r="G127" s="1859"/>
      <c r="H127" s="1859"/>
      <c r="I127" s="1859"/>
      <c r="J127" s="1860"/>
      <c r="K127" s="621"/>
      <c r="L127" s="621"/>
    </row>
    <row r="128" spans="1:12" ht="12.75">
      <c r="A128" s="1858"/>
      <c r="B128" s="1859"/>
      <c r="C128" s="1859"/>
      <c r="D128" s="1859"/>
      <c r="E128" s="1859"/>
      <c r="F128" s="1859"/>
      <c r="G128" s="1859"/>
      <c r="H128" s="1859"/>
      <c r="I128" s="1859"/>
      <c r="J128" s="1860"/>
      <c r="K128" s="621"/>
      <c r="L128" s="621"/>
    </row>
    <row r="129" spans="1:12" ht="12.75">
      <c r="A129" s="1861"/>
      <c r="B129" s="1862"/>
      <c r="C129" s="1862"/>
      <c r="D129" s="1862"/>
      <c r="E129" s="1862"/>
      <c r="F129" s="1862"/>
      <c r="G129" s="1862"/>
      <c r="H129" s="1862"/>
      <c r="I129" s="1862"/>
      <c r="J129" s="1863"/>
      <c r="K129" s="621"/>
      <c r="L129" s="621"/>
    </row>
    <row r="130" spans="1:12" ht="19.5" customHeight="1">
      <c r="A130" s="1809" t="s">
        <v>834</v>
      </c>
      <c r="B130" s="1810"/>
      <c r="C130" s="1810"/>
      <c r="D130" s="1810"/>
      <c r="E130" s="1810"/>
      <c r="F130" s="1810"/>
      <c r="G130" s="1810"/>
      <c r="H130" s="1810"/>
      <c r="I130" s="1810"/>
      <c r="J130" s="1811"/>
      <c r="K130" s="620"/>
      <c r="L130" s="620"/>
    </row>
    <row r="131" spans="1:12" ht="24.75" customHeight="1">
      <c r="A131" s="1864"/>
      <c r="B131" s="1865"/>
      <c r="C131" s="1866" t="s">
        <v>592</v>
      </c>
      <c r="D131" s="1865"/>
      <c r="E131" s="1866" t="s">
        <v>593</v>
      </c>
      <c r="F131" s="1865"/>
      <c r="G131" s="1866" t="s">
        <v>594</v>
      </c>
      <c r="H131" s="1865"/>
      <c r="I131" s="1866" t="s">
        <v>595</v>
      </c>
      <c r="J131" s="1867"/>
      <c r="K131" s="617"/>
      <c r="L131" s="617"/>
    </row>
    <row r="132" spans="1:12" ht="26.25" customHeight="1" thickBot="1">
      <c r="A132" s="1852" t="s">
        <v>835</v>
      </c>
      <c r="B132" s="1853"/>
      <c r="C132" s="1835" t="s">
        <v>721</v>
      </c>
      <c r="D132" s="1854"/>
      <c r="E132" s="1835" t="s">
        <v>722</v>
      </c>
      <c r="F132" s="1854"/>
      <c r="G132" s="1835" t="s">
        <v>723</v>
      </c>
      <c r="H132" s="1854"/>
      <c r="I132" s="1835" t="s">
        <v>724</v>
      </c>
      <c r="J132" s="1836"/>
      <c r="K132" s="617"/>
      <c r="L132" s="617"/>
    </row>
    <row r="133" spans="1:12" ht="13.5" thickBot="1">
      <c r="A133" s="617"/>
      <c r="B133" s="617"/>
      <c r="C133" s="617"/>
      <c r="D133" s="617"/>
      <c r="E133" s="617"/>
      <c r="F133" s="617"/>
      <c r="G133" s="617"/>
      <c r="H133" s="617"/>
      <c r="I133" s="617"/>
      <c r="J133" s="617"/>
      <c r="K133" s="617"/>
      <c r="L133" s="617"/>
    </row>
    <row r="134" spans="1:12" ht="19.5" customHeight="1">
      <c r="A134" s="1837" t="s">
        <v>836</v>
      </c>
      <c r="B134" s="1838"/>
      <c r="C134" s="1838"/>
      <c r="D134" s="1838"/>
      <c r="E134" s="1838"/>
      <c r="F134" s="1838"/>
      <c r="G134" s="1838"/>
      <c r="H134" s="1838"/>
      <c r="I134" s="1838"/>
      <c r="J134" s="1838"/>
      <c r="K134" s="1838"/>
      <c r="L134" s="1839"/>
    </row>
    <row r="135" spans="1:12" ht="19.5" customHeight="1">
      <c r="A135" s="1840" t="s">
        <v>82</v>
      </c>
      <c r="B135" s="1841"/>
      <c r="C135" s="1844" t="s">
        <v>837</v>
      </c>
      <c r="D135" s="1845"/>
      <c r="E135" s="1848" t="s">
        <v>54</v>
      </c>
      <c r="F135" s="1849"/>
      <c r="G135" s="1848" t="s">
        <v>838</v>
      </c>
      <c r="H135" s="1849"/>
      <c r="I135" s="1848" t="s">
        <v>839</v>
      </c>
      <c r="J135" s="1849"/>
      <c r="K135" s="1848" t="s">
        <v>840</v>
      </c>
      <c r="L135" s="1850"/>
    </row>
    <row r="136" spans="1:12" ht="19.5" customHeight="1">
      <c r="A136" s="1842"/>
      <c r="B136" s="1843"/>
      <c r="C136" s="1846"/>
      <c r="D136" s="1847"/>
      <c r="E136" s="1848" t="s">
        <v>841</v>
      </c>
      <c r="F136" s="1851"/>
      <c r="G136" s="1851"/>
      <c r="H136" s="1851"/>
      <c r="I136" s="1851"/>
      <c r="J136" s="1851"/>
      <c r="K136" s="1851"/>
      <c r="L136" s="1850"/>
    </row>
    <row r="137" spans="1:12" ht="12.75" customHeight="1">
      <c r="A137" s="1827" t="s">
        <v>78</v>
      </c>
      <c r="B137" s="1828"/>
      <c r="C137" s="1816">
        <v>82</v>
      </c>
      <c r="D137" s="1829"/>
      <c r="E137" s="1816">
        <v>10</v>
      </c>
      <c r="F137" s="1817"/>
      <c r="G137" s="1816">
        <v>6</v>
      </c>
      <c r="H137" s="1817"/>
      <c r="I137" s="1816">
        <v>9</v>
      </c>
      <c r="J137" s="1817"/>
      <c r="K137" s="1816">
        <v>8</v>
      </c>
      <c r="L137" s="1817"/>
    </row>
    <row r="138" spans="1:12" ht="12.75" customHeight="1">
      <c r="A138" s="1832" t="s">
        <v>42</v>
      </c>
      <c r="B138" s="1833"/>
      <c r="C138" s="1830">
        <v>32</v>
      </c>
      <c r="D138" s="1834"/>
      <c r="E138" s="1830">
        <v>23</v>
      </c>
      <c r="F138" s="1831"/>
      <c r="G138" s="1830">
        <v>7</v>
      </c>
      <c r="H138" s="1831"/>
      <c r="I138" s="1830">
        <v>24</v>
      </c>
      <c r="J138" s="1831"/>
      <c r="K138" s="1830">
        <v>41</v>
      </c>
      <c r="L138" s="1831"/>
    </row>
    <row r="139" spans="1:12" ht="12.75" customHeight="1">
      <c r="A139" s="1827" t="s">
        <v>842</v>
      </c>
      <c r="B139" s="1828"/>
      <c r="C139" s="1816">
        <v>46</v>
      </c>
      <c r="D139" s="1829"/>
      <c r="E139" s="1816">
        <v>13</v>
      </c>
      <c r="F139" s="1817"/>
      <c r="G139" s="1816">
        <v>5</v>
      </c>
      <c r="H139" s="1817"/>
      <c r="I139" s="1816">
        <v>16</v>
      </c>
      <c r="J139" s="1817"/>
      <c r="K139" s="1816">
        <v>34</v>
      </c>
      <c r="L139" s="1817"/>
    </row>
    <row r="140" spans="1:12" ht="12.75" customHeight="1">
      <c r="A140" s="1832" t="s">
        <v>44</v>
      </c>
      <c r="B140" s="1833"/>
      <c r="C140" s="1830">
        <v>31</v>
      </c>
      <c r="D140" s="1834"/>
      <c r="E140" s="1830">
        <v>29</v>
      </c>
      <c r="F140" s="1831"/>
      <c r="G140" s="1830">
        <v>5</v>
      </c>
      <c r="H140" s="1831"/>
      <c r="I140" s="1830">
        <v>26</v>
      </c>
      <c r="J140" s="1831"/>
      <c r="K140" s="1830">
        <v>38</v>
      </c>
      <c r="L140" s="1831"/>
    </row>
    <row r="141" spans="1:12" ht="12.75" customHeight="1">
      <c r="A141" s="1827" t="s">
        <v>843</v>
      </c>
      <c r="B141" s="1828"/>
      <c r="C141" s="1816">
        <v>55</v>
      </c>
      <c r="D141" s="1829"/>
      <c r="E141" s="1816">
        <v>33</v>
      </c>
      <c r="F141" s="1817"/>
      <c r="G141" s="1816">
        <v>26</v>
      </c>
      <c r="H141" s="1817"/>
      <c r="I141" s="1816">
        <v>48</v>
      </c>
      <c r="J141" s="1817"/>
      <c r="K141" s="1816">
        <v>34</v>
      </c>
      <c r="L141" s="1817"/>
    </row>
    <row r="142" spans="1:12" ht="12.75" customHeight="1">
      <c r="A142" s="1832" t="s">
        <v>844</v>
      </c>
      <c r="B142" s="1833"/>
      <c r="C142" s="1830">
        <v>78</v>
      </c>
      <c r="D142" s="1834"/>
      <c r="E142" s="1830">
        <v>27</v>
      </c>
      <c r="F142" s="1831"/>
      <c r="G142" s="1830">
        <v>17</v>
      </c>
      <c r="H142" s="1831"/>
      <c r="I142" s="1830">
        <v>20</v>
      </c>
      <c r="J142" s="1831"/>
      <c r="K142" s="1830">
        <v>17</v>
      </c>
      <c r="L142" s="1831"/>
    </row>
    <row r="143" spans="1:12" ht="12.75" customHeight="1">
      <c r="A143" s="1827" t="s">
        <v>845</v>
      </c>
      <c r="B143" s="1828"/>
      <c r="C143" s="1816">
        <v>22</v>
      </c>
      <c r="D143" s="1829"/>
      <c r="E143" s="1816">
        <v>19</v>
      </c>
      <c r="F143" s="1817"/>
      <c r="G143" s="1816">
        <v>4</v>
      </c>
      <c r="H143" s="1817"/>
      <c r="I143" s="1816">
        <v>14</v>
      </c>
      <c r="J143" s="1817"/>
      <c r="K143" s="1816">
        <v>36</v>
      </c>
      <c r="L143" s="1817"/>
    </row>
    <row r="144" spans="1:12" ht="15.75" customHeight="1">
      <c r="A144" s="1818" t="s">
        <v>846</v>
      </c>
      <c r="B144" s="1819"/>
      <c r="C144" s="1819"/>
      <c r="D144" s="1819"/>
      <c r="E144" s="1819"/>
      <c r="F144" s="1819"/>
      <c r="G144" s="1819"/>
      <c r="H144" s="1819"/>
      <c r="I144" s="1819"/>
      <c r="J144" s="1819"/>
      <c r="K144" s="1819"/>
      <c r="L144" s="1820"/>
    </row>
    <row r="145" spans="1:12" ht="12.75">
      <c r="A145" s="1821"/>
      <c r="B145" s="1822"/>
      <c r="C145" s="1822"/>
      <c r="D145" s="1822"/>
      <c r="E145" s="1822"/>
      <c r="F145" s="1822"/>
      <c r="G145" s="1822"/>
      <c r="H145" s="1822"/>
      <c r="I145" s="1822"/>
      <c r="J145" s="1822"/>
      <c r="K145" s="1822"/>
      <c r="L145" s="1823"/>
    </row>
    <row r="146" spans="1:12" ht="13.5" thickBot="1">
      <c r="A146" s="1824"/>
      <c r="B146" s="1825"/>
      <c r="C146" s="1825"/>
      <c r="D146" s="1825"/>
      <c r="E146" s="1825"/>
      <c r="F146" s="1825"/>
      <c r="G146" s="1825"/>
      <c r="H146" s="1825"/>
      <c r="I146" s="1825"/>
      <c r="J146" s="1825"/>
      <c r="K146" s="1825"/>
      <c r="L146" s="1826"/>
    </row>
    <row r="147" spans="1:12" ht="13.5" thickBot="1">
      <c r="A147" s="617"/>
      <c r="B147" s="617"/>
      <c r="C147" s="617"/>
      <c r="D147" s="617"/>
      <c r="E147" s="617"/>
      <c r="F147" s="617"/>
      <c r="G147" s="617"/>
      <c r="H147" s="617"/>
      <c r="I147" s="617"/>
      <c r="J147" s="617"/>
      <c r="K147" s="617"/>
      <c r="L147" s="617"/>
    </row>
    <row r="148" spans="1:12" ht="12.75" customHeight="1">
      <c r="A148" s="1794" t="s">
        <v>847</v>
      </c>
      <c r="B148" s="1795"/>
      <c r="C148" s="1795"/>
      <c r="D148" s="1795"/>
      <c r="E148" s="1795"/>
      <c r="F148" s="1795"/>
      <c r="G148" s="1795"/>
      <c r="H148" s="1795"/>
      <c r="I148" s="1795"/>
      <c r="J148" s="1796"/>
      <c r="K148" s="622"/>
      <c r="L148" s="622"/>
    </row>
    <row r="149" spans="1:12" ht="12.75">
      <c r="A149" s="1797"/>
      <c r="B149" s="1798"/>
      <c r="C149" s="1798"/>
      <c r="D149" s="1798"/>
      <c r="E149" s="1798"/>
      <c r="F149" s="1798"/>
      <c r="G149" s="1798"/>
      <c r="H149" s="1798"/>
      <c r="I149" s="1798"/>
      <c r="J149" s="1799"/>
      <c r="K149" s="622"/>
      <c r="L149" s="622"/>
    </row>
    <row r="150" spans="1:12" ht="12.75">
      <c r="A150" s="1797"/>
      <c r="B150" s="1798"/>
      <c r="C150" s="1798"/>
      <c r="D150" s="1798"/>
      <c r="E150" s="1798"/>
      <c r="F150" s="1798"/>
      <c r="G150" s="1798"/>
      <c r="H150" s="1798"/>
      <c r="I150" s="1798"/>
      <c r="J150" s="1799"/>
      <c r="K150" s="622"/>
      <c r="L150" s="622"/>
    </row>
    <row r="151" spans="1:12" ht="12.75">
      <c r="A151" s="1797"/>
      <c r="B151" s="1798"/>
      <c r="C151" s="1798"/>
      <c r="D151" s="1798"/>
      <c r="E151" s="1798"/>
      <c r="F151" s="1798"/>
      <c r="G151" s="1798"/>
      <c r="H151" s="1798"/>
      <c r="I151" s="1798"/>
      <c r="J151" s="1799"/>
      <c r="K151" s="622"/>
      <c r="L151" s="622"/>
    </row>
    <row r="152" spans="1:12" ht="12.75">
      <c r="A152" s="1797"/>
      <c r="B152" s="1798"/>
      <c r="C152" s="1798"/>
      <c r="D152" s="1798"/>
      <c r="E152" s="1798"/>
      <c r="F152" s="1798"/>
      <c r="G152" s="1798"/>
      <c r="H152" s="1798"/>
      <c r="I152" s="1798"/>
      <c r="J152" s="1799"/>
      <c r="K152" s="622"/>
      <c r="L152" s="622"/>
    </row>
    <row r="153" spans="1:12" ht="12.75">
      <c r="A153" s="1797"/>
      <c r="B153" s="1798"/>
      <c r="C153" s="1798"/>
      <c r="D153" s="1798"/>
      <c r="E153" s="1798"/>
      <c r="F153" s="1798"/>
      <c r="G153" s="1798"/>
      <c r="H153" s="1798"/>
      <c r="I153" s="1798"/>
      <c r="J153" s="1799"/>
      <c r="K153" s="622"/>
      <c r="L153" s="622"/>
    </row>
    <row r="154" spans="1:12" ht="12.75">
      <c r="A154" s="1800"/>
      <c r="B154" s="1801"/>
      <c r="C154" s="1801"/>
      <c r="D154" s="1801"/>
      <c r="E154" s="1801"/>
      <c r="F154" s="1801"/>
      <c r="G154" s="1801"/>
      <c r="H154" s="1801"/>
      <c r="I154" s="1801"/>
      <c r="J154" s="1802"/>
      <c r="K154" s="622"/>
      <c r="L154" s="622"/>
    </row>
    <row r="155" spans="1:12" s="470" customFormat="1" ht="19.5" customHeight="1">
      <c r="A155" s="1809" t="s">
        <v>848</v>
      </c>
      <c r="B155" s="1810"/>
      <c r="C155" s="1810"/>
      <c r="D155" s="1810"/>
      <c r="E155" s="1810"/>
      <c r="F155" s="1810"/>
      <c r="G155" s="1810"/>
      <c r="H155" s="1810"/>
      <c r="I155" s="1810"/>
      <c r="J155" s="1811"/>
      <c r="K155" s="623"/>
      <c r="L155" s="623"/>
    </row>
    <row r="156" spans="1:12" ht="24.75" customHeight="1">
      <c r="A156" s="1812"/>
      <c r="B156" s="1813"/>
      <c r="C156" s="1814" t="s">
        <v>592</v>
      </c>
      <c r="D156" s="1813"/>
      <c r="E156" s="1814" t="s">
        <v>593</v>
      </c>
      <c r="F156" s="1813"/>
      <c r="G156" s="1814" t="s">
        <v>594</v>
      </c>
      <c r="H156" s="1813"/>
      <c r="I156" s="1814" t="s">
        <v>595</v>
      </c>
      <c r="J156" s="1815"/>
      <c r="K156" s="617"/>
      <c r="L156" s="617"/>
    </row>
    <row r="157" spans="1:12" ht="75" customHeight="1" thickBot="1">
      <c r="A157" s="1806" t="s">
        <v>849</v>
      </c>
      <c r="B157" s="1807"/>
      <c r="C157" s="1792" t="s">
        <v>850</v>
      </c>
      <c r="D157" s="1808"/>
      <c r="E157" s="1792" t="s">
        <v>726</v>
      </c>
      <c r="F157" s="1808"/>
      <c r="G157" s="1792" t="s">
        <v>727</v>
      </c>
      <c r="H157" s="1808"/>
      <c r="I157" s="1792" t="s">
        <v>728</v>
      </c>
      <c r="J157" s="1793"/>
      <c r="K157" s="617"/>
      <c r="L157" s="617"/>
    </row>
    <row r="158" spans="1:12" ht="13.5" thickBot="1">
      <c r="A158" s="617"/>
      <c r="B158" s="617"/>
      <c r="C158" s="617"/>
      <c r="D158" s="617"/>
      <c r="E158" s="617"/>
      <c r="F158" s="617"/>
      <c r="G158" s="617"/>
      <c r="H158" s="617"/>
      <c r="I158" s="617"/>
      <c r="J158" s="617"/>
      <c r="K158" s="617"/>
      <c r="L158" s="617"/>
    </row>
    <row r="159" spans="1:12" ht="12.75">
      <c r="A159" s="1794" t="s">
        <v>857</v>
      </c>
      <c r="B159" s="1795"/>
      <c r="C159" s="1795"/>
      <c r="D159" s="1795"/>
      <c r="E159" s="1795"/>
      <c r="F159" s="1795"/>
      <c r="G159" s="1795"/>
      <c r="H159" s="1795"/>
      <c r="I159" s="1795"/>
      <c r="J159" s="1795"/>
      <c r="K159" s="1795"/>
      <c r="L159" s="1796"/>
    </row>
    <row r="160" spans="1:12" ht="12.75">
      <c r="A160" s="1797"/>
      <c r="B160" s="1798"/>
      <c r="C160" s="1798"/>
      <c r="D160" s="1798"/>
      <c r="E160" s="1798"/>
      <c r="F160" s="1798"/>
      <c r="G160" s="1798"/>
      <c r="H160" s="1798"/>
      <c r="I160" s="1798"/>
      <c r="J160" s="1798"/>
      <c r="K160" s="1798"/>
      <c r="L160" s="1799"/>
    </row>
    <row r="161" spans="1:12" ht="12.75">
      <c r="A161" s="1800"/>
      <c r="B161" s="1801"/>
      <c r="C161" s="1801"/>
      <c r="D161" s="1801"/>
      <c r="E161" s="1801"/>
      <c r="F161" s="1801"/>
      <c r="G161" s="1801"/>
      <c r="H161" s="1801"/>
      <c r="I161" s="1801"/>
      <c r="J161" s="1801"/>
      <c r="K161" s="1801"/>
      <c r="L161" s="1802"/>
    </row>
    <row r="162" spans="1:12" ht="12.75">
      <c r="A162" s="1803" t="s">
        <v>858</v>
      </c>
      <c r="B162" s="1804"/>
      <c r="C162" s="1804"/>
      <c r="D162" s="1804"/>
      <c r="E162" s="1804"/>
      <c r="F162" s="1804"/>
      <c r="G162" s="1804"/>
      <c r="H162" s="1804"/>
      <c r="I162" s="1804"/>
      <c r="J162" s="1804"/>
      <c r="K162" s="1804"/>
      <c r="L162" s="1805"/>
    </row>
    <row r="163" spans="1:12" ht="12.75">
      <c r="A163" s="1789" t="s">
        <v>859</v>
      </c>
      <c r="B163" s="1790"/>
      <c r="C163" s="1790"/>
      <c r="D163" s="1790"/>
      <c r="E163" s="1790"/>
      <c r="F163" s="1790"/>
      <c r="G163" s="1790"/>
      <c r="H163" s="1790"/>
      <c r="I163" s="1790"/>
      <c r="J163" s="1790"/>
      <c r="K163" s="1790"/>
      <c r="L163" s="1791"/>
    </row>
    <row r="164" spans="1:12" ht="12.75">
      <c r="A164" s="1789"/>
      <c r="B164" s="1790"/>
      <c r="C164" s="1790"/>
      <c r="D164" s="1790"/>
      <c r="E164" s="1790"/>
      <c r="F164" s="1790"/>
      <c r="G164" s="1790"/>
      <c r="H164" s="1790"/>
      <c r="I164" s="1790"/>
      <c r="J164" s="1790"/>
      <c r="K164" s="1790"/>
      <c r="L164" s="1791"/>
    </row>
    <row r="165" spans="1:12" ht="12.75">
      <c r="A165" s="1789" t="s">
        <v>860</v>
      </c>
      <c r="B165" s="1790"/>
      <c r="C165" s="1790"/>
      <c r="D165" s="1790"/>
      <c r="E165" s="1790"/>
      <c r="F165" s="1790"/>
      <c r="G165" s="1790"/>
      <c r="H165" s="1790"/>
      <c r="I165" s="1790"/>
      <c r="J165" s="1790"/>
      <c r="K165" s="1790"/>
      <c r="L165" s="1791"/>
    </row>
    <row r="166" spans="1:12" ht="12.75">
      <c r="A166" s="1789"/>
      <c r="B166" s="1790"/>
      <c r="C166" s="1790"/>
      <c r="D166" s="1790"/>
      <c r="E166" s="1790"/>
      <c r="F166" s="1790"/>
      <c r="G166" s="1790"/>
      <c r="H166" s="1790"/>
      <c r="I166" s="1790"/>
      <c r="J166" s="1790"/>
      <c r="K166" s="1790"/>
      <c r="L166" s="1791"/>
    </row>
    <row r="167" spans="1:12" ht="12.75">
      <c r="A167" s="1782" t="s">
        <v>861</v>
      </c>
      <c r="B167" s="1783"/>
      <c r="C167" s="1783"/>
      <c r="D167" s="1783"/>
      <c r="E167" s="1783"/>
      <c r="F167" s="1783"/>
      <c r="G167" s="1783"/>
      <c r="H167" s="1783"/>
      <c r="I167" s="1783"/>
      <c r="J167" s="1783"/>
      <c r="K167" s="1783"/>
      <c r="L167" s="1784"/>
    </row>
    <row r="168" spans="1:12" ht="12.75">
      <c r="A168" s="1782" t="s">
        <v>862</v>
      </c>
      <c r="B168" s="1783"/>
      <c r="C168" s="1783"/>
      <c r="D168" s="1783"/>
      <c r="E168" s="1783"/>
      <c r="F168" s="1783"/>
      <c r="G168" s="1783"/>
      <c r="H168" s="1783"/>
      <c r="I168" s="1783"/>
      <c r="J168" s="1783"/>
      <c r="K168" s="1783"/>
      <c r="L168" s="1784"/>
    </row>
    <row r="169" spans="1:12" ht="12.75">
      <c r="A169" s="1789" t="s">
        <v>863</v>
      </c>
      <c r="B169" s="1790"/>
      <c r="C169" s="1790"/>
      <c r="D169" s="1790"/>
      <c r="E169" s="1790"/>
      <c r="F169" s="1790"/>
      <c r="G169" s="1790"/>
      <c r="H169" s="1790"/>
      <c r="I169" s="1790"/>
      <c r="J169" s="1790"/>
      <c r="K169" s="1790"/>
      <c r="L169" s="1791"/>
    </row>
    <row r="170" spans="1:12" ht="12.75">
      <c r="A170" s="1789"/>
      <c r="B170" s="1790"/>
      <c r="C170" s="1790"/>
      <c r="D170" s="1790"/>
      <c r="E170" s="1790"/>
      <c r="F170" s="1790"/>
      <c r="G170" s="1790"/>
      <c r="H170" s="1790"/>
      <c r="I170" s="1790"/>
      <c r="J170" s="1790"/>
      <c r="K170" s="1790"/>
      <c r="L170" s="1791"/>
    </row>
    <row r="171" spans="1:12" ht="12.75">
      <c r="A171" s="1782" t="s">
        <v>864</v>
      </c>
      <c r="B171" s="1783"/>
      <c r="C171" s="1783"/>
      <c r="D171" s="1783"/>
      <c r="E171" s="1783"/>
      <c r="F171" s="1783"/>
      <c r="G171" s="1783"/>
      <c r="H171" s="1783"/>
      <c r="I171" s="1783"/>
      <c r="J171" s="1783"/>
      <c r="K171" s="1783"/>
      <c r="L171" s="1784"/>
    </row>
    <row r="172" spans="1:12" ht="13.5" thickBot="1">
      <c r="A172" s="1785" t="s">
        <v>865</v>
      </c>
      <c r="B172" s="1786"/>
      <c r="C172" s="1786"/>
      <c r="D172" s="1786"/>
      <c r="E172" s="1786"/>
      <c r="F172" s="1786"/>
      <c r="G172" s="1786"/>
      <c r="H172" s="1786"/>
      <c r="I172" s="1786"/>
      <c r="J172" s="1786"/>
      <c r="K172" s="1786"/>
      <c r="L172" s="1787"/>
    </row>
  </sheetData>
  <sheetProtection password="CC96" sheet="1" objects="1" scenarios="1"/>
  <mergeCells count="231">
    <mergeCell ref="B2:F2"/>
    <mergeCell ref="H2:I2"/>
    <mergeCell ref="K2:L2"/>
    <mergeCell ref="A4:B4"/>
    <mergeCell ref="C4:D4"/>
    <mergeCell ref="E4:F4"/>
    <mergeCell ref="G4:H4"/>
    <mergeCell ref="I4:J4"/>
    <mergeCell ref="K4:L4"/>
    <mergeCell ref="A5:B5"/>
    <mergeCell ref="C5:D5"/>
    <mergeCell ref="E5:F5"/>
    <mergeCell ref="G5:H5"/>
    <mergeCell ref="I7:J7"/>
    <mergeCell ref="K7:L7"/>
    <mergeCell ref="A6:B6"/>
    <mergeCell ref="C6:D6"/>
    <mergeCell ref="E6:F6"/>
    <mergeCell ref="G6:H6"/>
    <mergeCell ref="I5:J5"/>
    <mergeCell ref="K5:L5"/>
    <mergeCell ref="I6:J6"/>
    <mergeCell ref="K6:L6"/>
    <mergeCell ref="I8:J8"/>
    <mergeCell ref="K8:L8"/>
    <mergeCell ref="A7:B7"/>
    <mergeCell ref="C7:D7"/>
    <mergeCell ref="A8:B8"/>
    <mergeCell ref="C8:D8"/>
    <mergeCell ref="E8:F8"/>
    <mergeCell ref="G8:H8"/>
    <mergeCell ref="E7:F7"/>
    <mergeCell ref="G7:H7"/>
    <mergeCell ref="A9:J9"/>
    <mergeCell ref="K9:L9"/>
    <mergeCell ref="A10:B12"/>
    <mergeCell ref="C10:J12"/>
    <mergeCell ref="K10:L12"/>
    <mergeCell ref="A13:J15"/>
    <mergeCell ref="K13:L15"/>
    <mergeCell ref="A17:B17"/>
    <mergeCell ref="C17:L17"/>
    <mergeCell ref="A18:B21"/>
    <mergeCell ref="C18:L21"/>
    <mergeCell ref="A22:B25"/>
    <mergeCell ref="C22:L25"/>
    <mergeCell ref="A37:L37"/>
    <mergeCell ref="A38:L38"/>
    <mergeCell ref="A39:L39"/>
    <mergeCell ref="A26:B29"/>
    <mergeCell ref="C26:L29"/>
    <mergeCell ref="A30:B33"/>
    <mergeCell ref="C30:L33"/>
    <mergeCell ref="A41:L44"/>
    <mergeCell ref="A46:L49"/>
    <mergeCell ref="A51:L53"/>
    <mergeCell ref="A55:L56"/>
    <mergeCell ref="A58:L58"/>
    <mergeCell ref="A60:E62"/>
    <mergeCell ref="H60:L62"/>
    <mergeCell ref="F61:G61"/>
    <mergeCell ref="A64:E67"/>
    <mergeCell ref="H64:L67"/>
    <mergeCell ref="F65:G65"/>
    <mergeCell ref="A69:E73"/>
    <mergeCell ref="H69:L73"/>
    <mergeCell ref="F71:G71"/>
    <mergeCell ref="A75:E77"/>
    <mergeCell ref="A82:L82"/>
    <mergeCell ref="A84:L92"/>
    <mergeCell ref="A94:L94"/>
    <mergeCell ref="A96:L100"/>
    <mergeCell ref="A101:L101"/>
    <mergeCell ref="A102:B103"/>
    <mergeCell ref="C102:L102"/>
    <mergeCell ref="C103:D103"/>
    <mergeCell ref="E103:F103"/>
    <mergeCell ref="G103:H103"/>
    <mergeCell ref="I103:J103"/>
    <mergeCell ref="K103:L103"/>
    <mergeCell ref="A104:B104"/>
    <mergeCell ref="C104:L104"/>
    <mergeCell ref="A105:B105"/>
    <mergeCell ref="C105:D105"/>
    <mergeCell ref="E105:F105"/>
    <mergeCell ref="G105:H105"/>
    <mergeCell ref="I105:J105"/>
    <mergeCell ref="K105:L105"/>
    <mergeCell ref="A106:B106"/>
    <mergeCell ref="C106:D106"/>
    <mergeCell ref="E106:F106"/>
    <mergeCell ref="G106:H106"/>
    <mergeCell ref="I108:J108"/>
    <mergeCell ref="K108:L108"/>
    <mergeCell ref="A107:B107"/>
    <mergeCell ref="C107:D107"/>
    <mergeCell ref="E107:F107"/>
    <mergeCell ref="G107:H107"/>
    <mergeCell ref="I106:J106"/>
    <mergeCell ref="K106:L106"/>
    <mergeCell ref="I107:J107"/>
    <mergeCell ref="K107:L107"/>
    <mergeCell ref="I109:J109"/>
    <mergeCell ref="K109:L109"/>
    <mergeCell ref="A108:B108"/>
    <mergeCell ref="C108:D108"/>
    <mergeCell ref="A109:B109"/>
    <mergeCell ref="C109:D109"/>
    <mergeCell ref="E109:F109"/>
    <mergeCell ref="G109:H109"/>
    <mergeCell ref="E108:F108"/>
    <mergeCell ref="G108:H108"/>
    <mergeCell ref="I110:J110"/>
    <mergeCell ref="K110:L110"/>
    <mergeCell ref="A111:L111"/>
    <mergeCell ref="A112:J116"/>
    <mergeCell ref="A110:B110"/>
    <mergeCell ref="C110:D110"/>
    <mergeCell ref="E110:F110"/>
    <mergeCell ref="G110:H110"/>
    <mergeCell ref="A117:J117"/>
    <mergeCell ref="A118:B118"/>
    <mergeCell ref="C118:D118"/>
    <mergeCell ref="E118:F118"/>
    <mergeCell ref="G118:H118"/>
    <mergeCell ref="I118:J118"/>
    <mergeCell ref="I119:J119"/>
    <mergeCell ref="A120:B120"/>
    <mergeCell ref="C120:D120"/>
    <mergeCell ref="E120:F120"/>
    <mergeCell ref="G120:H120"/>
    <mergeCell ref="I120:J120"/>
    <mergeCell ref="A119:B119"/>
    <mergeCell ref="C119:D119"/>
    <mergeCell ref="E119:F119"/>
    <mergeCell ref="G119:H119"/>
    <mergeCell ref="I121:J121"/>
    <mergeCell ref="A122:B122"/>
    <mergeCell ref="C122:D122"/>
    <mergeCell ref="E122:F122"/>
    <mergeCell ref="G122:H122"/>
    <mergeCell ref="I122:J122"/>
    <mergeCell ref="A121:B121"/>
    <mergeCell ref="C121:D121"/>
    <mergeCell ref="E121:F121"/>
    <mergeCell ref="G121:H121"/>
    <mergeCell ref="A124:J129"/>
    <mergeCell ref="A130:J130"/>
    <mergeCell ref="A131:B131"/>
    <mergeCell ref="C131:D131"/>
    <mergeCell ref="E131:F131"/>
    <mergeCell ref="G131:H131"/>
    <mergeCell ref="I131:J131"/>
    <mergeCell ref="E136:L136"/>
    <mergeCell ref="A132:B132"/>
    <mergeCell ref="C132:D132"/>
    <mergeCell ref="E132:F132"/>
    <mergeCell ref="G132:H132"/>
    <mergeCell ref="E137:F137"/>
    <mergeCell ref="G137:H137"/>
    <mergeCell ref="I132:J132"/>
    <mergeCell ref="A134:L134"/>
    <mergeCell ref="A135:B136"/>
    <mergeCell ref="C135:D136"/>
    <mergeCell ref="E135:F135"/>
    <mergeCell ref="G135:H135"/>
    <mergeCell ref="I135:J135"/>
    <mergeCell ref="K135:L135"/>
    <mergeCell ref="I137:J137"/>
    <mergeCell ref="K137:L137"/>
    <mergeCell ref="A138:B138"/>
    <mergeCell ref="C138:D138"/>
    <mergeCell ref="E138:F138"/>
    <mergeCell ref="G138:H138"/>
    <mergeCell ref="I138:J138"/>
    <mergeCell ref="K138:L138"/>
    <mergeCell ref="A137:B137"/>
    <mergeCell ref="C137:D137"/>
    <mergeCell ref="A139:B139"/>
    <mergeCell ref="C139:D139"/>
    <mergeCell ref="E139:F139"/>
    <mergeCell ref="G139:H139"/>
    <mergeCell ref="I141:J141"/>
    <mergeCell ref="K141:L141"/>
    <mergeCell ref="A140:B140"/>
    <mergeCell ref="C140:D140"/>
    <mergeCell ref="E140:F140"/>
    <mergeCell ref="G140:H140"/>
    <mergeCell ref="I139:J139"/>
    <mergeCell ref="K139:L139"/>
    <mergeCell ref="I140:J140"/>
    <mergeCell ref="K140:L140"/>
    <mergeCell ref="I142:J142"/>
    <mergeCell ref="K142:L142"/>
    <mergeCell ref="A141:B141"/>
    <mergeCell ref="C141:D141"/>
    <mergeCell ref="A142:B142"/>
    <mergeCell ref="C142:D142"/>
    <mergeCell ref="E142:F142"/>
    <mergeCell ref="G142:H142"/>
    <mergeCell ref="E141:F141"/>
    <mergeCell ref="G141:H141"/>
    <mergeCell ref="I143:J143"/>
    <mergeCell ref="K143:L143"/>
    <mergeCell ref="A144:L146"/>
    <mergeCell ref="A148:J154"/>
    <mergeCell ref="A143:B143"/>
    <mergeCell ref="C143:D143"/>
    <mergeCell ref="E143:F143"/>
    <mergeCell ref="G143:H143"/>
    <mergeCell ref="A155:J155"/>
    <mergeCell ref="A156:B156"/>
    <mergeCell ref="C156:D156"/>
    <mergeCell ref="E156:F156"/>
    <mergeCell ref="G156:H156"/>
    <mergeCell ref="I156:J156"/>
    <mergeCell ref="A163:L164"/>
    <mergeCell ref="A157:B157"/>
    <mergeCell ref="C157:D157"/>
    <mergeCell ref="E157:F157"/>
    <mergeCell ref="G157:H157"/>
    <mergeCell ref="A171:L171"/>
    <mergeCell ref="A172:L172"/>
    <mergeCell ref="C34:L34"/>
    <mergeCell ref="A165:L166"/>
    <mergeCell ref="A167:L167"/>
    <mergeCell ref="A168:L168"/>
    <mergeCell ref="A169:L170"/>
    <mergeCell ref="I157:J157"/>
    <mergeCell ref="A159:L161"/>
    <mergeCell ref="A162:L162"/>
  </mergeCells>
  <printOptions/>
  <pageMargins left="0.75" right="0.75" top="0.5" bottom="0.75" header="0.35" footer="0.5"/>
  <pageSetup horizontalDpi="600" verticalDpi="600" orientation="portrait" r:id="rId1"/>
  <headerFooter alignWithMargins="0">
    <oddHeader>&amp;L&amp;"Tahoma,Bold"&amp;11CNMP Planning Tool&amp;C&amp;"Tahoma,Bold"Phosphorus Index</oddHeader>
  </headerFooter>
</worksheet>
</file>

<file path=xl/worksheets/sheet11.xml><?xml version="1.0" encoding="utf-8"?>
<worksheet xmlns="http://schemas.openxmlformats.org/spreadsheetml/2006/main" xmlns:r="http://schemas.openxmlformats.org/officeDocument/2006/relationships">
  <dimension ref="A1:M39"/>
  <sheetViews>
    <sheetView workbookViewId="0" topLeftCell="A1">
      <selection activeCell="M1" sqref="M1"/>
    </sheetView>
  </sheetViews>
  <sheetFormatPr defaultColWidth="9.140625" defaultRowHeight="12.75"/>
  <cols>
    <col min="1" max="13" width="7.00390625" style="0" customWidth="1"/>
  </cols>
  <sheetData>
    <row r="1" spans="1:13" s="1" customFormat="1" ht="19.5" customHeight="1">
      <c r="A1" s="996" t="s">
        <v>1051</v>
      </c>
      <c r="B1" s="996"/>
      <c r="C1" s="996"/>
      <c r="D1" s="996"/>
      <c r="E1" s="996"/>
      <c r="F1" s="996"/>
      <c r="G1" s="996"/>
      <c r="H1" s="996"/>
      <c r="I1" s="996"/>
      <c r="J1" s="996"/>
      <c r="K1" s="996"/>
      <c r="L1" s="996"/>
      <c r="M1" s="1002"/>
    </row>
    <row r="2" spans="1:13" s="1" customFormat="1" ht="13.5" customHeight="1">
      <c r="A2" s="2005" t="s">
        <v>1015</v>
      </c>
      <c r="B2" s="2005"/>
      <c r="C2" s="2005"/>
      <c r="D2" s="2005"/>
      <c r="E2" s="2005"/>
      <c r="F2" s="2005"/>
      <c r="G2" s="2005"/>
      <c r="H2" s="2005"/>
      <c r="I2" s="2005"/>
      <c r="J2" s="2005"/>
      <c r="K2" s="2005"/>
      <c r="L2" s="2005"/>
      <c r="M2" s="2005"/>
    </row>
    <row r="3" spans="1:13" ht="13.5" customHeight="1">
      <c r="A3" s="2005"/>
      <c r="B3" s="2005"/>
      <c r="C3" s="2005"/>
      <c r="D3" s="2005"/>
      <c r="E3" s="2005"/>
      <c r="F3" s="2005"/>
      <c r="G3" s="2005"/>
      <c r="H3" s="2005"/>
      <c r="I3" s="2005"/>
      <c r="J3" s="2005"/>
      <c r="K3" s="2005"/>
      <c r="L3" s="2005"/>
      <c r="M3" s="2005"/>
    </row>
    <row r="4" spans="1:13" ht="13.5" customHeight="1">
      <c r="A4" s="2005"/>
      <c r="B4" s="2005"/>
      <c r="C4" s="2005"/>
      <c r="D4" s="2005"/>
      <c r="E4" s="2005"/>
      <c r="F4" s="2005"/>
      <c r="G4" s="2005"/>
      <c r="H4" s="2005"/>
      <c r="I4" s="2005"/>
      <c r="J4" s="2005"/>
      <c r="K4" s="2005"/>
      <c r="L4" s="2005"/>
      <c r="M4" s="2005"/>
    </row>
    <row r="5" spans="1:13" ht="13.5" customHeight="1">
      <c r="A5" s="2005"/>
      <c r="B5" s="2005"/>
      <c r="C5" s="2005"/>
      <c r="D5" s="2005"/>
      <c r="E5" s="2005"/>
      <c r="F5" s="2005"/>
      <c r="G5" s="2005"/>
      <c r="H5" s="2005"/>
      <c r="I5" s="2005"/>
      <c r="J5" s="2005"/>
      <c r="K5" s="2005"/>
      <c r="L5" s="2005"/>
      <c r="M5" s="2005"/>
    </row>
    <row r="6" spans="1:13" ht="15" customHeight="1">
      <c r="A6" s="2005" t="s">
        <v>1016</v>
      </c>
      <c r="B6" s="2005"/>
      <c r="C6" s="2005"/>
      <c r="D6" s="2005"/>
      <c r="E6" s="2005"/>
      <c r="F6" s="2005"/>
      <c r="G6" s="2005"/>
      <c r="H6" s="2005"/>
      <c r="I6" s="2005"/>
      <c r="J6" s="2005"/>
      <c r="K6" s="2005"/>
      <c r="L6" s="2005"/>
      <c r="M6" s="2005"/>
    </row>
    <row r="7" spans="1:13" ht="15" customHeight="1">
      <c r="A7" s="2005"/>
      <c r="B7" s="2005"/>
      <c r="C7" s="2005"/>
      <c r="D7" s="2005"/>
      <c r="E7" s="2005"/>
      <c r="F7" s="2005"/>
      <c r="G7" s="2005"/>
      <c r="H7" s="2005"/>
      <c r="I7" s="2005"/>
      <c r="J7" s="2005"/>
      <c r="K7" s="2005"/>
      <c r="L7" s="2005"/>
      <c r="M7" s="2005"/>
    </row>
    <row r="8" spans="1:13" ht="15" customHeight="1">
      <c r="A8" s="2005"/>
      <c r="B8" s="2005"/>
      <c r="C8" s="2005"/>
      <c r="D8" s="2005"/>
      <c r="E8" s="2005"/>
      <c r="F8" s="2005"/>
      <c r="G8" s="2005"/>
      <c r="H8" s="2005"/>
      <c r="I8" s="2005"/>
      <c r="J8" s="2005"/>
      <c r="K8" s="2005"/>
      <c r="L8" s="2005"/>
      <c r="M8" s="2005"/>
    </row>
    <row r="9" spans="1:13" ht="15" customHeight="1">
      <c r="A9" s="2008" t="s">
        <v>1017</v>
      </c>
      <c r="B9" s="2008"/>
      <c r="C9" s="527"/>
      <c r="D9" s="527"/>
      <c r="E9" s="527"/>
      <c r="F9" s="527"/>
      <c r="G9" s="527"/>
      <c r="H9" s="527"/>
      <c r="I9" s="527"/>
      <c r="J9" s="527"/>
      <c r="K9" s="527"/>
      <c r="L9" s="527"/>
      <c r="M9" s="527"/>
    </row>
    <row r="10" spans="1:13" ht="15" customHeight="1">
      <c r="A10" s="528" t="s">
        <v>981</v>
      </c>
      <c r="B10" s="2005" t="s">
        <v>1018</v>
      </c>
      <c r="C10" s="2005"/>
      <c r="D10" s="2005"/>
      <c r="E10" s="2005"/>
      <c r="F10" s="2005"/>
      <c r="G10" s="2005"/>
      <c r="H10" s="2005"/>
      <c r="I10" s="2005"/>
      <c r="J10" s="2005"/>
      <c r="K10" s="2005"/>
      <c r="L10" s="2005"/>
      <c r="M10" s="2005"/>
    </row>
    <row r="11" spans="1:13" ht="15" customHeight="1">
      <c r="A11" s="528" t="s">
        <v>983</v>
      </c>
      <c r="B11" s="2005" t="s">
        <v>1019</v>
      </c>
      <c r="C11" s="2005"/>
      <c r="D11" s="2005"/>
      <c r="E11" s="2005"/>
      <c r="F11" s="2005"/>
      <c r="G11" s="2005"/>
      <c r="H11" s="2005"/>
      <c r="I11" s="2005"/>
      <c r="J11" s="2005"/>
      <c r="K11" s="2005"/>
      <c r="L11" s="2005"/>
      <c r="M11" s="2005"/>
    </row>
    <row r="12" spans="1:13" ht="15" customHeight="1">
      <c r="A12" s="529" t="s">
        <v>985</v>
      </c>
      <c r="B12" s="2005" t="s">
        <v>1020</v>
      </c>
      <c r="C12" s="2005"/>
      <c r="D12" s="2005"/>
      <c r="E12" s="2005"/>
      <c r="F12" s="2005"/>
      <c r="G12" s="2005"/>
      <c r="H12" s="2005"/>
      <c r="I12" s="2005"/>
      <c r="J12" s="2005"/>
      <c r="K12" s="2005"/>
      <c r="L12" s="2005"/>
      <c r="M12" s="2005"/>
    </row>
    <row r="13" spans="2:13" ht="15" customHeight="1">
      <c r="B13" s="2005"/>
      <c r="C13" s="2005"/>
      <c r="D13" s="2005"/>
      <c r="E13" s="2005"/>
      <c r="F13" s="2005"/>
      <c r="G13" s="2005"/>
      <c r="H13" s="2005"/>
      <c r="I13" s="2005"/>
      <c r="J13" s="2005"/>
      <c r="K13" s="2005"/>
      <c r="L13" s="2005"/>
      <c r="M13" s="2005"/>
    </row>
    <row r="14" spans="1:13" ht="15" customHeight="1">
      <c r="A14" s="529" t="s">
        <v>987</v>
      </c>
      <c r="B14" s="2005" t="s">
        <v>1021</v>
      </c>
      <c r="C14" s="2005"/>
      <c r="D14" s="2005"/>
      <c r="E14" s="2005"/>
      <c r="F14" s="2005"/>
      <c r="G14" s="2005"/>
      <c r="H14" s="2005"/>
      <c r="I14" s="2005"/>
      <c r="J14" s="2005"/>
      <c r="K14" s="2005"/>
      <c r="L14" s="2005"/>
      <c r="M14" s="2005"/>
    </row>
    <row r="15" spans="2:13" ht="15" customHeight="1">
      <c r="B15" s="2005"/>
      <c r="C15" s="2005"/>
      <c r="D15" s="2005"/>
      <c r="E15" s="2005"/>
      <c r="F15" s="2005"/>
      <c r="G15" s="2005"/>
      <c r="H15" s="2005"/>
      <c r="I15" s="2005"/>
      <c r="J15" s="2005"/>
      <c r="K15" s="2005"/>
      <c r="L15" s="2005"/>
      <c r="M15" s="2005"/>
    </row>
    <row r="16" spans="2:13" ht="15" customHeight="1">
      <c r="B16" s="2005"/>
      <c r="C16" s="2005"/>
      <c r="D16" s="2005"/>
      <c r="E16" s="2005"/>
      <c r="F16" s="2005"/>
      <c r="G16" s="2005"/>
      <c r="H16" s="2005"/>
      <c r="I16" s="2005"/>
      <c r="J16" s="2005"/>
      <c r="K16" s="2005"/>
      <c r="L16" s="2005"/>
      <c r="M16" s="2005"/>
    </row>
    <row r="17" spans="1:13" ht="15" customHeight="1">
      <c r="A17" s="529" t="s">
        <v>991</v>
      </c>
      <c r="B17" s="2005" t="s">
        <v>1022</v>
      </c>
      <c r="C17" s="2005"/>
      <c r="D17" s="2005"/>
      <c r="E17" s="2005"/>
      <c r="F17" s="2005"/>
      <c r="G17" s="2005"/>
      <c r="H17" s="2005"/>
      <c r="I17" s="2005"/>
      <c r="J17" s="2005"/>
      <c r="K17" s="2005"/>
      <c r="L17" s="2005"/>
      <c r="M17" s="2005"/>
    </row>
    <row r="18" spans="1:13" ht="15" customHeight="1">
      <c r="A18" s="529"/>
      <c r="B18" s="2005"/>
      <c r="C18" s="2005"/>
      <c r="D18" s="2005"/>
      <c r="E18" s="2005"/>
      <c r="F18" s="2005"/>
      <c r="G18" s="2005"/>
      <c r="H18" s="2005"/>
      <c r="I18" s="2005"/>
      <c r="J18" s="2005"/>
      <c r="K18" s="2005"/>
      <c r="L18" s="2005"/>
      <c r="M18" s="2005"/>
    </row>
    <row r="19" spans="1:13" ht="15" customHeight="1">
      <c r="A19" s="2003" t="s">
        <v>1023</v>
      </c>
      <c r="B19" s="2003"/>
      <c r="C19" s="527"/>
      <c r="D19" s="527"/>
      <c r="E19" s="527"/>
      <c r="F19" s="527"/>
      <c r="G19" s="527"/>
      <c r="H19" s="527"/>
      <c r="I19" s="527"/>
      <c r="J19" s="527"/>
      <c r="K19" s="527"/>
      <c r="L19" s="527"/>
      <c r="M19" s="527"/>
    </row>
    <row r="20" spans="1:13" ht="15" customHeight="1">
      <c r="A20" s="531" t="s">
        <v>981</v>
      </c>
      <c r="B20" s="2007" t="s">
        <v>1024</v>
      </c>
      <c r="C20" s="2007"/>
      <c r="D20" s="2007"/>
      <c r="E20" s="2007"/>
      <c r="F20" s="2007"/>
      <c r="G20" s="2007"/>
      <c r="H20" s="2007"/>
      <c r="I20" s="2007"/>
      <c r="J20" s="2007"/>
      <c r="K20" s="2007"/>
      <c r="L20" s="2007"/>
      <c r="M20" s="2007"/>
    </row>
    <row r="21" spans="1:13" ht="15" customHeight="1">
      <c r="A21" s="531" t="s">
        <v>983</v>
      </c>
      <c r="B21" s="1999" t="s">
        <v>1025</v>
      </c>
      <c r="C21" s="1999"/>
      <c r="D21" s="1999"/>
      <c r="E21" s="1999"/>
      <c r="F21" s="1999"/>
      <c r="G21" s="1999"/>
      <c r="H21" s="1999"/>
      <c r="I21" s="1999"/>
      <c r="J21" s="1999"/>
      <c r="K21" s="1999"/>
      <c r="L21" s="1999"/>
      <c r="M21" s="1999"/>
    </row>
    <row r="22" spans="1:13" ht="15" customHeight="1">
      <c r="A22" s="528" t="s">
        <v>985</v>
      </c>
      <c r="B22" s="1999" t="s">
        <v>1026</v>
      </c>
      <c r="C22" s="1999"/>
      <c r="D22" s="1999"/>
      <c r="E22" s="1999"/>
      <c r="F22" s="1999"/>
      <c r="G22" s="1999"/>
      <c r="H22" s="1999"/>
      <c r="I22" s="1999"/>
      <c r="J22" s="1999"/>
      <c r="K22" s="1999"/>
      <c r="L22" s="1999"/>
      <c r="M22" s="1999"/>
    </row>
    <row r="23" spans="2:13" ht="15" customHeight="1">
      <c r="B23" s="1999"/>
      <c r="C23" s="1999"/>
      <c r="D23" s="1999"/>
      <c r="E23" s="1999"/>
      <c r="F23" s="1999"/>
      <c r="G23" s="1999"/>
      <c r="H23" s="1999"/>
      <c r="I23" s="1999"/>
      <c r="J23" s="1999"/>
      <c r="K23" s="1999"/>
      <c r="L23" s="1999"/>
      <c r="M23" s="1999"/>
    </row>
    <row r="24" spans="1:13" ht="15" customHeight="1">
      <c r="A24" s="528" t="s">
        <v>987</v>
      </c>
      <c r="B24" s="1999" t="s">
        <v>1027</v>
      </c>
      <c r="C24" s="1999"/>
      <c r="D24" s="1999"/>
      <c r="E24" s="1999"/>
      <c r="F24" s="1999"/>
      <c r="G24" s="1999"/>
      <c r="H24" s="1999"/>
      <c r="I24" s="1999"/>
      <c r="J24" s="1999"/>
      <c r="K24" s="1999"/>
      <c r="L24" s="1999"/>
      <c r="M24" s="1999"/>
    </row>
    <row r="25" spans="2:13" ht="15" customHeight="1">
      <c r="B25" s="1999"/>
      <c r="C25" s="1999"/>
      <c r="D25" s="1999"/>
      <c r="E25" s="1999"/>
      <c r="F25" s="1999"/>
      <c r="G25" s="1999"/>
      <c r="H25" s="1999"/>
      <c r="I25" s="1999"/>
      <c r="J25" s="1999"/>
      <c r="K25" s="1999"/>
      <c r="L25" s="1999"/>
      <c r="M25" s="1999"/>
    </row>
    <row r="26" spans="1:13" ht="15" customHeight="1">
      <c r="A26" s="2003" t="s">
        <v>979</v>
      </c>
      <c r="B26" s="2004"/>
      <c r="C26" s="2004"/>
      <c r="D26" s="2004"/>
      <c r="E26" s="2004"/>
      <c r="F26" s="2004"/>
      <c r="G26" s="527"/>
      <c r="H26" s="527"/>
      <c r="I26" s="527"/>
      <c r="J26" s="527"/>
      <c r="K26" s="527"/>
      <c r="L26" s="527"/>
      <c r="M26" s="527"/>
    </row>
    <row r="27" spans="1:13" ht="15" customHeight="1">
      <c r="A27" s="531" t="s">
        <v>981</v>
      </c>
      <c r="B27" s="2000" t="s">
        <v>1028</v>
      </c>
      <c r="C27" s="2000"/>
      <c r="D27" s="2000"/>
      <c r="E27" s="2000"/>
      <c r="F27" s="2000"/>
      <c r="G27" s="2000"/>
      <c r="H27" s="2000"/>
      <c r="I27" s="2000"/>
      <c r="J27" s="2000"/>
      <c r="K27" s="2000"/>
      <c r="L27" s="2000"/>
      <c r="M27" s="2000"/>
    </row>
    <row r="28" spans="1:13" ht="15" customHeight="1">
      <c r="A28" s="530"/>
      <c r="B28" s="2000"/>
      <c r="C28" s="2000"/>
      <c r="D28" s="2000"/>
      <c r="E28" s="2000"/>
      <c r="F28" s="2000"/>
      <c r="G28" s="2000"/>
      <c r="H28" s="2000"/>
      <c r="I28" s="2000"/>
      <c r="J28" s="2000"/>
      <c r="K28" s="2000"/>
      <c r="L28" s="2000"/>
      <c r="M28" s="2000"/>
    </row>
    <row r="29" spans="1:13" ht="15" customHeight="1">
      <c r="A29" s="2001" t="s">
        <v>1029</v>
      </c>
      <c r="B29" s="2001"/>
      <c r="C29" s="2001"/>
      <c r="D29" s="2001"/>
      <c r="E29" s="2001"/>
      <c r="F29" s="2001"/>
      <c r="G29" s="2001"/>
      <c r="H29" s="2001"/>
      <c r="I29" s="2001"/>
      <c r="J29" s="2001"/>
      <c r="K29" s="2001"/>
      <c r="L29" s="2001"/>
      <c r="M29" s="2001"/>
    </row>
    <row r="30" spans="1:13" ht="15" customHeight="1">
      <c r="A30" s="531" t="s">
        <v>981</v>
      </c>
      <c r="B30" s="2005" t="s">
        <v>1030</v>
      </c>
      <c r="C30" s="2005"/>
      <c r="D30" s="2005"/>
      <c r="E30" s="2005"/>
      <c r="F30" s="2005"/>
      <c r="G30" s="2005"/>
      <c r="H30" s="2005"/>
      <c r="I30" s="2005"/>
      <c r="J30" s="2005"/>
      <c r="K30" s="2005"/>
      <c r="L30" s="2005"/>
      <c r="M30" s="2005"/>
    </row>
    <row r="31" spans="1:13" ht="15" customHeight="1">
      <c r="A31" s="531" t="s">
        <v>983</v>
      </c>
      <c r="B31" s="1999" t="s">
        <v>1031</v>
      </c>
      <c r="C31" s="1999"/>
      <c r="D31" s="1999"/>
      <c r="E31" s="1999"/>
      <c r="F31" s="1999"/>
      <c r="G31" s="1999"/>
      <c r="H31" s="1999"/>
      <c r="I31" s="1999"/>
      <c r="J31" s="1999"/>
      <c r="K31" s="1999"/>
      <c r="L31" s="1999"/>
      <c r="M31" s="1999"/>
    </row>
    <row r="32" spans="2:13" ht="15" customHeight="1">
      <c r="B32" s="1999"/>
      <c r="C32" s="1999"/>
      <c r="D32" s="1999"/>
      <c r="E32" s="1999"/>
      <c r="F32" s="1999"/>
      <c r="G32" s="1999"/>
      <c r="H32" s="1999"/>
      <c r="I32" s="1999"/>
      <c r="J32" s="1999"/>
      <c r="K32" s="1999"/>
      <c r="L32" s="1999"/>
      <c r="M32" s="1999"/>
    </row>
    <row r="33" spans="2:13" ht="15" customHeight="1">
      <c r="B33" s="1999"/>
      <c r="C33" s="1999"/>
      <c r="D33" s="1999"/>
      <c r="E33" s="1999"/>
      <c r="F33" s="1999"/>
      <c r="G33" s="1999"/>
      <c r="H33" s="1999"/>
      <c r="I33" s="1999"/>
      <c r="J33" s="1999"/>
      <c r="K33" s="1999"/>
      <c r="L33" s="1999"/>
      <c r="M33" s="1999"/>
    </row>
    <row r="34" spans="1:13" ht="15" customHeight="1">
      <c r="A34" s="528" t="s">
        <v>985</v>
      </c>
      <c r="B34" s="2005" t="s">
        <v>1032</v>
      </c>
      <c r="C34" s="2005"/>
      <c r="D34" s="2005"/>
      <c r="E34" s="2005"/>
      <c r="F34" s="2005"/>
      <c r="G34" s="2005"/>
      <c r="H34" s="2005"/>
      <c r="I34" s="2005"/>
      <c r="J34" s="2005"/>
      <c r="K34" s="2005"/>
      <c r="L34" s="2005"/>
      <c r="M34" s="2005"/>
    </row>
    <row r="35" spans="2:13" ht="15" customHeight="1">
      <c r="B35" s="2005"/>
      <c r="C35" s="2005"/>
      <c r="D35" s="2005"/>
      <c r="E35" s="2005"/>
      <c r="F35" s="2005"/>
      <c r="G35" s="2005"/>
      <c r="H35" s="2005"/>
      <c r="I35" s="2005"/>
      <c r="J35" s="2005"/>
      <c r="K35" s="2005"/>
      <c r="L35" s="2005"/>
      <c r="M35" s="2005"/>
    </row>
    <row r="36" spans="2:13" ht="15" customHeight="1">
      <c r="B36" s="2005"/>
      <c r="C36" s="2005"/>
      <c r="D36" s="2005"/>
      <c r="E36" s="2005"/>
      <c r="F36" s="2005"/>
      <c r="G36" s="2005"/>
      <c r="H36" s="2005"/>
      <c r="I36" s="2005"/>
      <c r="J36" s="2005"/>
      <c r="K36" s="2005"/>
      <c r="L36" s="2005"/>
      <c r="M36" s="2005"/>
    </row>
    <row r="37" spans="2:13" ht="15" customHeight="1">
      <c r="B37" s="2005"/>
      <c r="C37" s="2005"/>
      <c r="D37" s="2005"/>
      <c r="E37" s="2005"/>
      <c r="F37" s="2005"/>
      <c r="G37" s="2005"/>
      <c r="H37" s="2005"/>
      <c r="I37" s="2005"/>
      <c r="J37" s="2005"/>
      <c r="K37" s="2005"/>
      <c r="L37" s="2005"/>
      <c r="M37" s="2005"/>
    </row>
    <row r="38" spans="1:13" ht="15" customHeight="1">
      <c r="A38" s="2006" t="s">
        <v>1033</v>
      </c>
      <c r="B38" s="2006"/>
      <c r="C38" s="2006"/>
      <c r="D38" s="2006"/>
      <c r="E38" s="2006"/>
      <c r="F38" s="2006"/>
      <c r="G38" s="2006"/>
      <c r="H38" s="2006"/>
      <c r="I38" s="2006"/>
      <c r="J38" s="2006"/>
      <c r="K38" s="2006"/>
      <c r="L38" s="2006"/>
      <c r="M38" s="2006"/>
    </row>
    <row r="39" spans="1:13" ht="15" customHeight="1">
      <c r="A39" s="528" t="s">
        <v>981</v>
      </c>
      <c r="B39" s="2002" t="s">
        <v>1034</v>
      </c>
      <c r="C39" s="2002"/>
      <c r="D39" s="2002"/>
      <c r="E39" s="2002"/>
      <c r="F39" s="2002"/>
      <c r="G39" s="2002"/>
      <c r="H39" s="2002"/>
      <c r="I39" s="2002"/>
      <c r="J39" s="2002"/>
      <c r="K39" s="2002"/>
      <c r="L39" s="2002"/>
      <c r="M39" s="2002"/>
    </row>
  </sheetData>
  <sheetProtection password="CC96" sheet="1" objects="1" scenarios="1"/>
  <mergeCells count="21">
    <mergeCell ref="A2:M5"/>
    <mergeCell ref="A6:M8"/>
    <mergeCell ref="A9:B9"/>
    <mergeCell ref="B10:M10"/>
    <mergeCell ref="B11:M11"/>
    <mergeCell ref="B12:M13"/>
    <mergeCell ref="B14:M16"/>
    <mergeCell ref="B17:M18"/>
    <mergeCell ref="A19:B19"/>
    <mergeCell ref="B20:M20"/>
    <mergeCell ref="B21:M21"/>
    <mergeCell ref="B22:M23"/>
    <mergeCell ref="B24:M25"/>
    <mergeCell ref="B27:M28"/>
    <mergeCell ref="A29:M29"/>
    <mergeCell ref="B39:M39"/>
    <mergeCell ref="A26:F26"/>
    <mergeCell ref="B30:M30"/>
    <mergeCell ref="B31:M33"/>
    <mergeCell ref="B34:M37"/>
    <mergeCell ref="A38:M38"/>
  </mergeCells>
  <printOptions/>
  <pageMargins left="0.75" right="0.75" top="0.75" bottom="1" header="0.5" footer="0.5"/>
  <pageSetup horizontalDpi="600" verticalDpi="600" orientation="portrait" r:id="rId1"/>
  <headerFooter alignWithMargins="0">
    <oddHeader>&amp;L&amp;"Tahoma,Bold"&amp;11CNMP Planning Tool&amp;C&amp;"Tahoma,Bold"590 Job Sheet Instructions</oddHeader>
  </headerFooter>
</worksheet>
</file>

<file path=xl/worksheets/sheet12.xml><?xml version="1.0" encoding="utf-8"?>
<worksheet xmlns="http://schemas.openxmlformats.org/spreadsheetml/2006/main" xmlns:r="http://schemas.openxmlformats.org/officeDocument/2006/relationships">
  <dimension ref="A1:K197"/>
  <sheetViews>
    <sheetView workbookViewId="0" topLeftCell="A1">
      <selection activeCell="A1" sqref="A1:K2"/>
    </sheetView>
  </sheetViews>
  <sheetFormatPr defaultColWidth="9.140625" defaultRowHeight="12.75"/>
  <cols>
    <col min="1" max="1" width="24.7109375" style="0" customWidth="1"/>
    <col min="2" max="2" width="5.8515625" style="0" customWidth="1"/>
    <col min="3" max="8" width="6.7109375" style="0" customWidth="1"/>
    <col min="9" max="9" width="6.28125" style="0" customWidth="1"/>
    <col min="10" max="11" width="6.7109375" style="0" customWidth="1"/>
  </cols>
  <sheetData>
    <row r="1" spans="1:11" ht="12.75">
      <c r="A1" s="2048" t="s">
        <v>1055</v>
      </c>
      <c r="B1" s="1229"/>
      <c r="C1" s="1229"/>
      <c r="D1" s="1229"/>
      <c r="E1" s="1229"/>
      <c r="F1" s="1229"/>
      <c r="G1" s="1229"/>
      <c r="H1" s="1229"/>
      <c r="I1" s="2049"/>
      <c r="J1" s="2049"/>
      <c r="K1" s="2050"/>
    </row>
    <row r="2" spans="1:11" ht="12.75">
      <c r="A2" s="2051"/>
      <c r="B2" s="2052"/>
      <c r="C2" s="2052"/>
      <c r="D2" s="2052"/>
      <c r="E2" s="2052"/>
      <c r="F2" s="2052"/>
      <c r="G2" s="2052"/>
      <c r="H2" s="2052"/>
      <c r="I2" s="1111"/>
      <c r="J2" s="1111"/>
      <c r="K2" s="2053"/>
    </row>
    <row r="3" spans="1:11" ht="23.25" customHeight="1">
      <c r="A3" s="2087" t="s">
        <v>567</v>
      </c>
      <c r="B3" s="2046" t="s">
        <v>1056</v>
      </c>
      <c r="C3" s="2046" t="s">
        <v>569</v>
      </c>
      <c r="D3" s="2046" t="s">
        <v>1057</v>
      </c>
      <c r="E3" s="2102" t="s">
        <v>1058</v>
      </c>
      <c r="F3" s="1294" t="s">
        <v>1059</v>
      </c>
      <c r="G3" s="2103"/>
      <c r="H3" s="1295"/>
      <c r="I3" s="2025" t="s">
        <v>16</v>
      </c>
      <c r="J3" s="2026"/>
      <c r="K3" s="2027"/>
    </row>
    <row r="4" spans="1:11" ht="12.75">
      <c r="A4" s="2088"/>
      <c r="B4" s="2047"/>
      <c r="C4" s="2047"/>
      <c r="D4" s="2047"/>
      <c r="E4" s="2092"/>
      <c r="F4" s="554" t="s">
        <v>573</v>
      </c>
      <c r="G4" s="554" t="s">
        <v>428</v>
      </c>
      <c r="H4" s="510" t="s">
        <v>900</v>
      </c>
      <c r="I4" s="681" t="s">
        <v>573</v>
      </c>
      <c r="J4" s="682" t="s">
        <v>428</v>
      </c>
      <c r="K4" s="682" t="s">
        <v>900</v>
      </c>
    </row>
    <row r="5" spans="1:11" ht="15" customHeight="1">
      <c r="A5" s="683" t="s">
        <v>1060</v>
      </c>
      <c r="B5" s="684">
        <v>10</v>
      </c>
      <c r="C5" s="685" t="s">
        <v>1061</v>
      </c>
      <c r="D5" s="686">
        <v>2000</v>
      </c>
      <c r="E5" s="686">
        <v>25</v>
      </c>
      <c r="F5" s="687">
        <v>3.4</v>
      </c>
      <c r="G5" s="687">
        <v>0.32</v>
      </c>
      <c r="H5" s="687">
        <v>2.72</v>
      </c>
      <c r="I5" s="688">
        <f>$D5*($E5/100)*(F5/100)</f>
        <v>17</v>
      </c>
      <c r="J5" s="703">
        <f aca="true" t="shared" si="0" ref="J5:J29">$D5*($E5/100)*(G5/100)*2.29</f>
        <v>3.664</v>
      </c>
      <c r="K5" s="703">
        <f aca="true" t="shared" si="1" ref="K5:K29">$D5*($E5/100)*(H5/100)*1.2</f>
        <v>16.32</v>
      </c>
    </row>
    <row r="6" spans="1:11" ht="15" customHeight="1">
      <c r="A6" s="689" t="s">
        <v>1062</v>
      </c>
      <c r="B6" s="690">
        <v>4</v>
      </c>
      <c r="C6" s="691" t="s">
        <v>1061</v>
      </c>
      <c r="D6" s="692">
        <v>2000</v>
      </c>
      <c r="E6" s="692">
        <v>85</v>
      </c>
      <c r="F6" s="693">
        <v>2.8</v>
      </c>
      <c r="G6" s="693">
        <v>0.26</v>
      </c>
      <c r="H6" s="693">
        <v>2.2</v>
      </c>
      <c r="I6" s="679">
        <f>$D6*($E6/100)*(F6/100)</f>
        <v>47.599999999999994</v>
      </c>
      <c r="J6" s="703">
        <f t="shared" si="0"/>
        <v>10.1218</v>
      </c>
      <c r="K6" s="703">
        <f t="shared" si="1"/>
        <v>44.88</v>
      </c>
    </row>
    <row r="7" spans="1:11" ht="15" customHeight="1">
      <c r="A7" s="689" t="s">
        <v>1063</v>
      </c>
      <c r="B7" s="690"/>
      <c r="C7" s="691" t="s">
        <v>1061</v>
      </c>
      <c r="D7" s="692">
        <v>2000</v>
      </c>
      <c r="E7" s="692">
        <v>85</v>
      </c>
      <c r="F7" s="693">
        <v>2.418</v>
      </c>
      <c r="G7" s="693">
        <v>0.271</v>
      </c>
      <c r="H7" s="693">
        <v>1.898</v>
      </c>
      <c r="I7" s="679">
        <f aca="true" t="shared" si="2" ref="I7:I70">$D7*($E7/100)*(F7/100)</f>
        <v>41.106</v>
      </c>
      <c r="J7" s="703">
        <f t="shared" si="0"/>
        <v>10.550030000000001</v>
      </c>
      <c r="K7" s="703">
        <f t="shared" si="1"/>
        <v>38.719199999999994</v>
      </c>
    </row>
    <row r="8" spans="1:11" ht="15" customHeight="1">
      <c r="A8" s="689" t="s">
        <v>1064</v>
      </c>
      <c r="B8" s="690"/>
      <c r="C8" s="691" t="s">
        <v>1061</v>
      </c>
      <c r="D8" s="692">
        <v>2000</v>
      </c>
      <c r="E8" s="692">
        <v>85</v>
      </c>
      <c r="F8" s="693">
        <v>2.173</v>
      </c>
      <c r="G8" s="693">
        <v>0.633</v>
      </c>
      <c r="H8" s="693">
        <v>2.16</v>
      </c>
      <c r="I8" s="679">
        <f t="shared" si="2"/>
        <v>36.940999999999995</v>
      </c>
      <c r="J8" s="703">
        <f t="shared" si="0"/>
        <v>24.642689999999998</v>
      </c>
      <c r="K8" s="703">
        <f t="shared" si="1"/>
        <v>44.064</v>
      </c>
    </row>
    <row r="9" spans="1:11" ht="15" customHeight="1">
      <c r="A9" s="689" t="s">
        <v>1065</v>
      </c>
      <c r="B9" s="690">
        <v>2</v>
      </c>
      <c r="C9" s="691" t="s">
        <v>1061</v>
      </c>
      <c r="D9" s="692">
        <v>2000</v>
      </c>
      <c r="E9" s="692">
        <v>85</v>
      </c>
      <c r="F9" s="693">
        <v>2.4</v>
      </c>
      <c r="G9" s="693">
        <v>0.223</v>
      </c>
      <c r="H9" s="693">
        <v>2.482</v>
      </c>
      <c r="I9" s="679">
        <f t="shared" si="2"/>
        <v>40.800000000000004</v>
      </c>
      <c r="J9" s="703">
        <f t="shared" si="0"/>
        <v>8.68139</v>
      </c>
      <c r="K9" s="703">
        <f t="shared" si="1"/>
        <v>50.6328</v>
      </c>
    </row>
    <row r="10" spans="1:11" ht="15" customHeight="1">
      <c r="A10" s="689" t="s">
        <v>1066</v>
      </c>
      <c r="B10" s="690">
        <v>500</v>
      </c>
      <c r="C10" s="691" t="s">
        <v>1067</v>
      </c>
      <c r="D10" s="692">
        <v>48</v>
      </c>
      <c r="E10" s="692">
        <v>18</v>
      </c>
      <c r="F10" s="693">
        <v>0.444</v>
      </c>
      <c r="G10" s="693">
        <v>0.111</v>
      </c>
      <c r="H10" s="693">
        <v>0.888</v>
      </c>
      <c r="I10" s="679">
        <f t="shared" si="2"/>
        <v>0.0383616</v>
      </c>
      <c r="J10" s="703">
        <f t="shared" si="0"/>
        <v>0.021962016</v>
      </c>
      <c r="K10" s="703">
        <f t="shared" si="1"/>
        <v>0.09206784</v>
      </c>
    </row>
    <row r="11" spans="1:11" ht="15" customHeight="1">
      <c r="A11" s="689" t="s">
        <v>1068</v>
      </c>
      <c r="B11" s="690">
        <v>110</v>
      </c>
      <c r="C11" s="691" t="s">
        <v>1067</v>
      </c>
      <c r="D11" s="692">
        <v>48</v>
      </c>
      <c r="E11" s="692">
        <v>86</v>
      </c>
      <c r="F11" s="693">
        <v>2.112</v>
      </c>
      <c r="G11" s="693">
        <v>0.418</v>
      </c>
      <c r="H11" s="693">
        <v>0.537</v>
      </c>
      <c r="I11" s="679">
        <f t="shared" si="2"/>
        <v>0.8718336</v>
      </c>
      <c r="J11" s="703">
        <f t="shared" si="0"/>
        <v>0.395140416</v>
      </c>
      <c r="K11" s="703">
        <f t="shared" si="1"/>
        <v>0.26600832</v>
      </c>
    </row>
    <row r="12" spans="1:11" ht="15" customHeight="1">
      <c r="A12" s="689" t="s">
        <v>1069</v>
      </c>
      <c r="B12" s="690">
        <v>2</v>
      </c>
      <c r="C12" s="691" t="s">
        <v>1061</v>
      </c>
      <c r="D12" s="692">
        <v>2000</v>
      </c>
      <c r="E12" s="692">
        <v>85</v>
      </c>
      <c r="F12" s="693">
        <v>1.411</v>
      </c>
      <c r="G12" s="693">
        <v>0.258</v>
      </c>
      <c r="H12" s="693">
        <v>1.494</v>
      </c>
      <c r="I12" s="679">
        <f t="shared" si="2"/>
        <v>23.987000000000002</v>
      </c>
      <c r="J12" s="703">
        <f t="shared" si="0"/>
        <v>10.043940000000001</v>
      </c>
      <c r="K12" s="703">
        <f t="shared" si="1"/>
        <v>30.4776</v>
      </c>
    </row>
    <row r="13" spans="1:11" ht="15" customHeight="1">
      <c r="A13" s="689" t="s">
        <v>1070</v>
      </c>
      <c r="B13" s="690"/>
      <c r="C13" s="691" t="s">
        <v>1061</v>
      </c>
      <c r="D13" s="692">
        <v>2000</v>
      </c>
      <c r="E13" s="692">
        <v>90</v>
      </c>
      <c r="F13" s="693">
        <v>0.8</v>
      </c>
      <c r="G13" s="693">
        <v>0.111</v>
      </c>
      <c r="H13" s="693">
        <v>1.794</v>
      </c>
      <c r="I13" s="679">
        <f t="shared" si="2"/>
        <v>14.4</v>
      </c>
      <c r="J13" s="703">
        <f t="shared" si="0"/>
        <v>4.57542</v>
      </c>
      <c r="K13" s="703">
        <f t="shared" si="1"/>
        <v>38.7504</v>
      </c>
    </row>
    <row r="14" spans="1:11" ht="15" customHeight="1">
      <c r="A14" s="689" t="s">
        <v>1071</v>
      </c>
      <c r="B14" s="690">
        <v>25</v>
      </c>
      <c r="C14" s="691" t="s">
        <v>1067</v>
      </c>
      <c r="D14" s="692">
        <v>60</v>
      </c>
      <c r="E14" s="692">
        <v>90</v>
      </c>
      <c r="F14" s="693">
        <v>4</v>
      </c>
      <c r="G14" s="693">
        <v>0.5</v>
      </c>
      <c r="H14" s="693">
        <v>0.95</v>
      </c>
      <c r="I14" s="679">
        <f t="shared" si="2"/>
        <v>2.16</v>
      </c>
      <c r="J14" s="703">
        <f t="shared" si="0"/>
        <v>0.6183000000000001</v>
      </c>
      <c r="K14" s="703">
        <f t="shared" si="1"/>
        <v>0.6156</v>
      </c>
    </row>
    <row r="15" spans="1:11" ht="15" customHeight="1">
      <c r="A15" s="689" t="s">
        <v>1072</v>
      </c>
      <c r="B15" s="690">
        <v>3</v>
      </c>
      <c r="C15" s="691" t="s">
        <v>1061</v>
      </c>
      <c r="D15" s="692">
        <v>2000</v>
      </c>
      <c r="E15" s="692">
        <v>13</v>
      </c>
      <c r="F15" s="693">
        <v>3</v>
      </c>
      <c r="G15" s="693">
        <v>2</v>
      </c>
      <c r="H15" s="693">
        <v>7.38</v>
      </c>
      <c r="I15" s="679">
        <f t="shared" si="2"/>
        <v>7.8</v>
      </c>
      <c r="J15" s="703">
        <f t="shared" si="0"/>
        <v>11.908000000000001</v>
      </c>
      <c r="K15" s="703">
        <f t="shared" si="1"/>
        <v>23.0256</v>
      </c>
    </row>
    <row r="16" spans="1:11" ht="15" customHeight="1">
      <c r="A16" s="689" t="s">
        <v>1073</v>
      </c>
      <c r="B16" s="690">
        <v>20</v>
      </c>
      <c r="C16" s="691" t="s">
        <v>1061</v>
      </c>
      <c r="D16" s="692">
        <v>2000</v>
      </c>
      <c r="E16" s="692">
        <v>23</v>
      </c>
      <c r="F16" s="693">
        <v>1.08</v>
      </c>
      <c r="G16" s="693">
        <v>0.347</v>
      </c>
      <c r="H16" s="693">
        <v>1.217</v>
      </c>
      <c r="I16" s="679">
        <f t="shared" si="2"/>
        <v>4.968</v>
      </c>
      <c r="J16" s="703">
        <f t="shared" si="0"/>
        <v>3.6552979999999997</v>
      </c>
      <c r="K16" s="703">
        <f t="shared" si="1"/>
        <v>6.71784</v>
      </c>
    </row>
    <row r="17" spans="1:11" ht="15" customHeight="1">
      <c r="A17" s="689" t="s">
        <v>1074</v>
      </c>
      <c r="B17" s="690">
        <v>15</v>
      </c>
      <c r="C17" s="691" t="s">
        <v>1061</v>
      </c>
      <c r="D17" s="692">
        <v>2000</v>
      </c>
      <c r="E17" s="692">
        <v>13</v>
      </c>
      <c r="F17" s="693">
        <v>1.95</v>
      </c>
      <c r="G17" s="693">
        <v>0.61</v>
      </c>
      <c r="H17" s="693">
        <v>2.15</v>
      </c>
      <c r="I17" s="679">
        <f t="shared" si="2"/>
        <v>5.07</v>
      </c>
      <c r="J17" s="703">
        <f t="shared" si="0"/>
        <v>3.6319399999999997</v>
      </c>
      <c r="K17" s="703">
        <f t="shared" si="1"/>
        <v>6.707999999999999</v>
      </c>
    </row>
    <row r="18" spans="1:11" ht="15" customHeight="1">
      <c r="A18" s="689" t="s">
        <v>1075</v>
      </c>
      <c r="B18" s="689"/>
      <c r="C18" s="691" t="s">
        <v>1061</v>
      </c>
      <c r="D18" s="692">
        <v>2000</v>
      </c>
      <c r="E18" s="692">
        <v>18</v>
      </c>
      <c r="F18" s="693">
        <v>2.5</v>
      </c>
      <c r="G18" s="693">
        <v>0.222</v>
      </c>
      <c r="H18" s="693">
        <v>5.72</v>
      </c>
      <c r="I18" s="679">
        <f t="shared" si="2"/>
        <v>9</v>
      </c>
      <c r="J18" s="703">
        <f t="shared" si="0"/>
        <v>1.830168</v>
      </c>
      <c r="K18" s="703">
        <f t="shared" si="1"/>
        <v>24.710399999999996</v>
      </c>
    </row>
    <row r="19" spans="1:11" ht="15" customHeight="1">
      <c r="A19" s="689" t="s">
        <v>1076</v>
      </c>
      <c r="B19" s="690">
        <v>2</v>
      </c>
      <c r="C19" s="691" t="s">
        <v>1061</v>
      </c>
      <c r="D19" s="692">
        <v>2000</v>
      </c>
      <c r="E19" s="692">
        <v>85</v>
      </c>
      <c r="F19" s="693">
        <v>1.752</v>
      </c>
      <c r="G19" s="693">
        <v>0.211</v>
      </c>
      <c r="H19" s="693">
        <v>1.729</v>
      </c>
      <c r="I19" s="679">
        <f t="shared" si="2"/>
        <v>29.784000000000002</v>
      </c>
      <c r="J19" s="703">
        <f t="shared" si="0"/>
        <v>8.214229999999999</v>
      </c>
      <c r="K19" s="703">
        <f t="shared" si="1"/>
        <v>35.2716</v>
      </c>
    </row>
    <row r="20" spans="1:11" ht="15" customHeight="1">
      <c r="A20" s="689" t="s">
        <v>1077</v>
      </c>
      <c r="B20" s="690">
        <v>3</v>
      </c>
      <c r="C20" s="691" t="s">
        <v>1061</v>
      </c>
      <c r="D20" s="692">
        <v>2000</v>
      </c>
      <c r="E20" s="692">
        <v>80</v>
      </c>
      <c r="F20" s="693">
        <v>1.1</v>
      </c>
      <c r="G20" s="693">
        <v>0.85</v>
      </c>
      <c r="H20" s="693">
        <v>1.75</v>
      </c>
      <c r="I20" s="679">
        <f t="shared" si="2"/>
        <v>17.6</v>
      </c>
      <c r="J20" s="703">
        <f t="shared" si="0"/>
        <v>31.144000000000005</v>
      </c>
      <c r="K20" s="703">
        <f t="shared" si="1"/>
        <v>33.6</v>
      </c>
    </row>
    <row r="21" spans="1:11" ht="15" customHeight="1">
      <c r="A21" s="689" t="s">
        <v>1078</v>
      </c>
      <c r="B21" s="690">
        <v>3</v>
      </c>
      <c r="C21" s="691" t="s">
        <v>1061</v>
      </c>
      <c r="D21" s="692">
        <v>2000</v>
      </c>
      <c r="E21" s="692">
        <v>80</v>
      </c>
      <c r="F21" s="693">
        <v>1.237</v>
      </c>
      <c r="G21" s="693">
        <v>0.85</v>
      </c>
      <c r="H21" s="693">
        <v>1.45</v>
      </c>
      <c r="I21" s="679">
        <f t="shared" si="2"/>
        <v>19.792</v>
      </c>
      <c r="J21" s="703">
        <f t="shared" si="0"/>
        <v>31.144000000000005</v>
      </c>
      <c r="K21" s="703">
        <f t="shared" si="1"/>
        <v>27.84</v>
      </c>
    </row>
    <row r="22" spans="1:11" ht="15" customHeight="1">
      <c r="A22" s="689" t="s">
        <v>1079</v>
      </c>
      <c r="B22" s="690">
        <v>5</v>
      </c>
      <c r="C22" s="691" t="s">
        <v>1061</v>
      </c>
      <c r="D22" s="692">
        <v>2000</v>
      </c>
      <c r="E22" s="692">
        <v>85</v>
      </c>
      <c r="F22" s="693">
        <v>1.87</v>
      </c>
      <c r="G22" s="693">
        <v>0.211</v>
      </c>
      <c r="H22" s="693">
        <v>2.541</v>
      </c>
      <c r="I22" s="679">
        <f t="shared" si="2"/>
        <v>31.790000000000003</v>
      </c>
      <c r="J22" s="703">
        <f t="shared" si="0"/>
        <v>8.214229999999999</v>
      </c>
      <c r="K22" s="703">
        <f t="shared" si="1"/>
        <v>51.83639999999999</v>
      </c>
    </row>
    <row r="23" spans="1:11" ht="15" customHeight="1">
      <c r="A23" s="689" t="s">
        <v>1080</v>
      </c>
      <c r="B23" s="690">
        <v>360</v>
      </c>
      <c r="C23" s="691" t="s">
        <v>1081</v>
      </c>
      <c r="D23" s="692">
        <v>100</v>
      </c>
      <c r="E23" s="692">
        <v>9</v>
      </c>
      <c r="F23" s="693">
        <v>3.666</v>
      </c>
      <c r="G23" s="693">
        <v>0.444</v>
      </c>
      <c r="H23" s="693">
        <v>3</v>
      </c>
      <c r="I23" s="679">
        <f t="shared" si="2"/>
        <v>0.32994</v>
      </c>
      <c r="J23" s="703">
        <f t="shared" si="0"/>
        <v>0.0915084</v>
      </c>
      <c r="K23" s="703">
        <f t="shared" si="1"/>
        <v>0.324</v>
      </c>
    </row>
    <row r="24" spans="1:11" ht="15" customHeight="1">
      <c r="A24" s="689" t="s">
        <v>1082</v>
      </c>
      <c r="B24" s="690">
        <v>35</v>
      </c>
      <c r="C24" s="691" t="s">
        <v>1067</v>
      </c>
      <c r="D24" s="692">
        <v>50</v>
      </c>
      <c r="E24" s="692">
        <v>90</v>
      </c>
      <c r="F24" s="693">
        <v>3.888</v>
      </c>
      <c r="G24" s="693">
        <v>0.622</v>
      </c>
      <c r="H24" s="693">
        <v>0.977</v>
      </c>
      <c r="I24" s="679">
        <f t="shared" si="2"/>
        <v>1.7495999999999998</v>
      </c>
      <c r="J24" s="703">
        <f t="shared" si="0"/>
        <v>0.640971</v>
      </c>
      <c r="K24" s="703">
        <f t="shared" si="1"/>
        <v>0.5275799999999999</v>
      </c>
    </row>
    <row r="25" spans="1:11" ht="15" customHeight="1">
      <c r="A25" s="689" t="s">
        <v>1083</v>
      </c>
      <c r="B25" s="690">
        <v>3</v>
      </c>
      <c r="C25" s="691" t="s">
        <v>1061</v>
      </c>
      <c r="D25" s="692">
        <v>2000</v>
      </c>
      <c r="E25" s="692">
        <v>90</v>
      </c>
      <c r="F25" s="693">
        <v>0.555</v>
      </c>
      <c r="G25" s="693"/>
      <c r="H25" s="693"/>
      <c r="I25" s="679">
        <f t="shared" si="2"/>
        <v>9.99</v>
      </c>
      <c r="J25" s="703">
        <f t="shared" si="0"/>
        <v>0</v>
      </c>
      <c r="K25" s="703">
        <f t="shared" si="1"/>
        <v>0</v>
      </c>
    </row>
    <row r="26" spans="1:11" ht="15" customHeight="1">
      <c r="A26" s="689" t="s">
        <v>1084</v>
      </c>
      <c r="B26" s="690">
        <v>180</v>
      </c>
      <c r="C26" s="691" t="s">
        <v>1081</v>
      </c>
      <c r="D26" s="692">
        <v>100</v>
      </c>
      <c r="E26" s="692">
        <v>10</v>
      </c>
      <c r="F26" s="693">
        <v>1.7</v>
      </c>
      <c r="G26" s="693">
        <v>0.9</v>
      </c>
      <c r="H26" s="693">
        <v>4.6</v>
      </c>
      <c r="I26" s="679">
        <f t="shared" si="2"/>
        <v>0.17</v>
      </c>
      <c r="J26" s="703">
        <f t="shared" si="0"/>
        <v>0.20610000000000003</v>
      </c>
      <c r="K26" s="703">
        <f t="shared" si="1"/>
        <v>0.5519999999999999</v>
      </c>
    </row>
    <row r="27" spans="1:11" ht="15" customHeight="1">
      <c r="A27" s="689" t="s">
        <v>1085</v>
      </c>
      <c r="B27" s="690">
        <v>350</v>
      </c>
      <c r="C27" s="691" t="s">
        <v>1081</v>
      </c>
      <c r="D27" s="692">
        <v>100</v>
      </c>
      <c r="E27" s="692">
        <v>12</v>
      </c>
      <c r="F27" s="693">
        <v>1.58</v>
      </c>
      <c r="G27" s="693">
        <v>0.333</v>
      </c>
      <c r="H27" s="693">
        <v>2.083</v>
      </c>
      <c r="I27" s="679">
        <f t="shared" si="2"/>
        <v>0.18960000000000002</v>
      </c>
      <c r="J27" s="703">
        <f t="shared" si="0"/>
        <v>0.0915084</v>
      </c>
      <c r="K27" s="703">
        <f t="shared" si="1"/>
        <v>0.299952</v>
      </c>
    </row>
    <row r="28" spans="1:11" ht="15" customHeight="1">
      <c r="A28" s="689" t="s">
        <v>1086</v>
      </c>
      <c r="B28" s="690">
        <v>27</v>
      </c>
      <c r="C28" s="691" t="s">
        <v>1061</v>
      </c>
      <c r="D28" s="692">
        <v>2000</v>
      </c>
      <c r="E28" s="692">
        <v>8</v>
      </c>
      <c r="F28" s="693">
        <v>2.125</v>
      </c>
      <c r="G28" s="693">
        <v>1.125</v>
      </c>
      <c r="H28" s="693">
        <v>5.625</v>
      </c>
      <c r="I28" s="679">
        <f t="shared" si="2"/>
        <v>3.4000000000000004</v>
      </c>
      <c r="J28" s="703">
        <f t="shared" si="0"/>
        <v>4.122</v>
      </c>
      <c r="K28" s="703">
        <f t="shared" si="1"/>
        <v>10.799999999999999</v>
      </c>
    </row>
    <row r="29" spans="1:11" ht="15" customHeight="1">
      <c r="A29" s="689" t="s">
        <v>1087</v>
      </c>
      <c r="B29" s="690">
        <v>2</v>
      </c>
      <c r="C29" s="691" t="s">
        <v>1061</v>
      </c>
      <c r="D29" s="692">
        <v>2000</v>
      </c>
      <c r="E29" s="692">
        <v>85</v>
      </c>
      <c r="F29" s="693">
        <v>2.64</v>
      </c>
      <c r="G29" s="693">
        <v>0.258</v>
      </c>
      <c r="H29" s="693">
        <v>1.882</v>
      </c>
      <c r="I29" s="679">
        <f t="shared" si="2"/>
        <v>44.88</v>
      </c>
      <c r="J29" s="703">
        <f t="shared" si="0"/>
        <v>10.043940000000001</v>
      </c>
      <c r="K29" s="703">
        <f t="shared" si="1"/>
        <v>38.3928</v>
      </c>
    </row>
    <row r="30" spans="1:11" ht="15" customHeight="1">
      <c r="A30" s="689" t="s">
        <v>1088</v>
      </c>
      <c r="B30" s="690">
        <v>160</v>
      </c>
      <c r="C30" s="691" t="s">
        <v>1067</v>
      </c>
      <c r="D30" s="692">
        <v>56</v>
      </c>
      <c r="E30" s="692">
        <v>85</v>
      </c>
      <c r="F30" s="693">
        <v>1.647</v>
      </c>
      <c r="G30" s="693">
        <v>0.317</v>
      </c>
      <c r="H30" s="693">
        <v>0.4</v>
      </c>
      <c r="I30" s="703">
        <f>$D30*($E30/100)*(F30/100)</f>
        <v>0.783972</v>
      </c>
      <c r="J30" s="703">
        <f>$D30*($E30/100)*(G30/100)*2.29</f>
        <v>0.34554268</v>
      </c>
      <c r="K30" s="703">
        <f>$D30*($E30/100)*(H30/100)*1.2</f>
        <v>0.22848000000000002</v>
      </c>
    </row>
    <row r="31" spans="1:11" ht="15" customHeight="1">
      <c r="A31" s="689" t="s">
        <v>1089</v>
      </c>
      <c r="B31" s="690">
        <v>20</v>
      </c>
      <c r="C31" s="691" t="s">
        <v>1061</v>
      </c>
      <c r="D31" s="692">
        <v>2000</v>
      </c>
      <c r="E31" s="692">
        <v>35</v>
      </c>
      <c r="F31" s="693">
        <v>1.26</v>
      </c>
      <c r="G31" s="693">
        <v>0.26</v>
      </c>
      <c r="H31" s="693">
        <v>0.388</v>
      </c>
      <c r="I31" s="679">
        <f t="shared" si="2"/>
        <v>8.82</v>
      </c>
      <c r="J31" s="703">
        <f aca="true" t="shared" si="3" ref="J31:J82">$D31*($E31/100)*(G31/100)*2.29</f>
        <v>4.1678</v>
      </c>
      <c r="K31" s="703">
        <f aca="true" t="shared" si="4" ref="K31:K82">$D31*($E31/100)*(H31/100)*1.2</f>
        <v>3.2592000000000003</v>
      </c>
    </row>
    <row r="32" spans="1:11" ht="15" customHeight="1">
      <c r="A32" s="689" t="s">
        <v>1090</v>
      </c>
      <c r="B32" s="690"/>
      <c r="C32" s="691" t="s">
        <v>1061</v>
      </c>
      <c r="D32" s="692">
        <v>2000</v>
      </c>
      <c r="E32" s="692">
        <v>90</v>
      </c>
      <c r="F32" s="693">
        <v>1.111</v>
      </c>
      <c r="G32" s="693">
        <v>0.2</v>
      </c>
      <c r="H32" s="693">
        <v>1.5</v>
      </c>
      <c r="I32" s="679">
        <f t="shared" si="2"/>
        <v>19.998</v>
      </c>
      <c r="J32" s="703">
        <f t="shared" si="3"/>
        <v>8.244</v>
      </c>
      <c r="K32" s="703">
        <f t="shared" si="4"/>
        <v>32.4</v>
      </c>
    </row>
    <row r="33" spans="1:11" ht="15" customHeight="1">
      <c r="A33" s="689" t="s">
        <v>1091</v>
      </c>
      <c r="B33" s="690">
        <v>160</v>
      </c>
      <c r="C33" s="691" t="s">
        <v>1081</v>
      </c>
      <c r="D33" s="692">
        <v>100</v>
      </c>
      <c r="E33" s="692">
        <v>27</v>
      </c>
      <c r="F33" s="693">
        <v>1.592</v>
      </c>
      <c r="G33" s="693">
        <v>0.888</v>
      </c>
      <c r="H33" s="693">
        <v>2.148</v>
      </c>
      <c r="I33" s="679">
        <f t="shared" si="2"/>
        <v>0.42984</v>
      </c>
      <c r="J33" s="703">
        <f t="shared" si="3"/>
        <v>0.5490504</v>
      </c>
      <c r="K33" s="703">
        <f t="shared" si="4"/>
        <v>0.695952</v>
      </c>
    </row>
    <row r="34" spans="1:11" ht="15" customHeight="1">
      <c r="A34" s="689" t="s">
        <v>1092</v>
      </c>
      <c r="B34" s="690">
        <v>8</v>
      </c>
      <c r="C34" s="691" t="s">
        <v>1061</v>
      </c>
      <c r="D34" s="692">
        <v>2000</v>
      </c>
      <c r="E34" s="692">
        <v>5</v>
      </c>
      <c r="F34" s="693">
        <v>4</v>
      </c>
      <c r="G34" s="693">
        <v>1.4</v>
      </c>
      <c r="H34" s="693">
        <v>6.6</v>
      </c>
      <c r="I34" s="679">
        <f t="shared" si="2"/>
        <v>4</v>
      </c>
      <c r="J34" s="703">
        <f t="shared" si="3"/>
        <v>3.206</v>
      </c>
      <c r="K34" s="703">
        <f t="shared" si="4"/>
        <v>7.92</v>
      </c>
    </row>
    <row r="35" spans="1:11" ht="15" customHeight="1">
      <c r="A35" s="689" t="s">
        <v>1093</v>
      </c>
      <c r="B35" s="690">
        <v>15</v>
      </c>
      <c r="C35" s="691" t="s">
        <v>1067</v>
      </c>
      <c r="D35" s="692">
        <v>56</v>
      </c>
      <c r="E35" s="692">
        <v>93</v>
      </c>
      <c r="F35" s="693">
        <v>3.763</v>
      </c>
      <c r="G35" s="693">
        <v>0.548</v>
      </c>
      <c r="H35" s="693">
        <v>0.817</v>
      </c>
      <c r="I35" s="679">
        <f t="shared" si="2"/>
        <v>1.9597704</v>
      </c>
      <c r="J35" s="703">
        <f t="shared" si="3"/>
        <v>0.6535623360000001</v>
      </c>
      <c r="K35" s="703">
        <f t="shared" si="4"/>
        <v>0.51059232</v>
      </c>
    </row>
    <row r="36" spans="1:11" ht="15" customHeight="1">
      <c r="A36" s="689" t="s">
        <v>1094</v>
      </c>
      <c r="B36" s="690">
        <v>2</v>
      </c>
      <c r="C36" s="691" t="s">
        <v>1061</v>
      </c>
      <c r="D36" s="692">
        <v>2000</v>
      </c>
      <c r="E36" s="692">
        <v>90</v>
      </c>
      <c r="F36" s="693">
        <v>1.233</v>
      </c>
      <c r="G36" s="693">
        <v>0.111</v>
      </c>
      <c r="H36" s="693">
        <v>1.755</v>
      </c>
      <c r="I36" s="679">
        <f t="shared" si="2"/>
        <v>22.194000000000003</v>
      </c>
      <c r="J36" s="703">
        <f t="shared" si="3"/>
        <v>4.57542</v>
      </c>
      <c r="K36" s="703">
        <f t="shared" si="4"/>
        <v>37.908</v>
      </c>
    </row>
    <row r="37" spans="1:11" ht="15" customHeight="1">
      <c r="A37" s="689" t="s">
        <v>1095</v>
      </c>
      <c r="B37" s="690">
        <v>12</v>
      </c>
      <c r="C37" s="691" t="s">
        <v>1061</v>
      </c>
      <c r="D37" s="692">
        <v>2000</v>
      </c>
      <c r="E37" s="692">
        <v>20</v>
      </c>
      <c r="F37" s="693">
        <v>0.7</v>
      </c>
      <c r="G37" s="693">
        <v>0.5</v>
      </c>
      <c r="H37" s="693">
        <v>2.5</v>
      </c>
      <c r="I37" s="679">
        <f t="shared" si="2"/>
        <v>2.8</v>
      </c>
      <c r="J37" s="703">
        <f t="shared" si="3"/>
        <v>4.58</v>
      </c>
      <c r="K37" s="703">
        <f t="shared" si="4"/>
        <v>12</v>
      </c>
    </row>
    <row r="38" spans="1:11" ht="15" customHeight="1">
      <c r="A38" s="689" t="s">
        <v>1096</v>
      </c>
      <c r="B38" s="690">
        <v>3</v>
      </c>
      <c r="C38" s="691" t="s">
        <v>1061</v>
      </c>
      <c r="D38" s="692">
        <v>2000</v>
      </c>
      <c r="E38" s="692">
        <v>85</v>
      </c>
      <c r="F38" s="693">
        <v>1</v>
      </c>
      <c r="G38" s="693">
        <v>0.847</v>
      </c>
      <c r="H38" s="693">
        <v>1.2</v>
      </c>
      <c r="I38" s="679">
        <f t="shared" si="2"/>
        <v>17</v>
      </c>
      <c r="J38" s="703">
        <f t="shared" si="3"/>
        <v>32.973710000000004</v>
      </c>
      <c r="K38" s="703">
        <f t="shared" si="4"/>
        <v>24.48</v>
      </c>
    </row>
    <row r="39" spans="1:11" ht="15" customHeight="1">
      <c r="A39" s="689" t="s">
        <v>1097</v>
      </c>
      <c r="B39" s="690">
        <v>3</v>
      </c>
      <c r="C39" s="691" t="s">
        <v>1061</v>
      </c>
      <c r="D39" s="692">
        <v>2000</v>
      </c>
      <c r="E39" s="692">
        <v>85</v>
      </c>
      <c r="F39" s="693">
        <v>2.329</v>
      </c>
      <c r="G39" s="693">
        <v>0.2117</v>
      </c>
      <c r="H39" s="693">
        <v>1.05</v>
      </c>
      <c r="I39" s="679">
        <f t="shared" si="2"/>
        <v>39.593</v>
      </c>
      <c r="J39" s="703">
        <f t="shared" si="3"/>
        <v>8.241481</v>
      </c>
      <c r="K39" s="703">
        <f t="shared" si="4"/>
        <v>21.42</v>
      </c>
    </row>
    <row r="40" spans="1:11" ht="15" customHeight="1">
      <c r="A40" s="689" t="s">
        <v>1098</v>
      </c>
      <c r="B40" s="690">
        <v>340</v>
      </c>
      <c r="C40" s="691" t="s">
        <v>1081</v>
      </c>
      <c r="D40" s="692">
        <v>100</v>
      </c>
      <c r="E40" s="692">
        <v>5</v>
      </c>
      <c r="F40" s="693">
        <v>4.6</v>
      </c>
      <c r="G40" s="693">
        <v>1.6</v>
      </c>
      <c r="H40" s="693">
        <v>9.2</v>
      </c>
      <c r="I40" s="679">
        <f t="shared" si="2"/>
        <v>0.22999999999999998</v>
      </c>
      <c r="J40" s="703">
        <f t="shared" si="3"/>
        <v>0.1832</v>
      </c>
      <c r="K40" s="703">
        <f t="shared" si="4"/>
        <v>0.5519999999999999</v>
      </c>
    </row>
    <row r="41" spans="1:11" ht="15" customHeight="1">
      <c r="A41" s="689" t="s">
        <v>1099</v>
      </c>
      <c r="B41" s="690"/>
      <c r="C41" s="691" t="s">
        <v>1067</v>
      </c>
      <c r="D41" s="692">
        <v>56</v>
      </c>
      <c r="E41" s="692">
        <v>86</v>
      </c>
      <c r="F41" s="693">
        <v>2.069</v>
      </c>
      <c r="G41" s="693">
        <v>0.335</v>
      </c>
      <c r="H41" s="693">
        <v>0.479</v>
      </c>
      <c r="I41" s="679">
        <f t="shared" si="2"/>
        <v>0.9964303999999999</v>
      </c>
      <c r="J41" s="703">
        <f t="shared" si="3"/>
        <v>0.36945944000000003</v>
      </c>
      <c r="K41" s="703">
        <f t="shared" si="4"/>
        <v>0.27682367999999996</v>
      </c>
    </row>
    <row r="42" spans="1:11" ht="15" customHeight="1">
      <c r="A42" s="689" t="s">
        <v>1100</v>
      </c>
      <c r="B42" s="690">
        <v>80</v>
      </c>
      <c r="C42" s="691" t="s">
        <v>1067</v>
      </c>
      <c r="D42" s="692">
        <v>32</v>
      </c>
      <c r="E42" s="692">
        <v>86</v>
      </c>
      <c r="F42" s="693">
        <v>2.209</v>
      </c>
      <c r="G42" s="693">
        <v>0.372</v>
      </c>
      <c r="H42" s="693">
        <v>0.488</v>
      </c>
      <c r="I42" s="679">
        <f t="shared" si="2"/>
        <v>0.6079168</v>
      </c>
      <c r="J42" s="703">
        <f t="shared" si="3"/>
        <v>0.23443737599999998</v>
      </c>
      <c r="K42" s="703">
        <f t="shared" si="4"/>
        <v>0.16115712</v>
      </c>
    </row>
    <row r="43" spans="1:11" ht="15" customHeight="1">
      <c r="A43" s="689" t="s">
        <v>1101</v>
      </c>
      <c r="B43" s="690">
        <v>2</v>
      </c>
      <c r="C43" s="691" t="s">
        <v>1061</v>
      </c>
      <c r="D43" s="692">
        <v>2000</v>
      </c>
      <c r="E43" s="692">
        <v>85</v>
      </c>
      <c r="F43" s="693">
        <v>1.78</v>
      </c>
      <c r="G43" s="693">
        <v>0.24</v>
      </c>
      <c r="H43" s="693">
        <v>1.58</v>
      </c>
      <c r="I43" s="679">
        <f t="shared" si="2"/>
        <v>30.259999999999998</v>
      </c>
      <c r="J43" s="703">
        <f t="shared" si="3"/>
        <v>9.3432</v>
      </c>
      <c r="K43" s="703">
        <f t="shared" si="4"/>
        <v>32.232</v>
      </c>
    </row>
    <row r="44" spans="1:11" ht="15" customHeight="1">
      <c r="A44" s="689" t="s">
        <v>1102</v>
      </c>
      <c r="B44" s="690">
        <v>10</v>
      </c>
      <c r="C44" s="691" t="s">
        <v>1061</v>
      </c>
      <c r="D44" s="692">
        <v>2000</v>
      </c>
      <c r="E44" s="692">
        <v>25</v>
      </c>
      <c r="F44" s="693">
        <v>2.12</v>
      </c>
      <c r="G44" s="693">
        <v>0.28</v>
      </c>
      <c r="H44" s="693">
        <v>1.88</v>
      </c>
      <c r="I44" s="679">
        <f t="shared" si="2"/>
        <v>10.6</v>
      </c>
      <c r="J44" s="703">
        <f t="shared" si="3"/>
        <v>3.2060000000000004</v>
      </c>
      <c r="K44" s="703">
        <f t="shared" si="4"/>
        <v>11.279999999999998</v>
      </c>
    </row>
    <row r="45" spans="1:11" ht="15" customHeight="1">
      <c r="A45" s="689" t="s">
        <v>1103</v>
      </c>
      <c r="B45" s="690"/>
      <c r="C45" s="691" t="s">
        <v>1061</v>
      </c>
      <c r="D45" s="692">
        <v>2000</v>
      </c>
      <c r="E45" s="692">
        <v>90</v>
      </c>
      <c r="F45" s="693">
        <v>0.71</v>
      </c>
      <c r="G45" s="693">
        <v>0.366</v>
      </c>
      <c r="H45" s="693">
        <v>2.388</v>
      </c>
      <c r="I45" s="679">
        <f t="shared" si="2"/>
        <v>12.78</v>
      </c>
      <c r="J45" s="703">
        <f t="shared" si="3"/>
        <v>15.08652</v>
      </c>
      <c r="K45" s="703">
        <f t="shared" si="4"/>
        <v>51.58079999999999</v>
      </c>
    </row>
    <row r="46" spans="1:11" ht="15" customHeight="1">
      <c r="A46" s="689" t="s">
        <v>1104</v>
      </c>
      <c r="B46" s="690">
        <v>370</v>
      </c>
      <c r="C46" s="691" t="s">
        <v>1081</v>
      </c>
      <c r="D46" s="692">
        <v>100</v>
      </c>
      <c r="E46" s="692">
        <v>10</v>
      </c>
      <c r="F46" s="693">
        <v>3</v>
      </c>
      <c r="G46" s="693">
        <v>0.6</v>
      </c>
      <c r="H46" s="693">
        <v>2.2</v>
      </c>
      <c r="I46" s="679">
        <f t="shared" si="2"/>
        <v>0.3</v>
      </c>
      <c r="J46" s="703">
        <f t="shared" si="3"/>
        <v>0.1374</v>
      </c>
      <c r="K46" s="703">
        <f t="shared" si="4"/>
        <v>0.264</v>
      </c>
    </row>
    <row r="47" spans="1:11" ht="15" customHeight="1">
      <c r="A47" s="689" t="s">
        <v>1105</v>
      </c>
      <c r="B47" s="690">
        <v>6</v>
      </c>
      <c r="C47" s="691" t="s">
        <v>1061</v>
      </c>
      <c r="D47" s="692">
        <v>2000</v>
      </c>
      <c r="E47" s="692">
        <v>85</v>
      </c>
      <c r="F47" s="693">
        <v>1.7058</v>
      </c>
      <c r="G47" s="693">
        <v>0.258</v>
      </c>
      <c r="H47" s="693">
        <v>2.635</v>
      </c>
      <c r="I47" s="679">
        <f t="shared" si="2"/>
        <v>28.9986</v>
      </c>
      <c r="J47" s="703">
        <f t="shared" si="3"/>
        <v>10.043940000000001</v>
      </c>
      <c r="K47" s="703">
        <f t="shared" si="4"/>
        <v>53.75399999999999</v>
      </c>
    </row>
    <row r="48" spans="1:11" ht="15" customHeight="1">
      <c r="A48" s="689" t="s">
        <v>1106</v>
      </c>
      <c r="B48" s="690">
        <v>15</v>
      </c>
      <c r="C48" s="691" t="s">
        <v>1061</v>
      </c>
      <c r="D48" s="692">
        <v>2000</v>
      </c>
      <c r="E48" s="692">
        <v>12</v>
      </c>
      <c r="F48" s="693">
        <v>1.166</v>
      </c>
      <c r="G48" s="693">
        <v>0.25</v>
      </c>
      <c r="H48" s="693">
        <v>1.583</v>
      </c>
      <c r="I48" s="679">
        <f t="shared" si="2"/>
        <v>2.7983999999999996</v>
      </c>
      <c r="J48" s="703">
        <f t="shared" si="3"/>
        <v>1.3739999999999999</v>
      </c>
      <c r="K48" s="703">
        <f t="shared" si="4"/>
        <v>4.5590399999999995</v>
      </c>
    </row>
    <row r="49" spans="1:11" ht="15" customHeight="1">
      <c r="A49" s="689" t="s">
        <v>1107</v>
      </c>
      <c r="B49" s="690">
        <v>1.5</v>
      </c>
      <c r="C49" s="691" t="s">
        <v>1061</v>
      </c>
      <c r="D49" s="692">
        <v>2000</v>
      </c>
      <c r="E49" s="692">
        <v>20</v>
      </c>
      <c r="F49" s="693">
        <v>4.2</v>
      </c>
      <c r="G49" s="693">
        <v>2</v>
      </c>
      <c r="H49" s="693">
        <v>4.5</v>
      </c>
      <c r="I49" s="679">
        <f t="shared" si="2"/>
        <v>16.8</v>
      </c>
      <c r="J49" s="703">
        <f t="shared" si="3"/>
        <v>18.32</v>
      </c>
      <c r="K49" s="703">
        <f t="shared" si="4"/>
        <v>21.599999999999998</v>
      </c>
    </row>
    <row r="50" spans="1:11" ht="15" customHeight="1">
      <c r="A50" s="689" t="s">
        <v>1108</v>
      </c>
      <c r="B50" s="690">
        <v>9</v>
      </c>
      <c r="C50" s="691" t="s">
        <v>1061</v>
      </c>
      <c r="D50" s="692">
        <v>2000</v>
      </c>
      <c r="E50" s="692">
        <v>8</v>
      </c>
      <c r="F50" s="693">
        <v>2.5</v>
      </c>
      <c r="G50" s="693">
        <v>1.5</v>
      </c>
      <c r="H50" s="693">
        <v>6.12</v>
      </c>
      <c r="I50" s="679">
        <f t="shared" si="2"/>
        <v>4</v>
      </c>
      <c r="J50" s="703">
        <f t="shared" si="3"/>
        <v>5.4959999999999996</v>
      </c>
      <c r="K50" s="703">
        <f t="shared" si="4"/>
        <v>11.7504</v>
      </c>
    </row>
    <row r="51" spans="1:11" ht="15" customHeight="1">
      <c r="A51" s="689" t="s">
        <v>1109</v>
      </c>
      <c r="B51" s="690">
        <v>290</v>
      </c>
      <c r="C51" s="691" t="s">
        <v>1081</v>
      </c>
      <c r="D51" s="692">
        <v>100</v>
      </c>
      <c r="E51" s="692">
        <v>25</v>
      </c>
      <c r="F51" s="693">
        <v>1.6</v>
      </c>
      <c r="G51" s="693">
        <v>0.24</v>
      </c>
      <c r="H51" s="693">
        <v>2.08</v>
      </c>
      <c r="I51" s="679">
        <f t="shared" si="2"/>
        <v>0.4</v>
      </c>
      <c r="J51" s="703">
        <f t="shared" si="3"/>
        <v>0.1374</v>
      </c>
      <c r="K51" s="703">
        <f t="shared" si="4"/>
        <v>0.624</v>
      </c>
    </row>
    <row r="52" spans="1:11" ht="15" customHeight="1">
      <c r="A52" s="689" t="s">
        <v>1110</v>
      </c>
      <c r="B52" s="690">
        <v>7</v>
      </c>
      <c r="C52" s="691" t="s">
        <v>1061</v>
      </c>
      <c r="D52" s="692">
        <v>2000</v>
      </c>
      <c r="E52" s="692">
        <v>28</v>
      </c>
      <c r="F52" s="693">
        <v>1.07</v>
      </c>
      <c r="G52" s="693">
        <v>0.142</v>
      </c>
      <c r="H52" s="693">
        <v>1.5</v>
      </c>
      <c r="I52" s="679">
        <f t="shared" si="2"/>
        <v>5.992000000000001</v>
      </c>
      <c r="J52" s="703">
        <f t="shared" si="3"/>
        <v>1.8210079999999997</v>
      </c>
      <c r="K52" s="703">
        <f t="shared" si="4"/>
        <v>10.08</v>
      </c>
    </row>
    <row r="53" spans="1:11" ht="15" customHeight="1">
      <c r="A53" s="689" t="s">
        <v>1111</v>
      </c>
      <c r="B53" s="690">
        <v>35</v>
      </c>
      <c r="C53" s="691" t="s">
        <v>1067</v>
      </c>
      <c r="D53" s="692">
        <v>50</v>
      </c>
      <c r="E53" s="692">
        <v>90</v>
      </c>
      <c r="F53" s="693">
        <v>3.6</v>
      </c>
      <c r="G53" s="693">
        <v>0.788</v>
      </c>
      <c r="H53" s="693">
        <v>0.755</v>
      </c>
      <c r="I53" s="679">
        <f t="shared" si="2"/>
        <v>1.62</v>
      </c>
      <c r="J53" s="703">
        <f t="shared" si="3"/>
        <v>0.8120339999999999</v>
      </c>
      <c r="K53" s="703">
        <f t="shared" si="4"/>
        <v>0.4077</v>
      </c>
    </row>
    <row r="54" spans="1:11" ht="15" customHeight="1">
      <c r="A54" s="689" t="s">
        <v>1112</v>
      </c>
      <c r="B54" s="690">
        <v>3</v>
      </c>
      <c r="C54" s="691" t="s">
        <v>1061</v>
      </c>
      <c r="D54" s="692">
        <v>2000</v>
      </c>
      <c r="E54" s="692">
        <v>90</v>
      </c>
      <c r="F54" s="693">
        <v>4.444</v>
      </c>
      <c r="G54" s="693">
        <v>0.43</v>
      </c>
      <c r="H54" s="693">
        <v>3.333</v>
      </c>
      <c r="I54" s="679">
        <f t="shared" si="2"/>
        <v>79.992</v>
      </c>
      <c r="J54" s="703">
        <f t="shared" si="3"/>
        <v>17.724600000000002</v>
      </c>
      <c r="K54" s="703">
        <f t="shared" si="4"/>
        <v>71.9928</v>
      </c>
    </row>
    <row r="55" spans="1:11" ht="15" customHeight="1">
      <c r="A55" s="689" t="s">
        <v>1113</v>
      </c>
      <c r="B55" s="690">
        <v>6</v>
      </c>
      <c r="C55" s="691" t="s">
        <v>1061</v>
      </c>
      <c r="D55" s="692">
        <v>2000</v>
      </c>
      <c r="E55" s="692">
        <v>85</v>
      </c>
      <c r="F55" s="693">
        <v>1.705</v>
      </c>
      <c r="G55" s="693">
        <v>0.2823</v>
      </c>
      <c r="H55" s="693">
        <v>2.988</v>
      </c>
      <c r="I55" s="679">
        <f t="shared" si="2"/>
        <v>28.985</v>
      </c>
      <c r="J55" s="703">
        <f t="shared" si="3"/>
        <v>10.989939</v>
      </c>
      <c r="K55" s="703">
        <f t="shared" si="4"/>
        <v>60.9552</v>
      </c>
    </row>
    <row r="56" spans="1:11" ht="15" customHeight="1">
      <c r="A56" s="689" t="s">
        <v>1114</v>
      </c>
      <c r="B56" s="690">
        <v>30</v>
      </c>
      <c r="C56" s="691" t="s">
        <v>1067</v>
      </c>
      <c r="D56" s="692">
        <v>56</v>
      </c>
      <c r="E56" s="692">
        <v>86</v>
      </c>
      <c r="F56" s="693">
        <v>2.209</v>
      </c>
      <c r="G56" s="693">
        <v>0.372</v>
      </c>
      <c r="H56" s="693">
        <v>0.523</v>
      </c>
      <c r="I56" s="679">
        <f t="shared" si="2"/>
        <v>1.0638544</v>
      </c>
      <c r="J56" s="703">
        <f t="shared" si="3"/>
        <v>0.410265408</v>
      </c>
      <c r="K56" s="703">
        <f t="shared" si="4"/>
        <v>0.30225216</v>
      </c>
    </row>
    <row r="57" spans="1:11" ht="15" customHeight="1">
      <c r="A57" s="689" t="s">
        <v>1115</v>
      </c>
      <c r="B57" s="690">
        <v>1</v>
      </c>
      <c r="C57" s="691" t="s">
        <v>1061</v>
      </c>
      <c r="D57" s="692">
        <v>2000</v>
      </c>
      <c r="E57" s="692">
        <v>90</v>
      </c>
      <c r="F57" s="693">
        <v>0.5</v>
      </c>
      <c r="G57" s="693">
        <v>0.122</v>
      </c>
      <c r="H57" s="693">
        <v>0.688</v>
      </c>
      <c r="I57" s="679">
        <f t="shared" si="2"/>
        <v>9</v>
      </c>
      <c r="J57" s="703">
        <f t="shared" si="3"/>
        <v>5.02884</v>
      </c>
      <c r="K57" s="703">
        <f t="shared" si="4"/>
        <v>14.8608</v>
      </c>
    </row>
    <row r="58" spans="1:11" ht="15" customHeight="1">
      <c r="A58" s="689" t="s">
        <v>1116</v>
      </c>
      <c r="B58" s="690">
        <v>5</v>
      </c>
      <c r="C58" s="691" t="s">
        <v>1061</v>
      </c>
      <c r="D58" s="692">
        <v>2000</v>
      </c>
      <c r="E58" s="692">
        <v>85</v>
      </c>
      <c r="F58" s="693">
        <v>1.705</v>
      </c>
      <c r="G58" s="693">
        <v>0.294</v>
      </c>
      <c r="H58" s="693">
        <v>2.188</v>
      </c>
      <c r="I58" s="679">
        <f t="shared" si="2"/>
        <v>28.985</v>
      </c>
      <c r="J58" s="703">
        <f t="shared" si="3"/>
        <v>11.44542</v>
      </c>
      <c r="K58" s="703">
        <f t="shared" si="4"/>
        <v>44.6352</v>
      </c>
    </row>
    <row r="59" spans="1:11" ht="15" customHeight="1">
      <c r="A59" s="689" t="s">
        <v>1117</v>
      </c>
      <c r="B59" s="690">
        <v>60</v>
      </c>
      <c r="C59" s="691" t="s">
        <v>1067</v>
      </c>
      <c r="D59" s="692">
        <v>56</v>
      </c>
      <c r="E59" s="692">
        <v>86</v>
      </c>
      <c r="F59" s="693">
        <v>1.959</v>
      </c>
      <c r="G59" s="693">
        <v>0.36</v>
      </c>
      <c r="H59" s="693">
        <v>0.418</v>
      </c>
      <c r="I59" s="679">
        <f t="shared" si="2"/>
        <v>0.9434543999999999</v>
      </c>
      <c r="J59" s="703">
        <f t="shared" si="3"/>
        <v>0.39703103999999995</v>
      </c>
      <c r="K59" s="703">
        <f t="shared" si="4"/>
        <v>0.24157055999999996</v>
      </c>
    </row>
    <row r="60" spans="1:11" ht="15" customHeight="1">
      <c r="A60" s="689" t="s">
        <v>1118</v>
      </c>
      <c r="B60" s="690">
        <v>20</v>
      </c>
      <c r="C60" s="691" t="s">
        <v>1061</v>
      </c>
      <c r="D60" s="692">
        <v>2000</v>
      </c>
      <c r="E60" s="692">
        <v>26</v>
      </c>
      <c r="F60" s="693">
        <v>1.384</v>
      </c>
      <c r="G60" s="693">
        <v>0.2307</v>
      </c>
      <c r="H60" s="693">
        <v>2.5</v>
      </c>
      <c r="I60" s="679">
        <f t="shared" si="2"/>
        <v>7.196799999999999</v>
      </c>
      <c r="J60" s="703">
        <f t="shared" si="3"/>
        <v>2.7471756000000003</v>
      </c>
      <c r="K60" s="703">
        <f t="shared" si="4"/>
        <v>15.6</v>
      </c>
    </row>
    <row r="61" spans="1:11" ht="15" customHeight="1">
      <c r="A61" s="689" t="s">
        <v>1119</v>
      </c>
      <c r="B61" s="690">
        <v>3</v>
      </c>
      <c r="C61" s="691" t="s">
        <v>1061</v>
      </c>
      <c r="D61" s="692">
        <v>2000</v>
      </c>
      <c r="E61" s="692">
        <v>90</v>
      </c>
      <c r="F61" s="693">
        <v>1.077</v>
      </c>
      <c r="G61" s="693">
        <v>0.155</v>
      </c>
      <c r="H61" s="693">
        <v>1.333</v>
      </c>
      <c r="I61" s="679">
        <f t="shared" si="2"/>
        <v>19.386</v>
      </c>
      <c r="J61" s="703">
        <f t="shared" si="3"/>
        <v>6.3891</v>
      </c>
      <c r="K61" s="703">
        <f t="shared" si="4"/>
        <v>28.7928</v>
      </c>
    </row>
    <row r="62" spans="1:11" ht="15" customHeight="1">
      <c r="A62" s="689" t="s">
        <v>1120</v>
      </c>
      <c r="B62" s="690">
        <v>10</v>
      </c>
      <c r="C62" s="691" t="s">
        <v>1061</v>
      </c>
      <c r="D62" s="692">
        <v>2000</v>
      </c>
      <c r="E62" s="692">
        <v>23</v>
      </c>
      <c r="F62" s="693">
        <v>1.521</v>
      </c>
      <c r="G62" s="693">
        <v>0.391</v>
      </c>
      <c r="H62" s="693">
        <v>2.26</v>
      </c>
      <c r="I62" s="679">
        <f t="shared" si="2"/>
        <v>6.9966</v>
      </c>
      <c r="J62" s="703">
        <f t="shared" si="3"/>
        <v>4.118794</v>
      </c>
      <c r="K62" s="703">
        <f t="shared" si="4"/>
        <v>12.4752</v>
      </c>
    </row>
    <row r="63" spans="1:11" ht="15" customHeight="1">
      <c r="A63" s="689" t="s">
        <v>1121</v>
      </c>
      <c r="B63" s="690">
        <v>35</v>
      </c>
      <c r="C63" s="691" t="s">
        <v>1067</v>
      </c>
      <c r="D63" s="692">
        <v>60</v>
      </c>
      <c r="E63" s="692">
        <v>86</v>
      </c>
      <c r="F63" s="693">
        <v>6.41</v>
      </c>
      <c r="G63" s="693">
        <v>0.651</v>
      </c>
      <c r="H63" s="693">
        <v>1.883</v>
      </c>
      <c r="I63" s="679">
        <f t="shared" si="2"/>
        <v>3.3075600000000005</v>
      </c>
      <c r="J63" s="703">
        <f t="shared" si="3"/>
        <v>0.76924764</v>
      </c>
      <c r="K63" s="703">
        <f t="shared" si="4"/>
        <v>1.1659536</v>
      </c>
    </row>
    <row r="64" spans="1:11" ht="15" customHeight="1">
      <c r="A64" s="689" t="s">
        <v>1122</v>
      </c>
      <c r="B64" s="690"/>
      <c r="C64" s="691" t="s">
        <v>1061</v>
      </c>
      <c r="D64" s="692">
        <v>2000</v>
      </c>
      <c r="E64" s="692">
        <v>85</v>
      </c>
      <c r="F64" s="693">
        <v>0.905</v>
      </c>
      <c r="G64" s="693">
        <v>0.235</v>
      </c>
      <c r="H64" s="693">
        <v>1.105</v>
      </c>
      <c r="I64" s="679">
        <f t="shared" si="2"/>
        <v>15.385000000000002</v>
      </c>
      <c r="J64" s="703">
        <f t="shared" si="3"/>
        <v>9.148549999999998</v>
      </c>
      <c r="K64" s="703">
        <f t="shared" si="4"/>
        <v>22.541999999999998</v>
      </c>
    </row>
    <row r="65" spans="1:11" ht="15" customHeight="1">
      <c r="A65" s="689" t="s">
        <v>1123</v>
      </c>
      <c r="B65" s="690">
        <v>80</v>
      </c>
      <c r="C65" s="691" t="s">
        <v>1081</v>
      </c>
      <c r="D65" s="692">
        <v>100</v>
      </c>
      <c r="E65" s="692">
        <v>9</v>
      </c>
      <c r="F65" s="693">
        <v>4.66</v>
      </c>
      <c r="G65" s="693">
        <v>0.555</v>
      </c>
      <c r="H65" s="693">
        <v>6.22</v>
      </c>
      <c r="I65" s="679">
        <f t="shared" si="2"/>
        <v>0.4194</v>
      </c>
      <c r="J65" s="703">
        <f t="shared" si="3"/>
        <v>0.1143855</v>
      </c>
      <c r="K65" s="703">
        <f t="shared" si="4"/>
        <v>0.6717599999999999</v>
      </c>
    </row>
    <row r="66" spans="1:11" ht="15" customHeight="1">
      <c r="A66" s="689" t="s">
        <v>1124</v>
      </c>
      <c r="B66" s="690">
        <v>50</v>
      </c>
      <c r="C66" s="691" t="s">
        <v>1067</v>
      </c>
      <c r="D66" s="692">
        <v>25</v>
      </c>
      <c r="E66" s="692">
        <v>90</v>
      </c>
      <c r="F66" s="693">
        <v>3.2</v>
      </c>
      <c r="G66" s="693">
        <v>0.622</v>
      </c>
      <c r="H66" s="693">
        <v>1.11</v>
      </c>
      <c r="I66" s="679">
        <f t="shared" si="2"/>
        <v>0.72</v>
      </c>
      <c r="J66" s="703">
        <f t="shared" si="3"/>
        <v>0.3204855</v>
      </c>
      <c r="K66" s="703">
        <f t="shared" si="4"/>
        <v>0.29969999999999997</v>
      </c>
    </row>
    <row r="67" spans="1:11" ht="15" customHeight="1">
      <c r="A67" s="689" t="s">
        <v>1125</v>
      </c>
      <c r="B67" s="694">
        <v>1100</v>
      </c>
      <c r="C67" s="691" t="s">
        <v>1126</v>
      </c>
      <c r="D67" s="692">
        <v>1</v>
      </c>
      <c r="E67" s="692">
        <v>90</v>
      </c>
      <c r="F67" s="693">
        <v>2.7</v>
      </c>
      <c r="G67" s="693">
        <v>0.622</v>
      </c>
      <c r="H67" s="693">
        <v>1.11</v>
      </c>
      <c r="I67" s="679">
        <f t="shared" si="2"/>
        <v>0.024300000000000002</v>
      </c>
      <c r="J67" s="703">
        <f t="shared" si="3"/>
        <v>0.01281942</v>
      </c>
      <c r="K67" s="703">
        <f t="shared" si="4"/>
        <v>0.011988</v>
      </c>
    </row>
    <row r="68" spans="1:11" ht="15" customHeight="1">
      <c r="A68" s="689" t="s">
        <v>1127</v>
      </c>
      <c r="B68" s="690">
        <v>4</v>
      </c>
      <c r="C68" s="691" t="s">
        <v>1061</v>
      </c>
      <c r="D68" s="692">
        <v>2000</v>
      </c>
      <c r="E68" s="692">
        <v>90</v>
      </c>
      <c r="F68" s="693">
        <v>1.5</v>
      </c>
      <c r="G68" s="693">
        <v>0.177</v>
      </c>
      <c r="H68" s="693">
        <v>2.922</v>
      </c>
      <c r="I68" s="679">
        <f t="shared" si="2"/>
        <v>27</v>
      </c>
      <c r="J68" s="703">
        <f t="shared" si="3"/>
        <v>7.29594</v>
      </c>
      <c r="K68" s="703">
        <f t="shared" si="4"/>
        <v>63.1152</v>
      </c>
    </row>
    <row r="69" spans="1:11" ht="15" customHeight="1">
      <c r="A69" s="689" t="s">
        <v>1128</v>
      </c>
      <c r="B69" s="690">
        <v>2</v>
      </c>
      <c r="C69" s="691" t="s">
        <v>1061</v>
      </c>
      <c r="D69" s="692">
        <v>2000</v>
      </c>
      <c r="E69" s="692">
        <v>85</v>
      </c>
      <c r="F69" s="693">
        <v>2.611</v>
      </c>
      <c r="G69" s="693">
        <v>0.27</v>
      </c>
      <c r="H69" s="693">
        <v>1.647</v>
      </c>
      <c r="I69" s="679">
        <f t="shared" si="2"/>
        <v>44.387</v>
      </c>
      <c r="J69" s="703">
        <f t="shared" si="3"/>
        <v>10.511099999999999</v>
      </c>
      <c r="K69" s="703">
        <f t="shared" si="4"/>
        <v>33.5988</v>
      </c>
    </row>
    <row r="70" spans="1:11" ht="15" customHeight="1">
      <c r="A70" s="689" t="s">
        <v>1129</v>
      </c>
      <c r="B70" s="690">
        <v>3</v>
      </c>
      <c r="C70" s="691" t="s">
        <v>1061</v>
      </c>
      <c r="D70" s="692">
        <v>2000</v>
      </c>
      <c r="E70" s="692">
        <v>85</v>
      </c>
      <c r="F70" s="693">
        <v>1.152</v>
      </c>
      <c r="G70" s="693">
        <v>0.105</v>
      </c>
      <c r="H70" s="693">
        <v>1.905</v>
      </c>
      <c r="I70" s="679">
        <f t="shared" si="2"/>
        <v>19.584</v>
      </c>
      <c r="J70" s="703">
        <f t="shared" si="3"/>
        <v>4.08765</v>
      </c>
      <c r="K70" s="703">
        <f t="shared" si="4"/>
        <v>38.862</v>
      </c>
    </row>
    <row r="71" spans="1:11" ht="15" customHeight="1">
      <c r="A71" s="689" t="s">
        <v>1130</v>
      </c>
      <c r="B71" s="690">
        <v>3</v>
      </c>
      <c r="C71" s="691" t="s">
        <v>1061</v>
      </c>
      <c r="D71" s="692">
        <v>2000</v>
      </c>
      <c r="E71" s="692">
        <v>85</v>
      </c>
      <c r="F71" s="693">
        <v>1.964</v>
      </c>
      <c r="G71" s="693">
        <v>0.2</v>
      </c>
      <c r="H71" s="693">
        <v>2</v>
      </c>
      <c r="I71" s="679">
        <f aca="true" t="shared" si="5" ref="I71:I82">$D71*($E71/100)*(F71/100)</f>
        <v>33.388000000000005</v>
      </c>
      <c r="J71" s="703">
        <f t="shared" si="3"/>
        <v>7.786</v>
      </c>
      <c r="K71" s="703">
        <f t="shared" si="4"/>
        <v>40.8</v>
      </c>
    </row>
    <row r="72" spans="1:11" ht="15" customHeight="1">
      <c r="A72" s="689" t="s">
        <v>1131</v>
      </c>
      <c r="B72" s="690">
        <v>2</v>
      </c>
      <c r="C72" s="691" t="s">
        <v>1061</v>
      </c>
      <c r="D72" s="692">
        <v>2000</v>
      </c>
      <c r="E72" s="692">
        <v>85</v>
      </c>
      <c r="F72" s="693">
        <v>1.176</v>
      </c>
      <c r="G72" s="693">
        <v>0.223</v>
      </c>
      <c r="H72" s="693">
        <v>1.623</v>
      </c>
      <c r="I72" s="679">
        <f t="shared" si="5"/>
        <v>19.992</v>
      </c>
      <c r="J72" s="703">
        <f t="shared" si="3"/>
        <v>8.68139</v>
      </c>
      <c r="K72" s="703">
        <f t="shared" si="4"/>
        <v>33.1092</v>
      </c>
    </row>
    <row r="73" spans="1:11" ht="15" customHeight="1">
      <c r="A73" s="689" t="s">
        <v>1132</v>
      </c>
      <c r="B73" s="690">
        <v>22</v>
      </c>
      <c r="C73" s="691" t="s">
        <v>1061</v>
      </c>
      <c r="D73" s="692">
        <v>2000</v>
      </c>
      <c r="E73" s="692">
        <v>6</v>
      </c>
      <c r="F73" s="693">
        <v>3.166</v>
      </c>
      <c r="G73" s="693">
        <v>0.666</v>
      </c>
      <c r="H73" s="693">
        <v>5.5</v>
      </c>
      <c r="I73" s="679">
        <f t="shared" si="5"/>
        <v>3.7992</v>
      </c>
      <c r="J73" s="703">
        <f t="shared" si="3"/>
        <v>1.830168</v>
      </c>
      <c r="K73" s="703">
        <f t="shared" si="4"/>
        <v>7.919999999999999</v>
      </c>
    </row>
    <row r="74" spans="1:11" ht="15" customHeight="1">
      <c r="A74" s="689" t="s">
        <v>1133</v>
      </c>
      <c r="B74" s="690">
        <v>3</v>
      </c>
      <c r="C74" s="691" t="s">
        <v>1061</v>
      </c>
      <c r="D74" s="692">
        <v>2000</v>
      </c>
      <c r="E74" s="692">
        <v>85</v>
      </c>
      <c r="F74" s="693">
        <v>3.094</v>
      </c>
      <c r="G74" s="693">
        <v>0.223</v>
      </c>
      <c r="H74" s="693">
        <v>1.823</v>
      </c>
      <c r="I74" s="679">
        <f t="shared" si="5"/>
        <v>52.598</v>
      </c>
      <c r="J74" s="703">
        <f t="shared" si="3"/>
        <v>8.68139</v>
      </c>
      <c r="K74" s="703">
        <f t="shared" si="4"/>
        <v>37.1892</v>
      </c>
    </row>
    <row r="75" spans="1:11" ht="15" customHeight="1">
      <c r="A75" s="689" t="s">
        <v>1134</v>
      </c>
      <c r="B75" s="690"/>
      <c r="C75" s="691" t="s">
        <v>1067</v>
      </c>
      <c r="D75" s="692">
        <v>60</v>
      </c>
      <c r="E75" s="692">
        <v>86</v>
      </c>
      <c r="F75" s="693">
        <v>3.016</v>
      </c>
      <c r="G75" s="693">
        <v>0.34</v>
      </c>
      <c r="H75" s="693">
        <v>0.57</v>
      </c>
      <c r="I75" s="679">
        <f t="shared" si="5"/>
        <v>1.556256</v>
      </c>
      <c r="J75" s="703">
        <f t="shared" si="3"/>
        <v>0.40175760000000005</v>
      </c>
      <c r="K75" s="703">
        <f t="shared" si="4"/>
        <v>0.352944</v>
      </c>
    </row>
    <row r="76" spans="1:11" ht="15" customHeight="1">
      <c r="A76" s="689" t="s">
        <v>1135</v>
      </c>
      <c r="B76" s="690">
        <v>40</v>
      </c>
      <c r="C76" s="691" t="s">
        <v>1067</v>
      </c>
      <c r="D76" s="692">
        <v>60</v>
      </c>
      <c r="E76" s="692">
        <v>86</v>
      </c>
      <c r="F76" s="693">
        <v>2.604</v>
      </c>
      <c r="G76" s="693">
        <v>0.616</v>
      </c>
      <c r="H76" s="693">
        <v>0.523</v>
      </c>
      <c r="I76" s="679">
        <f t="shared" si="5"/>
        <v>1.343664</v>
      </c>
      <c r="J76" s="703">
        <f t="shared" si="3"/>
        <v>0.7278902399999999</v>
      </c>
      <c r="K76" s="703">
        <f t="shared" si="4"/>
        <v>0.3238416</v>
      </c>
    </row>
    <row r="77" spans="1:11" ht="15" customHeight="1">
      <c r="A77" s="689" t="s">
        <v>1136</v>
      </c>
      <c r="B77" s="690">
        <v>40</v>
      </c>
      <c r="C77" s="691" t="s">
        <v>1067</v>
      </c>
      <c r="D77" s="692">
        <v>60</v>
      </c>
      <c r="E77" s="692">
        <v>86</v>
      </c>
      <c r="F77" s="693">
        <v>2.302</v>
      </c>
      <c r="G77" s="693">
        <v>0.616</v>
      </c>
      <c r="H77" s="693">
        <v>0.523</v>
      </c>
      <c r="I77" s="679">
        <f t="shared" si="5"/>
        <v>1.187832</v>
      </c>
      <c r="J77" s="703">
        <f t="shared" si="3"/>
        <v>0.7278902399999999</v>
      </c>
      <c r="K77" s="703">
        <f t="shared" si="4"/>
        <v>0.3238416</v>
      </c>
    </row>
    <row r="78" spans="1:11" ht="15" customHeight="1">
      <c r="A78" s="689" t="s">
        <v>1137</v>
      </c>
      <c r="B78" s="690">
        <v>40</v>
      </c>
      <c r="C78" s="691" t="s">
        <v>1067</v>
      </c>
      <c r="D78" s="692">
        <v>60</v>
      </c>
      <c r="E78" s="692">
        <v>86</v>
      </c>
      <c r="F78" s="693">
        <v>2.093</v>
      </c>
      <c r="G78" s="693">
        <v>0.616</v>
      </c>
      <c r="H78" s="693">
        <v>0.523</v>
      </c>
      <c r="I78" s="679">
        <f t="shared" si="5"/>
        <v>1.0799880000000002</v>
      </c>
      <c r="J78" s="703">
        <f t="shared" si="3"/>
        <v>0.7278902399999999</v>
      </c>
      <c r="K78" s="703">
        <f t="shared" si="4"/>
        <v>0.3238416</v>
      </c>
    </row>
    <row r="79" spans="1:11" ht="15" customHeight="1">
      <c r="A79" s="689" t="s">
        <v>1138</v>
      </c>
      <c r="B79" s="690">
        <v>40</v>
      </c>
      <c r="C79" s="691" t="s">
        <v>1067</v>
      </c>
      <c r="D79" s="692">
        <v>60</v>
      </c>
      <c r="E79" s="692">
        <v>86</v>
      </c>
      <c r="F79" s="693">
        <v>2.6</v>
      </c>
      <c r="G79" s="693">
        <v>0.616</v>
      </c>
      <c r="H79" s="693">
        <v>0.523</v>
      </c>
      <c r="I79" s="679">
        <f t="shared" si="5"/>
        <v>1.3416000000000001</v>
      </c>
      <c r="J79" s="703">
        <f t="shared" si="3"/>
        <v>0.7278902399999999</v>
      </c>
      <c r="K79" s="703">
        <f t="shared" si="4"/>
        <v>0.3238416</v>
      </c>
    </row>
    <row r="80" spans="1:11" ht="15" customHeight="1">
      <c r="A80" s="689" t="s">
        <v>1139</v>
      </c>
      <c r="B80" s="690">
        <v>40</v>
      </c>
      <c r="C80" s="691" t="s">
        <v>1067</v>
      </c>
      <c r="D80" s="692">
        <v>60</v>
      </c>
      <c r="E80" s="692">
        <v>86</v>
      </c>
      <c r="F80" s="693">
        <v>1.802</v>
      </c>
      <c r="G80" s="693">
        <v>0.616</v>
      </c>
      <c r="H80" s="693">
        <v>0.523</v>
      </c>
      <c r="I80" s="679">
        <f t="shared" si="5"/>
        <v>0.9298320000000001</v>
      </c>
      <c r="J80" s="703">
        <f t="shared" si="3"/>
        <v>0.7278902399999999</v>
      </c>
      <c r="K80" s="703">
        <f t="shared" si="4"/>
        <v>0.3238416</v>
      </c>
    </row>
    <row r="81" spans="1:11" ht="15" customHeight="1">
      <c r="A81" s="689" t="s">
        <v>1140</v>
      </c>
      <c r="B81" s="690"/>
      <c r="C81" s="691" t="s">
        <v>1061</v>
      </c>
      <c r="D81" s="692">
        <v>2000</v>
      </c>
      <c r="E81" s="692">
        <v>90</v>
      </c>
      <c r="F81" s="693">
        <v>0.666</v>
      </c>
      <c r="G81" s="693">
        <v>0.0666</v>
      </c>
      <c r="H81" s="693">
        <v>1.166</v>
      </c>
      <c r="I81" s="679">
        <f t="shared" si="5"/>
        <v>11.988</v>
      </c>
      <c r="J81" s="703">
        <f t="shared" si="3"/>
        <v>2.7452520000000002</v>
      </c>
      <c r="K81" s="703">
        <f t="shared" si="4"/>
        <v>25.185599999999994</v>
      </c>
    </row>
    <row r="82" spans="1:11" ht="15" customHeight="1">
      <c r="A82" s="689" t="s">
        <v>1141</v>
      </c>
      <c r="B82" s="690">
        <v>1</v>
      </c>
      <c r="C82" s="691" t="s">
        <v>1061</v>
      </c>
      <c r="D82" s="692">
        <v>2000</v>
      </c>
      <c r="E82" s="692">
        <v>85</v>
      </c>
      <c r="F82" s="693">
        <v>1.411</v>
      </c>
      <c r="G82" s="693">
        <v>0.27</v>
      </c>
      <c r="H82" s="693">
        <v>2.682</v>
      </c>
      <c r="I82" s="679">
        <f t="shared" si="5"/>
        <v>23.987000000000002</v>
      </c>
      <c r="J82" s="703">
        <f t="shared" si="3"/>
        <v>10.511099999999999</v>
      </c>
      <c r="K82" s="703">
        <f t="shared" si="4"/>
        <v>54.7128</v>
      </c>
    </row>
    <row r="83" spans="1:11" ht="15" customHeight="1">
      <c r="A83" s="695"/>
      <c r="B83" s="690"/>
      <c r="C83" s="691"/>
      <c r="D83" s="692"/>
      <c r="E83" s="692"/>
      <c r="F83" s="693"/>
      <c r="G83" s="693"/>
      <c r="H83" s="693"/>
      <c r="I83" s="679"/>
      <c r="J83" s="677"/>
      <c r="K83" s="677"/>
    </row>
    <row r="84" spans="1:11" ht="15" customHeight="1">
      <c r="A84" s="696"/>
      <c r="B84" s="697"/>
      <c r="C84" s="698"/>
      <c r="D84" s="699"/>
      <c r="E84" s="699"/>
      <c r="F84" s="700"/>
      <c r="G84" s="700"/>
      <c r="H84" s="700"/>
      <c r="I84" s="680"/>
      <c r="J84" s="678"/>
      <c r="K84" s="678"/>
    </row>
    <row r="85" spans="1:10" ht="15" customHeight="1">
      <c r="A85" s="2037" t="s">
        <v>1142</v>
      </c>
      <c r="B85" s="2038"/>
      <c r="C85" s="2038"/>
      <c r="D85" s="2038"/>
      <c r="E85" s="2038"/>
      <c r="F85" s="2038"/>
      <c r="G85" s="2038"/>
      <c r="H85" s="2039"/>
      <c r="I85" s="550"/>
      <c r="J85" s="459"/>
    </row>
    <row r="86" spans="1:10" ht="15" customHeight="1">
      <c r="A86" s="2040"/>
      <c r="B86" s="2041"/>
      <c r="C86" s="2041"/>
      <c r="D86" s="2041"/>
      <c r="E86" s="2041"/>
      <c r="F86" s="2041"/>
      <c r="G86" s="2041"/>
      <c r="H86" s="2042"/>
      <c r="I86" s="550"/>
      <c r="J86" s="459"/>
    </row>
    <row r="87" spans="1:10" ht="15" customHeight="1">
      <c r="A87" s="2040"/>
      <c r="B87" s="2041"/>
      <c r="C87" s="2041"/>
      <c r="D87" s="2041"/>
      <c r="E87" s="2041"/>
      <c r="F87" s="2041"/>
      <c r="G87" s="2041"/>
      <c r="H87" s="2042"/>
      <c r="I87" s="550"/>
      <c r="J87" s="459"/>
    </row>
    <row r="88" spans="1:10" ht="15" customHeight="1">
      <c r="A88" s="2043"/>
      <c r="B88" s="2044"/>
      <c r="C88" s="2044"/>
      <c r="D88" s="2044"/>
      <c r="E88" s="2044"/>
      <c r="F88" s="2044"/>
      <c r="G88" s="2044"/>
      <c r="H88" s="2045"/>
      <c r="I88" s="551"/>
      <c r="J88" s="459"/>
    </row>
    <row r="89" spans="1:10" ht="12.75">
      <c r="A89" s="2048" t="s">
        <v>1143</v>
      </c>
      <c r="B89" s="1229"/>
      <c r="C89" s="1229"/>
      <c r="D89" s="1229"/>
      <c r="E89" s="2097"/>
      <c r="F89" s="548"/>
      <c r="G89" s="476"/>
      <c r="H89" s="476"/>
      <c r="J89" s="459"/>
    </row>
    <row r="90" spans="1:8" ht="12.75">
      <c r="A90" s="2051"/>
      <c r="B90" s="2052"/>
      <c r="C90" s="2052"/>
      <c r="D90" s="2052"/>
      <c r="E90" s="2098"/>
      <c r="F90" s="553"/>
      <c r="G90" s="553"/>
      <c r="H90" s="553"/>
    </row>
    <row r="91" spans="1:5" ht="45">
      <c r="A91" s="2046" t="s">
        <v>1144</v>
      </c>
      <c r="B91" s="554" t="s">
        <v>1145</v>
      </c>
      <c r="C91" s="554" t="s">
        <v>1146</v>
      </c>
      <c r="D91" s="554" t="s">
        <v>1147</v>
      </c>
      <c r="E91" s="554" t="s">
        <v>1148</v>
      </c>
    </row>
    <row r="92" spans="1:6" ht="13.5" customHeight="1">
      <c r="A92" s="2047"/>
      <c r="B92" s="2099" t="s">
        <v>1149</v>
      </c>
      <c r="C92" s="2100"/>
      <c r="D92" s="2100"/>
      <c r="E92" s="2101"/>
      <c r="F92" s="555"/>
    </row>
    <row r="93" spans="1:5" ht="12.75">
      <c r="A93" s="556">
        <v>0</v>
      </c>
      <c r="B93" s="557">
        <v>0</v>
      </c>
      <c r="C93" s="557">
        <v>0</v>
      </c>
      <c r="D93" s="557">
        <v>0</v>
      </c>
      <c r="E93" s="557">
        <v>0</v>
      </c>
    </row>
    <row r="94" spans="1:5" ht="12.75">
      <c r="A94" s="558">
        <v>2</v>
      </c>
      <c r="B94" s="559">
        <v>10</v>
      </c>
      <c r="C94" s="559">
        <v>10</v>
      </c>
      <c r="D94" s="559">
        <v>20</v>
      </c>
      <c r="E94" s="559">
        <v>30</v>
      </c>
    </row>
    <row r="95" spans="1:5" ht="12.75">
      <c r="A95" s="558">
        <v>4</v>
      </c>
      <c r="B95" s="559">
        <v>20</v>
      </c>
      <c r="C95" s="559">
        <v>25</v>
      </c>
      <c r="D95" s="559">
        <v>40</v>
      </c>
      <c r="E95" s="559">
        <v>65</v>
      </c>
    </row>
    <row r="96" spans="1:5" ht="12.75">
      <c r="A96" s="558">
        <v>6</v>
      </c>
      <c r="B96" s="559">
        <v>30</v>
      </c>
      <c r="C96" s="559">
        <v>35</v>
      </c>
      <c r="D96" s="559">
        <v>60</v>
      </c>
      <c r="E96" s="559">
        <v>100</v>
      </c>
    </row>
    <row r="97" spans="1:5" ht="12.75">
      <c r="A97" s="558">
        <v>8</v>
      </c>
      <c r="B97" s="559">
        <v>40</v>
      </c>
      <c r="C97" s="559">
        <v>50</v>
      </c>
      <c r="D97" s="559">
        <v>80</v>
      </c>
      <c r="E97" s="559">
        <v>100</v>
      </c>
    </row>
    <row r="98" spans="1:5" ht="12.75">
      <c r="A98" s="558">
        <v>10</v>
      </c>
      <c r="B98" s="559">
        <v>50</v>
      </c>
      <c r="C98" s="559">
        <v>60</v>
      </c>
      <c r="D98" s="559">
        <v>100</v>
      </c>
      <c r="E98" s="559">
        <v>100</v>
      </c>
    </row>
    <row r="99" spans="1:5" ht="12.75">
      <c r="A99" s="558">
        <v>12</v>
      </c>
      <c r="B99" s="559">
        <v>60</v>
      </c>
      <c r="C99" s="559">
        <v>70</v>
      </c>
      <c r="D99" s="559">
        <v>100</v>
      </c>
      <c r="E99" s="559">
        <v>100</v>
      </c>
    </row>
    <row r="100" spans="1:5" ht="12.75">
      <c r="A100" s="558">
        <v>14</v>
      </c>
      <c r="B100" s="559">
        <v>70</v>
      </c>
      <c r="C100" s="559">
        <v>85</v>
      </c>
      <c r="D100" s="559">
        <v>100</v>
      </c>
      <c r="E100" s="559">
        <v>100</v>
      </c>
    </row>
    <row r="101" spans="1:5" ht="12.75">
      <c r="A101" s="558">
        <v>16</v>
      </c>
      <c r="B101" s="559">
        <v>80</v>
      </c>
      <c r="C101" s="559">
        <v>100</v>
      </c>
      <c r="D101" s="559">
        <v>100</v>
      </c>
      <c r="E101" s="559">
        <v>100</v>
      </c>
    </row>
    <row r="102" spans="1:5" ht="12.75">
      <c r="A102" s="558">
        <v>18</v>
      </c>
      <c r="B102" s="559">
        <v>90</v>
      </c>
      <c r="C102" s="559">
        <v>100</v>
      </c>
      <c r="D102" s="559">
        <v>100</v>
      </c>
      <c r="E102" s="559">
        <v>100</v>
      </c>
    </row>
    <row r="103" spans="1:5" ht="13.5" customHeight="1">
      <c r="A103" s="560">
        <v>20</v>
      </c>
      <c r="B103" s="561">
        <v>100</v>
      </c>
      <c r="C103" s="561">
        <v>100</v>
      </c>
      <c r="D103" s="561">
        <v>100</v>
      </c>
      <c r="E103" s="561">
        <v>100</v>
      </c>
    </row>
    <row r="104" spans="1:5" ht="19.5" customHeight="1">
      <c r="A104" s="2040" t="s">
        <v>1150</v>
      </c>
      <c r="B104" s="2041"/>
      <c r="C104" s="2041"/>
      <c r="D104" s="2041"/>
      <c r="E104" s="2042"/>
    </row>
    <row r="105" spans="1:5" ht="19.5" customHeight="1">
      <c r="A105" s="2043"/>
      <c r="B105" s="2044"/>
      <c r="C105" s="2044"/>
      <c r="D105" s="2044"/>
      <c r="E105" s="2045"/>
    </row>
    <row r="106" spans="1:11" ht="15" customHeight="1">
      <c r="A106" s="1931" t="s">
        <v>1151</v>
      </c>
      <c r="B106" s="1932"/>
      <c r="C106" s="1932"/>
      <c r="D106" s="1932"/>
      <c r="E106" s="1932"/>
      <c r="F106" s="1932"/>
      <c r="G106" s="1932"/>
      <c r="H106" s="1932"/>
      <c r="I106" s="1932"/>
      <c r="J106" s="1932"/>
      <c r="K106" s="1933"/>
    </row>
    <row r="107" spans="1:11" ht="15" customHeight="1">
      <c r="A107" s="1937"/>
      <c r="B107" s="1938"/>
      <c r="C107" s="1938"/>
      <c r="D107" s="1938"/>
      <c r="E107" s="1938"/>
      <c r="F107" s="1938"/>
      <c r="G107" s="1938"/>
      <c r="H107" s="1938"/>
      <c r="I107" s="1938"/>
      <c r="J107" s="1938"/>
      <c r="K107" s="1939"/>
    </row>
    <row r="108" spans="1:11" ht="15" customHeight="1">
      <c r="A108" s="2091" t="s">
        <v>1152</v>
      </c>
      <c r="B108" s="2093" t="s">
        <v>584</v>
      </c>
      <c r="C108" s="2094" t="s">
        <v>1153</v>
      </c>
      <c r="D108" s="2095"/>
      <c r="E108" s="2095"/>
      <c r="F108" s="2095"/>
      <c r="G108" s="2095"/>
      <c r="H108" s="2095"/>
      <c r="I108" s="2095"/>
      <c r="J108" s="2095"/>
      <c r="K108" s="2096"/>
    </row>
    <row r="109" spans="1:11" ht="30" customHeight="1">
      <c r="A109" s="2091"/>
      <c r="B109" s="2093"/>
      <c r="C109" s="2089" t="s">
        <v>54</v>
      </c>
      <c r="D109" s="2046" t="s">
        <v>1154</v>
      </c>
      <c r="E109" s="2046" t="s">
        <v>1155</v>
      </c>
      <c r="F109" s="2046" t="s">
        <v>1156</v>
      </c>
      <c r="G109" s="2046" t="s">
        <v>1157</v>
      </c>
      <c r="H109" s="2046" t="s">
        <v>1158</v>
      </c>
      <c r="I109" s="2046" t="s">
        <v>1159</v>
      </c>
      <c r="J109" s="2089" t="s">
        <v>1160</v>
      </c>
      <c r="K109" s="1457" t="s">
        <v>1161</v>
      </c>
    </row>
    <row r="110" spans="1:11" ht="30" customHeight="1">
      <c r="A110" s="2092"/>
      <c r="B110" s="2047"/>
      <c r="C110" s="2090"/>
      <c r="D110" s="2047"/>
      <c r="E110" s="2047"/>
      <c r="F110" s="2047"/>
      <c r="G110" s="2047"/>
      <c r="H110" s="2047"/>
      <c r="I110" s="2047"/>
      <c r="J110" s="2090"/>
      <c r="K110" s="2090"/>
    </row>
    <row r="111" spans="1:11" ht="15" customHeight="1">
      <c r="A111" s="562" t="s">
        <v>1162</v>
      </c>
      <c r="B111" s="562" t="s">
        <v>1163</v>
      </c>
      <c r="C111" s="563">
        <f>4-(J111*K111)</f>
        <v>2.5</v>
      </c>
      <c r="D111" s="564">
        <f>4*0.3</f>
        <v>1.2</v>
      </c>
      <c r="E111" s="564">
        <f>4*0.075</f>
        <v>0.3</v>
      </c>
      <c r="F111" s="564">
        <f>4*0.045</f>
        <v>0.18</v>
      </c>
      <c r="G111" s="564">
        <f>9*0.8</f>
        <v>7.2</v>
      </c>
      <c r="H111" s="564">
        <f>9*0.6</f>
        <v>5.3999999999999995</v>
      </c>
      <c r="I111" s="565">
        <v>5</v>
      </c>
      <c r="J111" s="566">
        <v>2</v>
      </c>
      <c r="K111" s="563">
        <v>0.75</v>
      </c>
    </row>
    <row r="112" spans="1:11" ht="15" customHeight="1">
      <c r="A112" s="567" t="s">
        <v>1164</v>
      </c>
      <c r="B112" s="567" t="s">
        <v>1165</v>
      </c>
      <c r="C112" s="568">
        <v>23</v>
      </c>
      <c r="D112" s="564">
        <f>23*0.35</f>
        <v>8.049999999999999</v>
      </c>
      <c r="E112" s="564">
        <f>23*0.125</f>
        <v>2.875</v>
      </c>
      <c r="F112" s="564">
        <f>23*0.075</f>
        <v>1.7249999999999999</v>
      </c>
      <c r="G112" s="564">
        <f>24*0.8</f>
        <v>19.200000000000003</v>
      </c>
      <c r="H112" s="564">
        <f>24*0.6</f>
        <v>14.399999999999999</v>
      </c>
      <c r="I112" s="565">
        <v>41</v>
      </c>
      <c r="J112" s="569">
        <v>7</v>
      </c>
      <c r="K112" s="568"/>
    </row>
    <row r="113" spans="1:11" ht="15" customHeight="1">
      <c r="A113" s="567" t="s">
        <v>1166</v>
      </c>
      <c r="B113" s="567" t="s">
        <v>1165</v>
      </c>
      <c r="C113" s="568">
        <v>56</v>
      </c>
      <c r="D113" s="564">
        <f>56*0.35</f>
        <v>19.599999999999998</v>
      </c>
      <c r="E113" s="564">
        <f>56*0.125</f>
        <v>7</v>
      </c>
      <c r="F113" s="564">
        <f>56*0.075</f>
        <v>4.2</v>
      </c>
      <c r="G113" s="564">
        <f>45*0.8</f>
        <v>36</v>
      </c>
      <c r="H113" s="564">
        <f>45*0.6</f>
        <v>27</v>
      </c>
      <c r="I113" s="565">
        <v>34</v>
      </c>
      <c r="J113" s="569">
        <v>36</v>
      </c>
      <c r="K113" s="568"/>
    </row>
    <row r="114" spans="1:11" ht="15" customHeight="1">
      <c r="A114" s="567" t="s">
        <v>1167</v>
      </c>
      <c r="B114" s="567" t="s">
        <v>1165</v>
      </c>
      <c r="C114" s="568">
        <v>33</v>
      </c>
      <c r="D114" s="564">
        <f>33*0.35</f>
        <v>11.549999999999999</v>
      </c>
      <c r="E114" s="564">
        <f>33*0.125</f>
        <v>4.125</v>
      </c>
      <c r="F114" s="564">
        <f>33*0.075</f>
        <v>2.475</v>
      </c>
      <c r="G114" s="564">
        <f>48*0.8</f>
        <v>38.400000000000006</v>
      </c>
      <c r="H114" s="564">
        <f>48*0.6</f>
        <v>28.799999999999997</v>
      </c>
      <c r="I114" s="565">
        <v>34</v>
      </c>
      <c r="J114" s="569">
        <v>26</v>
      </c>
      <c r="K114" s="568"/>
    </row>
    <row r="115" spans="1:11" ht="15" customHeight="1">
      <c r="A115" s="567" t="s">
        <v>1168</v>
      </c>
      <c r="B115" s="567" t="s">
        <v>1163</v>
      </c>
      <c r="C115" s="568">
        <f>4-(J115*K115)</f>
        <v>2.5</v>
      </c>
      <c r="D115" s="564">
        <f>4*0.3</f>
        <v>1.2</v>
      </c>
      <c r="E115" s="564">
        <f>4*0.075</f>
        <v>0.3</v>
      </c>
      <c r="F115" s="564">
        <f>4*0.045</f>
        <v>0.18</v>
      </c>
      <c r="G115" s="564">
        <f>4*0.8</f>
        <v>3.2</v>
      </c>
      <c r="H115" s="564">
        <f>4*0.6</f>
        <v>2.4</v>
      </c>
      <c r="I115" s="565">
        <v>10</v>
      </c>
      <c r="J115" s="569">
        <v>2</v>
      </c>
      <c r="K115" s="568">
        <v>0.75</v>
      </c>
    </row>
    <row r="116" spans="1:11" ht="15" customHeight="1">
      <c r="A116" s="567" t="s">
        <v>1169</v>
      </c>
      <c r="B116" s="567" t="s">
        <v>1163</v>
      </c>
      <c r="C116" s="568">
        <f>24-(J116*K116)</f>
        <v>21.3</v>
      </c>
      <c r="D116" s="564">
        <f>24*0.3</f>
        <v>7.199999999999999</v>
      </c>
      <c r="E116" s="564">
        <f>24*0.075</f>
        <v>1.7999999999999998</v>
      </c>
      <c r="F116" s="564">
        <f>24*0.045</f>
        <v>1.08</v>
      </c>
      <c r="G116" s="564">
        <f>18*0.8</f>
        <v>14.4</v>
      </c>
      <c r="H116" s="564">
        <f>18*0.6</f>
        <v>10.799999999999999</v>
      </c>
      <c r="I116" s="565">
        <v>29</v>
      </c>
      <c r="J116" s="569">
        <v>12</v>
      </c>
      <c r="K116" s="568">
        <v>0.225</v>
      </c>
    </row>
    <row r="117" spans="1:11" ht="15" customHeight="1">
      <c r="A117" s="567" t="s">
        <v>1170</v>
      </c>
      <c r="B117" s="567" t="s">
        <v>1165</v>
      </c>
      <c r="C117" s="568">
        <v>13</v>
      </c>
      <c r="D117" s="564">
        <f>13*0.35</f>
        <v>4.55</v>
      </c>
      <c r="E117" s="564">
        <f>13*0.125</f>
        <v>1.625</v>
      </c>
      <c r="F117" s="564">
        <f>13*0.075</f>
        <v>0.975</v>
      </c>
      <c r="G117" s="564">
        <f>16*0.8</f>
        <v>12.8</v>
      </c>
      <c r="H117" s="564">
        <f>16*0.6</f>
        <v>9.6</v>
      </c>
      <c r="I117" s="565">
        <v>34</v>
      </c>
      <c r="J117" s="569">
        <v>5</v>
      </c>
      <c r="K117" s="568"/>
    </row>
    <row r="118" spans="1:11" ht="15" customHeight="1">
      <c r="A118" s="567" t="s">
        <v>1171</v>
      </c>
      <c r="B118" s="567" t="s">
        <v>1165</v>
      </c>
      <c r="C118" s="568">
        <v>19</v>
      </c>
      <c r="D118" s="564">
        <f>19*0.2</f>
        <v>3.8000000000000003</v>
      </c>
      <c r="E118" s="564">
        <f>19*0.075</f>
        <v>1.425</v>
      </c>
      <c r="F118" s="564">
        <f>19*0.045</f>
        <v>0.855</v>
      </c>
      <c r="G118" s="564">
        <f>14*0.8</f>
        <v>11.200000000000001</v>
      </c>
      <c r="H118" s="564">
        <f>14*0.6</f>
        <v>8.4</v>
      </c>
      <c r="I118" s="565">
        <v>36</v>
      </c>
      <c r="J118" s="569">
        <v>4</v>
      </c>
      <c r="K118" s="568"/>
    </row>
    <row r="119" spans="1:11" ht="15" customHeight="1">
      <c r="A119" s="567" t="s">
        <v>1172</v>
      </c>
      <c r="B119" s="567" t="s">
        <v>1163</v>
      </c>
      <c r="C119" s="568">
        <f>80-(J119*K119)</f>
        <v>65.6</v>
      </c>
      <c r="D119" s="564">
        <f>80*0.3</f>
        <v>24</v>
      </c>
      <c r="E119" s="564">
        <f>80*0.075</f>
        <v>6</v>
      </c>
      <c r="F119" s="564">
        <f>80*0.045</f>
        <v>3.5999999999999996</v>
      </c>
      <c r="G119" s="564">
        <f>36*0.8</f>
        <v>28.8</v>
      </c>
      <c r="H119" s="564">
        <f>36*0.6</f>
        <v>21.599999999999998</v>
      </c>
      <c r="I119" s="565">
        <v>96</v>
      </c>
      <c r="J119" s="569">
        <v>64</v>
      </c>
      <c r="K119" s="568">
        <v>0.225</v>
      </c>
    </row>
    <row r="120" spans="1:11" ht="15" customHeight="1">
      <c r="A120" s="567" t="s">
        <v>1173</v>
      </c>
      <c r="B120" s="567" t="s">
        <v>1165</v>
      </c>
      <c r="C120" s="568">
        <v>29</v>
      </c>
      <c r="D120" s="564">
        <f>29*0.25</f>
        <v>7.25</v>
      </c>
      <c r="E120" s="564">
        <f>29*0.125</f>
        <v>3.625</v>
      </c>
      <c r="F120" s="564">
        <f>29*0.075</f>
        <v>2.175</v>
      </c>
      <c r="G120" s="564">
        <f>26*0.8</f>
        <v>20.8</v>
      </c>
      <c r="H120" s="564">
        <f>26*0.6</f>
        <v>15.6</v>
      </c>
      <c r="I120" s="565">
        <v>38</v>
      </c>
      <c r="J120" s="569">
        <v>5</v>
      </c>
      <c r="K120" s="568"/>
    </row>
    <row r="121" spans="1:11" ht="15" customHeight="1">
      <c r="A121" s="567" t="s">
        <v>1174</v>
      </c>
      <c r="B121" s="567" t="s">
        <v>1163</v>
      </c>
      <c r="C121" s="568">
        <f>36-(J121*K121)</f>
        <v>30.15</v>
      </c>
      <c r="D121" s="564">
        <f>36*0.4</f>
        <v>14.4</v>
      </c>
      <c r="E121" s="564">
        <f>36*0.065</f>
        <v>2.34</v>
      </c>
      <c r="F121" s="564">
        <f>36*0.045</f>
        <v>1.6199999999999999</v>
      </c>
      <c r="G121" s="564">
        <f>27*0.8</f>
        <v>21.6</v>
      </c>
      <c r="H121" s="564">
        <f>27*0.6</f>
        <v>16.2</v>
      </c>
      <c r="I121" s="565">
        <v>22</v>
      </c>
      <c r="J121" s="569">
        <v>26</v>
      </c>
      <c r="K121" s="568">
        <v>0.225</v>
      </c>
    </row>
    <row r="122" spans="1:11" ht="15" customHeight="1">
      <c r="A122" s="567" t="s">
        <v>1175</v>
      </c>
      <c r="B122" s="567" t="s">
        <v>1163</v>
      </c>
      <c r="C122" s="568">
        <f>7-(J122*K122)</f>
        <v>5.65</v>
      </c>
      <c r="D122" s="564">
        <f>7*0.4</f>
        <v>2.8000000000000003</v>
      </c>
      <c r="E122" s="564">
        <f>7*0.065</f>
        <v>0.455</v>
      </c>
      <c r="F122" s="564">
        <f>7*0.045</f>
        <v>0.315</v>
      </c>
      <c r="G122" s="564">
        <f>2*0.8</f>
        <v>1.6</v>
      </c>
      <c r="H122" s="564">
        <f>2*0.6</f>
        <v>1.2</v>
      </c>
      <c r="I122" s="565">
        <v>7</v>
      </c>
      <c r="J122" s="569">
        <v>6</v>
      </c>
      <c r="K122" s="568">
        <v>0.225</v>
      </c>
    </row>
    <row r="123" spans="1:11" ht="15" customHeight="1">
      <c r="A123" s="567" t="s">
        <v>1176</v>
      </c>
      <c r="B123" s="567" t="s">
        <v>1163</v>
      </c>
      <c r="C123" s="568">
        <f>4-(J123*K123)</f>
        <v>3.325</v>
      </c>
      <c r="D123" s="564">
        <f>4*0.4</f>
        <v>1.6</v>
      </c>
      <c r="E123" s="564">
        <f>4*0.065</f>
        <v>0.26</v>
      </c>
      <c r="F123" s="564">
        <f>4*0.045</f>
        <v>0.18</v>
      </c>
      <c r="G123" s="564">
        <f>2*0.8</f>
        <v>1.6</v>
      </c>
      <c r="H123" s="564">
        <f>2*0.6</f>
        <v>1.2</v>
      </c>
      <c r="I123" s="565">
        <v>7</v>
      </c>
      <c r="J123" s="569">
        <v>3</v>
      </c>
      <c r="K123" s="568">
        <v>0.225</v>
      </c>
    </row>
    <row r="124" spans="1:11" ht="15" customHeight="1">
      <c r="A124" s="567" t="s">
        <v>1177</v>
      </c>
      <c r="B124" s="567" t="s">
        <v>1165</v>
      </c>
      <c r="C124" s="568">
        <v>10</v>
      </c>
      <c r="D124" s="564">
        <f>10*0.5</f>
        <v>5</v>
      </c>
      <c r="E124" s="564">
        <f>10*0.055</f>
        <v>0.55</v>
      </c>
      <c r="F124" s="564">
        <f>10*0.045</f>
        <v>0.44999999999999996</v>
      </c>
      <c r="G124" s="564">
        <f>9*0.8</f>
        <v>7.2</v>
      </c>
      <c r="H124" s="564">
        <f>9*0.6</f>
        <v>5.3999999999999995</v>
      </c>
      <c r="I124" s="565">
        <v>8</v>
      </c>
      <c r="J124" s="569">
        <v>6</v>
      </c>
      <c r="K124" s="568"/>
    </row>
    <row r="125" spans="1:11" ht="15" customHeight="1">
      <c r="A125" s="567" t="s">
        <v>1178</v>
      </c>
      <c r="B125" s="567" t="s">
        <v>1165</v>
      </c>
      <c r="C125" s="568">
        <v>20</v>
      </c>
      <c r="D125" s="564">
        <f>20*0.35</f>
        <v>7</v>
      </c>
      <c r="E125" s="564">
        <f>20*0.125</f>
        <v>2.5</v>
      </c>
      <c r="F125" s="564">
        <f>20*0.075</f>
        <v>1.5</v>
      </c>
      <c r="G125" s="564">
        <f>16*0.8</f>
        <v>12.8</v>
      </c>
      <c r="H125" s="564">
        <f>16*0.6</f>
        <v>9.6</v>
      </c>
      <c r="I125" s="565">
        <v>13</v>
      </c>
      <c r="J125" s="569">
        <v>13</v>
      </c>
      <c r="K125" s="568"/>
    </row>
    <row r="126" spans="1:11" ht="15" customHeight="1">
      <c r="A126" s="567" t="s">
        <v>1179</v>
      </c>
      <c r="B126" s="567" t="s">
        <v>1165</v>
      </c>
      <c r="C126" s="568">
        <v>27</v>
      </c>
      <c r="D126" s="564">
        <f>27*0.35</f>
        <v>9.45</v>
      </c>
      <c r="E126" s="564">
        <f>27*0.125</f>
        <v>3.375</v>
      </c>
      <c r="F126" s="564">
        <f>27*0.075</f>
        <v>2.025</v>
      </c>
      <c r="G126" s="564">
        <f>20*0.8</f>
        <v>16</v>
      </c>
      <c r="H126" s="564">
        <f>20*0.6</f>
        <v>12</v>
      </c>
      <c r="I126" s="565">
        <v>17</v>
      </c>
      <c r="J126" s="569">
        <v>17</v>
      </c>
      <c r="K126" s="568"/>
    </row>
    <row r="127" spans="1:11" ht="15" customHeight="1">
      <c r="A127" s="570"/>
      <c r="B127" s="570"/>
      <c r="C127" s="571"/>
      <c r="D127" s="572"/>
      <c r="E127" s="572"/>
      <c r="F127" s="572"/>
      <c r="G127" s="572"/>
      <c r="H127" s="571"/>
      <c r="I127" s="573"/>
      <c r="J127" s="569"/>
      <c r="K127" s="574"/>
    </row>
    <row r="128" spans="1:11" ht="15" customHeight="1">
      <c r="A128" s="570"/>
      <c r="B128" s="570"/>
      <c r="C128" s="571"/>
      <c r="D128" s="572"/>
      <c r="E128" s="572"/>
      <c r="F128" s="572"/>
      <c r="G128" s="572"/>
      <c r="H128" s="571"/>
      <c r="I128" s="573"/>
      <c r="J128" s="569"/>
      <c r="K128" s="574"/>
    </row>
    <row r="129" spans="1:11" ht="15" customHeight="1">
      <c r="A129" s="567"/>
      <c r="B129" s="567"/>
      <c r="C129" s="575"/>
      <c r="D129" s="576"/>
      <c r="E129" s="576"/>
      <c r="F129" s="576"/>
      <c r="G129" s="576"/>
      <c r="H129" s="575"/>
      <c r="I129" s="573"/>
      <c r="J129" s="573"/>
      <c r="K129" s="574"/>
    </row>
    <row r="130" spans="1:11" ht="15" customHeight="1">
      <c r="A130" s="577"/>
      <c r="B130" s="577"/>
      <c r="C130" s="578"/>
      <c r="D130" s="579"/>
      <c r="E130" s="579"/>
      <c r="F130" s="579"/>
      <c r="G130" s="579"/>
      <c r="H130" s="578"/>
      <c r="I130" s="580"/>
      <c r="J130" s="580"/>
      <c r="K130" s="581"/>
    </row>
    <row r="131" spans="1:11" ht="15" customHeight="1">
      <c r="A131" s="2028" t="s">
        <v>1180</v>
      </c>
      <c r="B131" s="2029"/>
      <c r="C131" s="2029"/>
      <c r="D131" s="2029"/>
      <c r="E131" s="2029"/>
      <c r="F131" s="2029"/>
      <c r="G131" s="2029"/>
      <c r="H131" s="2029"/>
      <c r="I131" s="2029"/>
      <c r="J131" s="2029"/>
      <c r="K131" s="2030"/>
    </row>
    <row r="132" spans="1:11" ht="15" customHeight="1">
      <c r="A132" s="2031" t="s">
        <v>1181</v>
      </c>
      <c r="B132" s="2032"/>
      <c r="C132" s="2032"/>
      <c r="D132" s="2032"/>
      <c r="E132" s="2032"/>
      <c r="F132" s="2032"/>
      <c r="G132" s="2032"/>
      <c r="H132" s="2032"/>
      <c r="I132" s="2032"/>
      <c r="J132" s="2032"/>
      <c r="K132" s="2033"/>
    </row>
    <row r="133" spans="1:11" ht="15" customHeight="1">
      <c r="A133" s="2034"/>
      <c r="B133" s="2035"/>
      <c r="C133" s="2035"/>
      <c r="D133" s="2035"/>
      <c r="E133" s="2035"/>
      <c r="F133" s="2035"/>
      <c r="G133" s="2035"/>
      <c r="H133" s="2035"/>
      <c r="I133" s="2035"/>
      <c r="J133" s="2035"/>
      <c r="K133" s="2036"/>
    </row>
    <row r="134" spans="1:11" ht="15" customHeight="1">
      <c r="A134" s="2037" t="s">
        <v>1185</v>
      </c>
      <c r="B134" s="2038"/>
      <c r="C134" s="2038"/>
      <c r="D134" s="2038"/>
      <c r="E134" s="2038"/>
      <c r="F134" s="2038"/>
      <c r="G134" s="2038"/>
      <c r="H134" s="2038"/>
      <c r="I134" s="2038"/>
      <c r="J134" s="2038"/>
      <c r="K134" s="2039"/>
    </row>
    <row r="135" spans="1:11" ht="15" customHeight="1">
      <c r="A135" s="2040"/>
      <c r="B135" s="2041"/>
      <c r="C135" s="2041"/>
      <c r="D135" s="2041"/>
      <c r="E135" s="2041"/>
      <c r="F135" s="2041"/>
      <c r="G135" s="2041"/>
      <c r="H135" s="2041"/>
      <c r="I135" s="2041"/>
      <c r="J135" s="2041"/>
      <c r="K135" s="2042"/>
    </row>
    <row r="136" spans="1:11" ht="15" customHeight="1">
      <c r="A136" s="2043"/>
      <c r="B136" s="2044"/>
      <c r="C136" s="2044"/>
      <c r="D136" s="2044"/>
      <c r="E136" s="2044"/>
      <c r="F136" s="2044"/>
      <c r="G136" s="2044"/>
      <c r="H136" s="2044"/>
      <c r="I136" s="2044"/>
      <c r="J136" s="2044"/>
      <c r="K136" s="2045"/>
    </row>
    <row r="137" spans="1:4" ht="15" customHeight="1">
      <c r="A137" s="1931" t="s">
        <v>1186</v>
      </c>
      <c r="B137" s="1932"/>
      <c r="C137" s="1932"/>
      <c r="D137" s="1933"/>
    </row>
    <row r="138" spans="1:10" ht="15" customHeight="1">
      <c r="A138" s="1934"/>
      <c r="B138" s="1935"/>
      <c r="C138" s="1935"/>
      <c r="D138" s="1936"/>
      <c r="E138" s="582"/>
      <c r="F138" s="583"/>
      <c r="G138" s="583"/>
      <c r="H138" s="583"/>
      <c r="J138" s="459"/>
    </row>
    <row r="139" spans="1:8" ht="15" customHeight="1">
      <c r="A139" s="1934"/>
      <c r="B139" s="1935"/>
      <c r="C139" s="1935"/>
      <c r="D139" s="1936"/>
      <c r="E139" s="582"/>
      <c r="F139" s="583"/>
      <c r="G139" s="583"/>
      <c r="H139" s="583"/>
    </row>
    <row r="140" spans="1:4" ht="15" customHeight="1">
      <c r="A140" s="2087" t="s">
        <v>1187</v>
      </c>
      <c r="B140" s="2046" t="s">
        <v>686</v>
      </c>
      <c r="C140" s="2046" t="s">
        <v>687</v>
      </c>
      <c r="D140" s="2046" t="s">
        <v>688</v>
      </c>
    </row>
    <row r="141" spans="1:4" ht="15" customHeight="1">
      <c r="A141" s="2088"/>
      <c r="B141" s="2047"/>
      <c r="C141" s="2047"/>
      <c r="D141" s="2047"/>
    </row>
    <row r="142" spans="1:4" ht="15" customHeight="1">
      <c r="A142" s="584" t="s">
        <v>1188</v>
      </c>
      <c r="B142" s="585"/>
      <c r="C142" s="585"/>
      <c r="D142" s="585"/>
    </row>
    <row r="143" spans="1:4" ht="15" customHeight="1">
      <c r="A143" s="586" t="s">
        <v>1189</v>
      </c>
      <c r="B143" s="587">
        <v>35</v>
      </c>
      <c r="C143" s="587">
        <v>12.5</v>
      </c>
      <c r="D143" s="587">
        <v>7.5</v>
      </c>
    </row>
    <row r="144" spans="1:4" ht="15" customHeight="1">
      <c r="A144" s="586" t="s">
        <v>1190</v>
      </c>
      <c r="B144" s="587">
        <v>30</v>
      </c>
      <c r="C144" s="587">
        <v>7.5</v>
      </c>
      <c r="D144" s="587">
        <v>4.5</v>
      </c>
    </row>
    <row r="145" spans="1:4" ht="15" customHeight="1">
      <c r="A145" s="586" t="s">
        <v>78</v>
      </c>
      <c r="B145" s="587"/>
      <c r="C145" s="587"/>
      <c r="D145" s="587"/>
    </row>
    <row r="146" spans="1:4" ht="15" customHeight="1">
      <c r="A146" s="586" t="s">
        <v>1191</v>
      </c>
      <c r="B146" s="587">
        <v>50</v>
      </c>
      <c r="C146" s="587">
        <v>5.5</v>
      </c>
      <c r="D146" s="587">
        <v>4.5</v>
      </c>
    </row>
    <row r="147" spans="1:4" ht="15" customHeight="1">
      <c r="A147" s="586" t="s">
        <v>1190</v>
      </c>
      <c r="B147" s="587">
        <v>40</v>
      </c>
      <c r="C147" s="587">
        <v>12.5</v>
      </c>
      <c r="D147" s="587">
        <v>4.5</v>
      </c>
    </row>
    <row r="148" spans="1:4" ht="15" customHeight="1">
      <c r="A148" s="586" t="s">
        <v>44</v>
      </c>
      <c r="B148" s="587"/>
      <c r="C148" s="587"/>
      <c r="D148" s="587"/>
    </row>
    <row r="149" spans="1:4" ht="15" customHeight="1">
      <c r="A149" s="586" t="s">
        <v>1192</v>
      </c>
      <c r="B149" s="587">
        <v>25</v>
      </c>
      <c r="C149" s="587">
        <v>12.5</v>
      </c>
      <c r="D149" s="587">
        <v>7.5</v>
      </c>
    </row>
    <row r="150" spans="1:4" ht="15" customHeight="1">
      <c r="A150" s="586" t="s">
        <v>1193</v>
      </c>
      <c r="B150" s="587"/>
      <c r="C150" s="587"/>
      <c r="D150" s="587"/>
    </row>
    <row r="151" spans="1:9" ht="15" customHeight="1">
      <c r="A151" s="586" t="s">
        <v>1194</v>
      </c>
      <c r="B151" s="587">
        <v>20</v>
      </c>
      <c r="C151" s="587">
        <v>7.5</v>
      </c>
      <c r="D151" s="587">
        <v>4.5</v>
      </c>
      <c r="I151" s="588"/>
    </row>
    <row r="152" spans="1:4" ht="15" customHeight="1">
      <c r="A152" s="586" t="s">
        <v>43</v>
      </c>
      <c r="B152" s="587"/>
      <c r="C152" s="587"/>
      <c r="D152" s="587"/>
    </row>
    <row r="153" spans="1:4" ht="12.75">
      <c r="A153" s="589" t="s">
        <v>1195</v>
      </c>
      <c r="B153" s="590">
        <v>35</v>
      </c>
      <c r="C153" s="590">
        <v>12.5</v>
      </c>
      <c r="D153" s="590">
        <v>7.5</v>
      </c>
    </row>
    <row r="154" spans="1:4" ht="12.75">
      <c r="A154" s="1187" t="s">
        <v>1196</v>
      </c>
      <c r="B154" s="1176"/>
      <c r="C154" s="1176"/>
      <c r="D154" s="1177"/>
    </row>
    <row r="155" spans="1:4" ht="12.75">
      <c r="A155" s="2054"/>
      <c r="B155" s="2055"/>
      <c r="C155" s="2055"/>
      <c r="D155" s="2056"/>
    </row>
    <row r="156" spans="1:9" ht="30" customHeight="1">
      <c r="A156" s="2057" t="s">
        <v>1197</v>
      </c>
      <c r="B156" s="2058"/>
      <c r="C156" s="2058"/>
      <c r="D156" s="2058"/>
      <c r="E156" s="2058"/>
      <c r="F156" s="2058"/>
      <c r="G156" s="2058"/>
      <c r="H156" s="2058"/>
      <c r="I156" s="2059"/>
    </row>
    <row r="157" spans="1:9" ht="12.75" customHeight="1">
      <c r="A157" s="2060" t="s">
        <v>26</v>
      </c>
      <c r="B157" s="2061"/>
      <c r="C157" s="2062"/>
      <c r="D157" s="2069" t="s">
        <v>1198</v>
      </c>
      <c r="E157" s="2070"/>
      <c r="F157" s="2071"/>
      <c r="G157" s="2078" t="s">
        <v>1199</v>
      </c>
      <c r="H157" s="2079"/>
      <c r="I157" s="2080"/>
    </row>
    <row r="158" spans="1:9" ht="12.75">
      <c r="A158" s="2063"/>
      <c r="B158" s="2064"/>
      <c r="C158" s="2065"/>
      <c r="D158" s="2072"/>
      <c r="E158" s="2073"/>
      <c r="F158" s="2074"/>
      <c r="G158" s="2081"/>
      <c r="H158" s="2082"/>
      <c r="I158" s="2083"/>
    </row>
    <row r="159" spans="1:9" ht="12.75">
      <c r="A159" s="2066"/>
      <c r="B159" s="2067"/>
      <c r="C159" s="2068"/>
      <c r="D159" s="2075"/>
      <c r="E159" s="2076"/>
      <c r="F159" s="2077"/>
      <c r="G159" s="2084"/>
      <c r="H159" s="2085"/>
      <c r="I159" s="2086"/>
    </row>
    <row r="160" spans="1:9" ht="12.75">
      <c r="A160" s="591" t="s">
        <v>1200</v>
      </c>
      <c r="B160" s="592"/>
      <c r="C160" s="593"/>
      <c r="D160" s="594">
        <v>11.2</v>
      </c>
      <c r="E160" s="594"/>
      <c r="G160" s="595">
        <v>32</v>
      </c>
      <c r="H160" s="596"/>
      <c r="I160" s="597"/>
    </row>
    <row r="161" spans="1:9" ht="12.75">
      <c r="A161" s="591" t="s">
        <v>1201</v>
      </c>
      <c r="B161" s="592"/>
      <c r="C161" s="593"/>
      <c r="D161" s="594">
        <v>10.7</v>
      </c>
      <c r="E161" s="594"/>
      <c r="G161" s="595">
        <v>32</v>
      </c>
      <c r="H161" s="596"/>
      <c r="I161" s="593"/>
    </row>
    <row r="162" spans="1:9" ht="12.75">
      <c r="A162" s="513" t="s">
        <v>1202</v>
      </c>
      <c r="B162" s="472"/>
      <c r="C162" s="593"/>
      <c r="D162" s="594">
        <v>8.7</v>
      </c>
      <c r="E162" s="594"/>
      <c r="G162" s="595">
        <v>32</v>
      </c>
      <c r="H162" s="596"/>
      <c r="I162" s="593"/>
    </row>
    <row r="163" spans="1:9" ht="12.75">
      <c r="A163" s="513" t="s">
        <v>1203</v>
      </c>
      <c r="B163" s="472"/>
      <c r="C163" s="593"/>
      <c r="D163" s="594">
        <v>10.1</v>
      </c>
      <c r="E163" s="594"/>
      <c r="G163" s="595">
        <v>32</v>
      </c>
      <c r="H163" s="598"/>
      <c r="I163" s="593"/>
    </row>
    <row r="164" spans="1:9" ht="12.75">
      <c r="A164" s="591" t="s">
        <v>1204</v>
      </c>
      <c r="B164" s="592"/>
      <c r="C164" s="593"/>
      <c r="D164" s="594">
        <v>2.8</v>
      </c>
      <c r="E164" s="594"/>
      <c r="G164" s="595">
        <v>46</v>
      </c>
      <c r="H164" s="598"/>
      <c r="I164" s="593"/>
    </row>
    <row r="165" spans="1:9" ht="12.75">
      <c r="A165" s="591" t="s">
        <v>1205</v>
      </c>
      <c r="B165" s="459"/>
      <c r="C165" s="593"/>
      <c r="D165" s="599">
        <v>17.6</v>
      </c>
      <c r="E165" s="594"/>
      <c r="G165" s="600">
        <v>46</v>
      </c>
      <c r="H165" s="598"/>
      <c r="I165" s="593"/>
    </row>
    <row r="166" spans="1:9" ht="12.75">
      <c r="A166" s="591" t="s">
        <v>1206</v>
      </c>
      <c r="B166" s="459"/>
      <c r="C166" s="593"/>
      <c r="D166" s="599">
        <v>16.9</v>
      </c>
      <c r="E166" s="594"/>
      <c r="G166" s="600">
        <v>46</v>
      </c>
      <c r="H166" s="598"/>
      <c r="I166" s="593"/>
    </row>
    <row r="167" spans="1:9" ht="12.75">
      <c r="A167" s="591" t="s">
        <v>1207</v>
      </c>
      <c r="B167" s="592"/>
      <c r="C167" s="593"/>
      <c r="D167" s="599">
        <v>18.5</v>
      </c>
      <c r="E167" s="594"/>
      <c r="G167" s="600">
        <v>46</v>
      </c>
      <c r="H167" s="598"/>
      <c r="I167" s="593"/>
    </row>
    <row r="168" spans="1:9" ht="12.75">
      <c r="A168" s="591" t="s">
        <v>1193</v>
      </c>
      <c r="B168" s="592"/>
      <c r="C168" s="593"/>
      <c r="D168" s="594">
        <v>14.1</v>
      </c>
      <c r="E168" s="594"/>
      <c r="G168" s="595">
        <v>22</v>
      </c>
      <c r="H168" s="598"/>
      <c r="I168" s="593"/>
    </row>
    <row r="169" spans="1:9" ht="12.75">
      <c r="A169" s="591" t="s">
        <v>1208</v>
      </c>
      <c r="B169" s="592"/>
      <c r="C169" s="593"/>
      <c r="D169" s="594">
        <v>33.3</v>
      </c>
      <c r="E169" s="594"/>
      <c r="G169" s="595">
        <v>40</v>
      </c>
      <c r="H169" s="598"/>
      <c r="I169" s="593"/>
    </row>
    <row r="170" spans="1:9" ht="12.75">
      <c r="A170" s="591" t="s">
        <v>1209</v>
      </c>
      <c r="B170" s="592"/>
      <c r="C170" s="593"/>
      <c r="D170" s="594">
        <v>25.2</v>
      </c>
      <c r="E170" s="594"/>
      <c r="G170" s="595">
        <v>40</v>
      </c>
      <c r="H170" s="598"/>
      <c r="I170" s="593"/>
    </row>
    <row r="171" spans="1:9" ht="12.75">
      <c r="A171" s="591" t="s">
        <v>1210</v>
      </c>
      <c r="B171" s="592"/>
      <c r="C171" s="593"/>
      <c r="D171" s="594">
        <v>19</v>
      </c>
      <c r="E171" s="594"/>
      <c r="G171" s="595">
        <v>40</v>
      </c>
      <c r="H171" s="598"/>
      <c r="I171" s="593"/>
    </row>
    <row r="172" spans="1:9" ht="12.75">
      <c r="A172" s="591" t="s">
        <v>1211</v>
      </c>
      <c r="B172" s="592"/>
      <c r="C172" s="593"/>
      <c r="D172" s="594">
        <v>18.2</v>
      </c>
      <c r="E172" s="594"/>
      <c r="G172" s="595">
        <v>40</v>
      </c>
      <c r="H172" s="598"/>
      <c r="I172" s="593"/>
    </row>
    <row r="173" spans="1:9" ht="12.75">
      <c r="A173" s="591" t="s">
        <v>1212</v>
      </c>
      <c r="B173" s="592"/>
      <c r="C173" s="593"/>
      <c r="D173" s="594">
        <v>14.5</v>
      </c>
      <c r="E173" s="594"/>
      <c r="G173" s="595">
        <v>31</v>
      </c>
      <c r="H173" s="598"/>
      <c r="I173" s="593"/>
    </row>
    <row r="174" spans="1:9" ht="12.75">
      <c r="A174" s="591" t="s">
        <v>1213</v>
      </c>
      <c r="B174" s="592"/>
      <c r="C174" s="593"/>
      <c r="D174" s="594">
        <v>3.9</v>
      </c>
      <c r="E174" s="594"/>
      <c r="G174" s="595">
        <v>51</v>
      </c>
      <c r="H174" s="598"/>
      <c r="I174" s="593"/>
    </row>
    <row r="175" spans="1:9" ht="12.75">
      <c r="A175" s="591" t="s">
        <v>1214</v>
      </c>
      <c r="B175" s="592"/>
      <c r="C175" s="593"/>
      <c r="D175" s="594">
        <v>12.9</v>
      </c>
      <c r="E175" s="594"/>
      <c r="G175" s="595">
        <v>51</v>
      </c>
      <c r="H175" s="598"/>
      <c r="I175" s="593"/>
    </row>
    <row r="176" spans="1:9" ht="12.75">
      <c r="A176" s="591" t="s">
        <v>1215</v>
      </c>
      <c r="B176" s="592"/>
      <c r="C176" s="593"/>
      <c r="D176" s="594">
        <v>21.6</v>
      </c>
      <c r="E176" s="594"/>
      <c r="G176" s="595">
        <v>51</v>
      </c>
      <c r="H176" s="598"/>
      <c r="I176" s="593"/>
    </row>
    <row r="177" spans="1:9" ht="12.75">
      <c r="A177" s="591" t="s">
        <v>1216</v>
      </c>
      <c r="B177" s="592"/>
      <c r="C177" s="593"/>
      <c r="D177" s="594">
        <v>6.7</v>
      </c>
      <c r="E177" s="594"/>
      <c r="G177" s="595">
        <v>51</v>
      </c>
      <c r="H177" s="598"/>
      <c r="I177" s="593"/>
    </row>
    <row r="178" spans="1:9" ht="12.75">
      <c r="A178" s="591" t="s">
        <v>1217</v>
      </c>
      <c r="B178" s="592"/>
      <c r="C178" s="593"/>
      <c r="D178" s="594">
        <v>5.1</v>
      </c>
      <c r="E178" s="594"/>
      <c r="G178" s="595">
        <v>51</v>
      </c>
      <c r="H178" s="598"/>
      <c r="I178" s="593"/>
    </row>
    <row r="179" spans="1:9" ht="12.75">
      <c r="A179" s="591" t="s">
        <v>1218</v>
      </c>
      <c r="B179" s="592"/>
      <c r="C179" s="593"/>
      <c r="D179" s="594">
        <v>12.2</v>
      </c>
      <c r="E179" s="594"/>
      <c r="G179" s="595">
        <v>51</v>
      </c>
      <c r="H179" s="598"/>
      <c r="I179" s="593"/>
    </row>
    <row r="180" spans="1:9" ht="12.75">
      <c r="A180" s="591"/>
      <c r="B180" s="592"/>
      <c r="C180" s="593"/>
      <c r="D180" s="598"/>
      <c r="E180" s="598"/>
      <c r="G180" s="601"/>
      <c r="H180" s="598"/>
      <c r="I180" s="593"/>
    </row>
    <row r="181" spans="1:9" ht="12.75">
      <c r="A181" s="591"/>
      <c r="B181" s="592"/>
      <c r="C181" s="593"/>
      <c r="D181" s="598"/>
      <c r="E181" s="598"/>
      <c r="G181" s="601"/>
      <c r="H181" s="598"/>
      <c r="I181" s="593"/>
    </row>
    <row r="182" spans="1:9" ht="12.75">
      <c r="A182" s="591"/>
      <c r="B182" s="592"/>
      <c r="C182" s="593"/>
      <c r="D182" s="598"/>
      <c r="E182" s="598"/>
      <c r="G182" s="601"/>
      <c r="H182" s="598"/>
      <c r="I182" s="593"/>
    </row>
    <row r="183" spans="1:9" ht="12.75">
      <c r="A183" s="549"/>
      <c r="B183" s="459"/>
      <c r="C183" s="593"/>
      <c r="D183" s="459"/>
      <c r="E183" s="459"/>
      <c r="G183" s="549"/>
      <c r="H183" s="459"/>
      <c r="I183" s="602"/>
    </row>
    <row r="184" spans="1:9" ht="12.75">
      <c r="A184" s="2009" t="s">
        <v>1219</v>
      </c>
      <c r="B184" s="2010"/>
      <c r="C184" s="2010"/>
      <c r="D184" s="2010"/>
      <c r="E184" s="2010"/>
      <c r="F184" s="2010"/>
      <c r="G184" s="2010"/>
      <c r="H184" s="2010"/>
      <c r="I184" s="2011"/>
    </row>
    <row r="185" spans="1:9" ht="12.75">
      <c r="A185" s="2012"/>
      <c r="B185" s="2013"/>
      <c r="C185" s="2013"/>
      <c r="D185" s="2013"/>
      <c r="E185" s="2013"/>
      <c r="F185" s="2013"/>
      <c r="G185" s="2013"/>
      <c r="H185" s="2013"/>
      <c r="I185" s="2014"/>
    </row>
    <row r="186" spans="1:9" ht="12.75">
      <c r="A186" s="2015"/>
      <c r="B186" s="2016"/>
      <c r="C186" s="2016"/>
      <c r="D186" s="2016"/>
      <c r="E186" s="2016"/>
      <c r="F186" s="2016"/>
      <c r="G186" s="2016"/>
      <c r="H186" s="2016"/>
      <c r="I186" s="2017"/>
    </row>
    <row r="187" spans="1:10" s="603" customFormat="1" ht="12.75" customHeight="1">
      <c r="A187" s="2018" t="s">
        <v>1220</v>
      </c>
      <c r="B187" s="2019"/>
      <c r="C187" s="2019"/>
      <c r="D187" s="2019"/>
      <c r="E187" s="2020"/>
      <c r="F187" s="2024"/>
      <c r="G187" s="2024"/>
      <c r="H187" s="2024"/>
      <c r="I187" s="2024"/>
      <c r="J187" s="2024"/>
    </row>
    <row r="188" spans="1:5" s="603" customFormat="1" ht="12.75" customHeight="1">
      <c r="A188" s="2021"/>
      <c r="B188" s="2022"/>
      <c r="C188" s="2022"/>
      <c r="D188" s="2022"/>
      <c r="E188" s="2023"/>
    </row>
    <row r="189" spans="1:5" s="603" customFormat="1" ht="39.75" customHeight="1">
      <c r="A189" s="604"/>
      <c r="B189" s="605"/>
      <c r="C189" s="606"/>
      <c r="D189" s="554" t="s">
        <v>1221</v>
      </c>
      <c r="E189" s="554" t="s">
        <v>1222</v>
      </c>
    </row>
    <row r="190" spans="1:7" ht="12.75">
      <c r="A190" s="591" t="s">
        <v>1213</v>
      </c>
      <c r="B190" s="592"/>
      <c r="C190" s="593"/>
      <c r="D190" s="607">
        <v>2.5</v>
      </c>
      <c r="E190" s="607" t="s">
        <v>1223</v>
      </c>
      <c r="F190" s="549"/>
      <c r="G190" s="594"/>
    </row>
    <row r="191" spans="1:7" ht="12.75">
      <c r="A191" s="591" t="s">
        <v>1214</v>
      </c>
      <c r="B191" s="592"/>
      <c r="C191" s="593"/>
      <c r="D191" s="608">
        <v>7.5</v>
      </c>
      <c r="E191" s="608" t="s">
        <v>1223</v>
      </c>
      <c r="F191" s="549"/>
      <c r="G191" s="594"/>
    </row>
    <row r="192" spans="1:7" ht="12.75">
      <c r="A192" s="591" t="s">
        <v>1215</v>
      </c>
      <c r="B192" s="592"/>
      <c r="C192" s="593"/>
      <c r="D192" s="608">
        <v>12.8</v>
      </c>
      <c r="E192" s="608" t="s">
        <v>1223</v>
      </c>
      <c r="F192" s="549"/>
      <c r="G192" s="594"/>
    </row>
    <row r="193" spans="1:7" ht="12.75">
      <c r="A193" s="591" t="s">
        <v>1216</v>
      </c>
      <c r="B193" s="592"/>
      <c r="C193" s="593"/>
      <c r="D193" s="608">
        <v>4</v>
      </c>
      <c r="E193" s="608" t="s">
        <v>1223</v>
      </c>
      <c r="F193" s="549"/>
      <c r="G193" s="594"/>
    </row>
    <row r="194" spans="1:7" ht="12.75">
      <c r="A194" s="591" t="s">
        <v>1217</v>
      </c>
      <c r="B194" s="592"/>
      <c r="C194" s="593"/>
      <c r="D194" s="608">
        <v>3.3</v>
      </c>
      <c r="E194" s="608" t="s">
        <v>1223</v>
      </c>
      <c r="F194" s="549"/>
      <c r="G194" s="594"/>
    </row>
    <row r="195" spans="1:7" ht="12.75">
      <c r="A195" s="592" t="s">
        <v>1218</v>
      </c>
      <c r="B195" s="592"/>
      <c r="C195" s="459"/>
      <c r="D195" s="608">
        <v>7.2</v>
      </c>
      <c r="E195" s="608" t="s">
        <v>1223</v>
      </c>
      <c r="F195" s="459"/>
      <c r="G195" s="594"/>
    </row>
    <row r="196" spans="4:5" ht="12.75">
      <c r="D196" s="573"/>
      <c r="E196" s="573"/>
    </row>
    <row r="197" spans="1:5" ht="12.75">
      <c r="A197" s="342"/>
      <c r="B197" s="342"/>
      <c r="C197" s="602"/>
      <c r="D197" s="580"/>
      <c r="E197" s="580"/>
    </row>
  </sheetData>
  <mergeCells count="42">
    <mergeCell ref="E3:E4"/>
    <mergeCell ref="F3:H3"/>
    <mergeCell ref="A3:A4"/>
    <mergeCell ref="B3:B4"/>
    <mergeCell ref="C3:C4"/>
    <mergeCell ref="D3:D4"/>
    <mergeCell ref="F109:F110"/>
    <mergeCell ref="G109:G110"/>
    <mergeCell ref="A85:H88"/>
    <mergeCell ref="A89:E90"/>
    <mergeCell ref="A91:A92"/>
    <mergeCell ref="B92:E92"/>
    <mergeCell ref="J109:J110"/>
    <mergeCell ref="K109:K110"/>
    <mergeCell ref="A104:E105"/>
    <mergeCell ref="A106:K107"/>
    <mergeCell ref="A108:A110"/>
    <mergeCell ref="B108:B110"/>
    <mergeCell ref="C108:K108"/>
    <mergeCell ref="C109:C110"/>
    <mergeCell ref="D109:D110"/>
    <mergeCell ref="E109:E110"/>
    <mergeCell ref="A1:K2"/>
    <mergeCell ref="A154:D155"/>
    <mergeCell ref="A156:I156"/>
    <mergeCell ref="A157:C159"/>
    <mergeCell ref="D157:F159"/>
    <mergeCell ref="G157:I159"/>
    <mergeCell ref="A140:A141"/>
    <mergeCell ref="B140:B141"/>
    <mergeCell ref="C140:C141"/>
    <mergeCell ref="D140:D141"/>
    <mergeCell ref="A184:I186"/>
    <mergeCell ref="A187:E188"/>
    <mergeCell ref="F187:J187"/>
    <mergeCell ref="I3:K3"/>
    <mergeCell ref="A131:K131"/>
    <mergeCell ref="A132:K133"/>
    <mergeCell ref="A134:K136"/>
    <mergeCell ref="A137:D139"/>
    <mergeCell ref="H109:H110"/>
    <mergeCell ref="I109:I110"/>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I131"/>
  <sheetViews>
    <sheetView workbookViewId="0" topLeftCell="A1">
      <pane ySplit="5" topLeftCell="BM6" activePane="bottomLeft" state="frozen"/>
      <selection pane="topLeft" activeCell="A1" sqref="A1"/>
      <selection pane="bottomLeft" activeCell="B8" sqref="B8"/>
    </sheetView>
  </sheetViews>
  <sheetFormatPr defaultColWidth="9.140625" defaultRowHeight="12.75"/>
  <cols>
    <col min="1" max="2" width="15.7109375" style="0" customWidth="1"/>
    <col min="3" max="7" width="13.7109375" style="0" customWidth="1"/>
    <col min="8" max="8" width="9.7109375" style="278" customWidth="1"/>
    <col min="9" max="9" width="9.7109375" style="279" customWidth="1"/>
  </cols>
  <sheetData>
    <row r="1" spans="1:7" ht="12.75">
      <c r="A1" s="2104" t="s">
        <v>218</v>
      </c>
      <c r="B1" s="2104"/>
      <c r="C1" s="2104"/>
      <c r="D1" s="2104"/>
      <c r="E1" s="2104"/>
      <c r="F1" s="2104"/>
      <c r="G1" s="2104"/>
    </row>
    <row r="2" spans="1:7" ht="14.25">
      <c r="A2" s="132"/>
      <c r="B2" s="133"/>
      <c r="C2" s="134"/>
      <c r="D2" s="135"/>
      <c r="E2" s="136"/>
      <c r="F2" s="137" t="s">
        <v>219</v>
      </c>
      <c r="G2" s="138"/>
    </row>
    <row r="3" spans="1:7" ht="12.75">
      <c r="A3" s="139"/>
      <c r="B3" s="140"/>
      <c r="C3" s="141" t="s">
        <v>220</v>
      </c>
      <c r="D3" s="142" t="s">
        <v>221</v>
      </c>
      <c r="E3" s="143" t="s">
        <v>222</v>
      </c>
      <c r="F3" s="144" t="s">
        <v>223</v>
      </c>
      <c r="G3" s="145" t="s">
        <v>224</v>
      </c>
    </row>
    <row r="4" spans="1:9" ht="14.25">
      <c r="A4" s="139"/>
      <c r="B4" s="140"/>
      <c r="C4" s="146" t="s">
        <v>225</v>
      </c>
      <c r="D4" s="142" t="s">
        <v>226</v>
      </c>
      <c r="E4" s="143" t="s">
        <v>227</v>
      </c>
      <c r="F4" s="147" t="s">
        <v>228</v>
      </c>
      <c r="G4" s="148" t="s">
        <v>229</v>
      </c>
      <c r="H4" s="282" t="s">
        <v>438</v>
      </c>
      <c r="I4" s="283"/>
    </row>
    <row r="5" spans="1:9" ht="13.5" thickBot="1">
      <c r="A5" s="149" t="s">
        <v>230</v>
      </c>
      <c r="B5" s="150" t="s">
        <v>231</v>
      </c>
      <c r="C5" s="151" t="s">
        <v>232</v>
      </c>
      <c r="D5" s="152" t="s">
        <v>232</v>
      </c>
      <c r="E5" s="153" t="s">
        <v>233</v>
      </c>
      <c r="F5" s="154" t="s">
        <v>233</v>
      </c>
      <c r="G5" s="155" t="s">
        <v>232</v>
      </c>
      <c r="H5" s="278" t="s">
        <v>437</v>
      </c>
      <c r="I5" s="279" t="s">
        <v>436</v>
      </c>
    </row>
    <row r="6" spans="1:8" ht="13.5" thickTop="1">
      <c r="A6" s="317" t="s">
        <v>234</v>
      </c>
      <c r="B6" s="318" t="s">
        <v>234</v>
      </c>
      <c r="C6" s="284">
        <v>15</v>
      </c>
      <c r="D6" s="285">
        <v>48</v>
      </c>
      <c r="E6" s="286">
        <v>0.4</v>
      </c>
      <c r="F6" s="287">
        <v>0.13</v>
      </c>
      <c r="G6" s="288">
        <v>3.4</v>
      </c>
      <c r="H6" s="278" t="s">
        <v>430</v>
      </c>
    </row>
    <row r="7" spans="1:7" ht="12.75">
      <c r="A7" s="319" t="s">
        <v>235</v>
      </c>
      <c r="B7" s="320" t="s">
        <v>236</v>
      </c>
      <c r="C7" s="289">
        <v>7.1</v>
      </c>
      <c r="D7" s="290">
        <v>48</v>
      </c>
      <c r="E7" s="291">
        <v>0.35</v>
      </c>
      <c r="F7" s="292">
        <v>0.1</v>
      </c>
      <c r="G7" s="293">
        <v>1.8</v>
      </c>
    </row>
    <row r="8" spans="1:7" ht="12.75">
      <c r="A8" s="319" t="s">
        <v>235</v>
      </c>
      <c r="B8" s="321" t="s">
        <v>237</v>
      </c>
      <c r="C8" s="294">
        <v>10.3</v>
      </c>
      <c r="D8" s="295">
        <v>35</v>
      </c>
      <c r="E8" s="291">
        <v>0.35</v>
      </c>
      <c r="F8" s="292">
        <v>0.1</v>
      </c>
      <c r="G8" s="296">
        <v>1.8</v>
      </c>
    </row>
    <row r="9" spans="1:7" ht="12.75">
      <c r="A9" s="319" t="s">
        <v>238</v>
      </c>
      <c r="B9" s="321" t="s">
        <v>442</v>
      </c>
      <c r="C9" s="294">
        <v>15</v>
      </c>
      <c r="D9" s="290">
        <v>47</v>
      </c>
      <c r="E9" s="291">
        <v>0.4</v>
      </c>
      <c r="F9" s="292">
        <v>0.13</v>
      </c>
      <c r="G9" s="296">
        <v>3.4</v>
      </c>
    </row>
    <row r="10" spans="1:7" ht="12.75">
      <c r="A10" s="319" t="s">
        <v>239</v>
      </c>
      <c r="B10" s="320" t="s">
        <v>240</v>
      </c>
      <c r="C10" s="289">
        <v>12.1</v>
      </c>
      <c r="D10" s="290">
        <v>47</v>
      </c>
      <c r="E10" s="291">
        <v>0.33</v>
      </c>
      <c r="F10" s="292">
        <v>0.1</v>
      </c>
      <c r="G10" s="293">
        <v>2.6</v>
      </c>
    </row>
    <row r="11" spans="1:7" ht="12.75">
      <c r="A11" s="319" t="s">
        <v>239</v>
      </c>
      <c r="B11" s="321" t="s">
        <v>241</v>
      </c>
      <c r="C11" s="294">
        <v>19.9</v>
      </c>
      <c r="D11" s="290">
        <v>40</v>
      </c>
      <c r="E11" s="291">
        <v>0.33</v>
      </c>
      <c r="F11" s="292">
        <v>0.1</v>
      </c>
      <c r="G11" s="296">
        <v>2.6</v>
      </c>
    </row>
    <row r="12" spans="1:7" ht="12.75">
      <c r="A12" s="319" t="s">
        <v>242</v>
      </c>
      <c r="B12" s="321" t="s">
        <v>243</v>
      </c>
      <c r="C12" s="294">
        <v>15.5</v>
      </c>
      <c r="D12" s="290">
        <v>63</v>
      </c>
      <c r="E12" s="291">
        <v>0.51</v>
      </c>
      <c r="F12" s="292">
        <v>0.21</v>
      </c>
      <c r="G12" s="296">
        <v>5.2</v>
      </c>
    </row>
    <row r="13" spans="1:7" ht="12.75">
      <c r="A13" s="319" t="s">
        <v>242</v>
      </c>
      <c r="B13" s="320" t="s">
        <v>244</v>
      </c>
      <c r="C13" s="289">
        <v>15.3</v>
      </c>
      <c r="D13" s="290">
        <v>62</v>
      </c>
      <c r="E13" s="291">
        <v>0.51</v>
      </c>
      <c r="F13" s="292">
        <v>0.21</v>
      </c>
      <c r="G13" s="293">
        <v>5.2</v>
      </c>
    </row>
    <row r="14" spans="1:7" ht="12.75">
      <c r="A14" s="319" t="s">
        <v>242</v>
      </c>
      <c r="B14" s="321" t="s">
        <v>245</v>
      </c>
      <c r="C14" s="294">
        <v>15.9</v>
      </c>
      <c r="D14" s="290">
        <v>63</v>
      </c>
      <c r="E14" s="291">
        <v>0.51</v>
      </c>
      <c r="F14" s="292">
        <v>0.21</v>
      </c>
      <c r="G14" s="296">
        <v>5.2</v>
      </c>
    </row>
    <row r="15" spans="1:7" ht="12.75">
      <c r="A15" s="319" t="s">
        <v>246</v>
      </c>
      <c r="B15" s="321" t="s">
        <v>247</v>
      </c>
      <c r="C15" s="294">
        <v>11.7</v>
      </c>
      <c r="D15" s="290">
        <v>57</v>
      </c>
      <c r="E15" s="291">
        <v>0.5</v>
      </c>
      <c r="F15" s="292">
        <v>0.2</v>
      </c>
      <c r="G15" s="296">
        <v>4.2</v>
      </c>
    </row>
    <row r="16" spans="1:7" ht="12.75">
      <c r="A16" s="319" t="s">
        <v>246</v>
      </c>
      <c r="B16" s="321" t="s">
        <v>248</v>
      </c>
      <c r="C16" s="294">
        <v>12.2</v>
      </c>
      <c r="D16" s="290">
        <v>56</v>
      </c>
      <c r="E16" s="291">
        <v>0.5</v>
      </c>
      <c r="F16" s="292">
        <v>0.2</v>
      </c>
      <c r="G16" s="296">
        <v>4.2</v>
      </c>
    </row>
    <row r="17" spans="1:7" ht="12.75">
      <c r="A17" s="319" t="s">
        <v>249</v>
      </c>
      <c r="B17" s="321" t="s">
        <v>250</v>
      </c>
      <c r="C17" s="294">
        <v>20.8</v>
      </c>
      <c r="D17" s="290">
        <v>35</v>
      </c>
      <c r="E17" s="291">
        <v>0.35</v>
      </c>
      <c r="F17" s="292">
        <v>0.11</v>
      </c>
      <c r="G17" s="296">
        <v>2.8</v>
      </c>
    </row>
    <row r="18" spans="1:7" ht="12.75">
      <c r="A18" s="319" t="s">
        <v>249</v>
      </c>
      <c r="B18" s="321" t="s">
        <v>249</v>
      </c>
      <c r="C18" s="294">
        <v>18.5</v>
      </c>
      <c r="D18" s="290">
        <v>39</v>
      </c>
      <c r="E18" s="291">
        <v>0.35</v>
      </c>
      <c r="F18" s="292">
        <v>0.11</v>
      </c>
      <c r="G18" s="296">
        <v>3.8</v>
      </c>
    </row>
    <row r="19" spans="1:7" ht="12.75">
      <c r="A19" s="319" t="s">
        <v>249</v>
      </c>
      <c r="B19" s="320" t="s">
        <v>251</v>
      </c>
      <c r="C19" s="289">
        <v>13.2</v>
      </c>
      <c r="D19" s="290">
        <v>40</v>
      </c>
      <c r="E19" s="291">
        <v>0.35</v>
      </c>
      <c r="F19" s="292">
        <v>0.11</v>
      </c>
      <c r="G19" s="293">
        <v>4</v>
      </c>
    </row>
    <row r="20" spans="1:7" ht="12.75">
      <c r="A20" s="322" t="s">
        <v>252</v>
      </c>
      <c r="B20" s="321" t="s">
        <v>253</v>
      </c>
      <c r="C20" s="294">
        <v>10.4</v>
      </c>
      <c r="D20" s="290">
        <v>40</v>
      </c>
      <c r="E20" s="291">
        <v>0.32</v>
      </c>
      <c r="F20" s="292">
        <v>0.1</v>
      </c>
      <c r="G20" s="296">
        <v>2.2</v>
      </c>
    </row>
    <row r="21" spans="1:7" ht="12.75">
      <c r="A21" s="322" t="s">
        <v>252</v>
      </c>
      <c r="B21" s="321" t="s">
        <v>254</v>
      </c>
      <c r="C21" s="294">
        <v>7.3</v>
      </c>
      <c r="D21" s="290">
        <v>40</v>
      </c>
      <c r="E21" s="291">
        <v>0.32</v>
      </c>
      <c r="F21" s="292">
        <v>0.1</v>
      </c>
      <c r="G21" s="296">
        <v>2.3</v>
      </c>
    </row>
    <row r="22" spans="1:7" ht="12.75">
      <c r="A22" s="323" t="s">
        <v>255</v>
      </c>
      <c r="B22" s="320" t="s">
        <v>256</v>
      </c>
      <c r="C22" s="289">
        <v>15.3</v>
      </c>
      <c r="D22" s="290">
        <v>57</v>
      </c>
      <c r="E22" s="291">
        <v>0.5</v>
      </c>
      <c r="F22" s="292">
        <v>0.2</v>
      </c>
      <c r="G22" s="293">
        <v>4.6</v>
      </c>
    </row>
    <row r="23" spans="1:7" ht="12.75">
      <c r="A23" s="323" t="s">
        <v>255</v>
      </c>
      <c r="B23" s="321" t="s">
        <v>257</v>
      </c>
      <c r="C23" s="294">
        <v>13.5</v>
      </c>
      <c r="D23" s="290">
        <v>54</v>
      </c>
      <c r="E23" s="291">
        <v>0.5</v>
      </c>
      <c r="F23" s="292">
        <v>0.2</v>
      </c>
      <c r="G23" s="296">
        <v>4.6</v>
      </c>
    </row>
    <row r="24" spans="1:7" ht="12.75">
      <c r="A24" s="319" t="s">
        <v>258</v>
      </c>
      <c r="B24" s="321" t="s">
        <v>259</v>
      </c>
      <c r="C24" s="294">
        <v>15</v>
      </c>
      <c r="D24" s="290">
        <v>35</v>
      </c>
      <c r="E24" s="291">
        <v>0.33</v>
      </c>
      <c r="F24" s="292">
        <v>0.1</v>
      </c>
      <c r="G24" s="296">
        <v>2.4</v>
      </c>
    </row>
    <row r="25" spans="1:8" ht="12.75">
      <c r="A25" s="324" t="s">
        <v>260</v>
      </c>
      <c r="B25" s="325" t="s">
        <v>260</v>
      </c>
      <c r="C25" s="297">
        <v>16</v>
      </c>
      <c r="D25" s="298">
        <v>45</v>
      </c>
      <c r="E25" s="299">
        <v>0.32</v>
      </c>
      <c r="F25" s="300">
        <v>0.1</v>
      </c>
      <c r="G25" s="301">
        <v>2.6</v>
      </c>
      <c r="H25" s="278" t="s">
        <v>431</v>
      </c>
    </row>
    <row r="26" spans="1:7" ht="12.75">
      <c r="A26" s="319" t="s">
        <v>261</v>
      </c>
      <c r="B26" s="321" t="s">
        <v>262</v>
      </c>
      <c r="C26" s="294">
        <v>7.9</v>
      </c>
      <c r="D26" s="290">
        <v>45</v>
      </c>
      <c r="E26" s="291">
        <v>0.33</v>
      </c>
      <c r="F26" s="292">
        <v>0.1</v>
      </c>
      <c r="G26" s="296">
        <v>2</v>
      </c>
    </row>
    <row r="27" spans="1:7" ht="12.75">
      <c r="A27" s="319" t="s">
        <v>261</v>
      </c>
      <c r="B27" s="321" t="s">
        <v>263</v>
      </c>
      <c r="C27" s="294">
        <v>11.3</v>
      </c>
      <c r="D27" s="290">
        <v>45</v>
      </c>
      <c r="E27" s="291">
        <v>0.33</v>
      </c>
      <c r="F27" s="292">
        <v>0.1</v>
      </c>
      <c r="G27" s="296">
        <v>2.2</v>
      </c>
    </row>
    <row r="28" spans="1:7" ht="12.75">
      <c r="A28" s="326" t="s">
        <v>264</v>
      </c>
      <c r="B28" s="321" t="s">
        <v>265</v>
      </c>
      <c r="C28" s="294">
        <v>11.2</v>
      </c>
      <c r="D28" s="290">
        <v>54</v>
      </c>
      <c r="E28" s="291">
        <v>0.45</v>
      </c>
      <c r="F28" s="292">
        <v>0.16</v>
      </c>
      <c r="G28" s="296">
        <v>3.8</v>
      </c>
    </row>
    <row r="29" spans="1:7" ht="12.75">
      <c r="A29" s="326" t="s">
        <v>266</v>
      </c>
      <c r="B29" s="321" t="s">
        <v>267</v>
      </c>
      <c r="C29" s="294">
        <v>14.5</v>
      </c>
      <c r="D29" s="290">
        <v>36</v>
      </c>
      <c r="E29" s="291">
        <v>0.35</v>
      </c>
      <c r="F29" s="292">
        <v>0.1</v>
      </c>
      <c r="G29" s="296">
        <v>2.6</v>
      </c>
    </row>
    <row r="30" spans="1:7" ht="12.75">
      <c r="A30" s="319" t="s">
        <v>268</v>
      </c>
      <c r="B30" s="321" t="s">
        <v>269</v>
      </c>
      <c r="C30" s="294">
        <v>12.3</v>
      </c>
      <c r="D30" s="290">
        <v>40</v>
      </c>
      <c r="E30" s="291">
        <v>0.3</v>
      </c>
      <c r="F30" s="292">
        <v>0.1</v>
      </c>
      <c r="G30" s="296">
        <v>2</v>
      </c>
    </row>
    <row r="31" spans="1:7" ht="12.75">
      <c r="A31" s="319" t="s">
        <v>268</v>
      </c>
      <c r="B31" s="321" t="s">
        <v>268</v>
      </c>
      <c r="C31" s="294">
        <v>7.9</v>
      </c>
      <c r="D31" s="290">
        <v>45</v>
      </c>
      <c r="E31" s="291">
        <v>0.3</v>
      </c>
      <c r="F31" s="292">
        <v>0.1</v>
      </c>
      <c r="G31" s="296">
        <v>2</v>
      </c>
    </row>
    <row r="32" spans="1:7" ht="12.75">
      <c r="A32" s="319" t="s">
        <v>270</v>
      </c>
      <c r="B32" s="320" t="s">
        <v>271</v>
      </c>
      <c r="C32" s="289">
        <v>15.4</v>
      </c>
      <c r="D32" s="290">
        <v>42</v>
      </c>
      <c r="E32" s="291">
        <v>0.36</v>
      </c>
      <c r="F32" s="292">
        <v>0.12</v>
      </c>
      <c r="G32" s="293">
        <v>3.6</v>
      </c>
    </row>
    <row r="33" spans="1:7" ht="12.75">
      <c r="A33" s="319" t="s">
        <v>272</v>
      </c>
      <c r="B33" s="321" t="s">
        <v>273</v>
      </c>
      <c r="C33" s="294">
        <v>27.7</v>
      </c>
      <c r="D33" s="290">
        <v>35</v>
      </c>
      <c r="E33" s="291">
        <v>0.31</v>
      </c>
      <c r="F33" s="292">
        <v>0.1</v>
      </c>
      <c r="G33" s="296">
        <v>2.2</v>
      </c>
    </row>
    <row r="34" spans="1:7" ht="12.75">
      <c r="A34" s="319" t="s">
        <v>274</v>
      </c>
      <c r="B34" s="321" t="s">
        <v>275</v>
      </c>
      <c r="C34" s="294">
        <v>16.4</v>
      </c>
      <c r="D34" s="290">
        <v>37</v>
      </c>
      <c r="E34" s="291">
        <v>0.36</v>
      </c>
      <c r="F34" s="292">
        <v>0.12</v>
      </c>
      <c r="G34" s="296">
        <v>2.6</v>
      </c>
    </row>
    <row r="35" spans="1:8" ht="12.75">
      <c r="A35" s="324" t="s">
        <v>274</v>
      </c>
      <c r="B35" s="325" t="s">
        <v>274</v>
      </c>
      <c r="C35" s="297">
        <v>17</v>
      </c>
      <c r="D35" s="298">
        <v>40</v>
      </c>
      <c r="E35" s="299">
        <v>0.36</v>
      </c>
      <c r="F35" s="300">
        <v>0.12</v>
      </c>
      <c r="G35" s="301">
        <v>3.4</v>
      </c>
      <c r="H35" s="278" t="s">
        <v>432</v>
      </c>
    </row>
    <row r="36" spans="1:7" ht="12.75">
      <c r="A36" s="319" t="s">
        <v>276</v>
      </c>
      <c r="B36" s="320" t="s">
        <v>277</v>
      </c>
      <c r="C36" s="289">
        <v>10.7</v>
      </c>
      <c r="D36" s="290">
        <v>37</v>
      </c>
      <c r="E36" s="291">
        <v>0.3</v>
      </c>
      <c r="F36" s="292">
        <v>0.1</v>
      </c>
      <c r="G36" s="293">
        <v>2</v>
      </c>
    </row>
    <row r="37" spans="1:7" ht="12.75">
      <c r="A37" s="326" t="s">
        <v>278</v>
      </c>
      <c r="B37" s="321" t="s">
        <v>279</v>
      </c>
      <c r="C37" s="294">
        <v>15.8</v>
      </c>
      <c r="D37" s="290">
        <v>46</v>
      </c>
      <c r="E37" s="291">
        <v>0.35</v>
      </c>
      <c r="F37" s="292">
        <v>0.13</v>
      </c>
      <c r="G37" s="296">
        <v>3.6</v>
      </c>
    </row>
    <row r="38" spans="1:9" ht="12.75">
      <c r="A38" s="324" t="s">
        <v>280</v>
      </c>
      <c r="B38" s="325" t="s">
        <v>280</v>
      </c>
      <c r="C38" s="297">
        <v>16</v>
      </c>
      <c r="D38" s="298">
        <v>46</v>
      </c>
      <c r="E38" s="299">
        <v>0.37</v>
      </c>
      <c r="F38" s="300">
        <v>0.15</v>
      </c>
      <c r="G38" s="301">
        <v>3.5</v>
      </c>
      <c r="H38" s="278" t="s">
        <v>433</v>
      </c>
      <c r="I38" s="280" t="s">
        <v>281</v>
      </c>
    </row>
    <row r="39" spans="1:9" ht="12.75">
      <c r="A39" s="319" t="s">
        <v>282</v>
      </c>
      <c r="B39" s="321" t="s">
        <v>283</v>
      </c>
      <c r="C39" s="294">
        <v>12.6</v>
      </c>
      <c r="D39" s="290">
        <v>46</v>
      </c>
      <c r="E39" s="291">
        <v>0.32</v>
      </c>
      <c r="F39" s="292">
        <v>0.1</v>
      </c>
      <c r="G39" s="296">
        <v>2.4</v>
      </c>
      <c r="I39" s="280"/>
    </row>
    <row r="40" spans="1:9" ht="12.75">
      <c r="A40" s="319" t="s">
        <v>284</v>
      </c>
      <c r="B40" s="321" t="s">
        <v>285</v>
      </c>
      <c r="C40" s="294">
        <v>17</v>
      </c>
      <c r="D40" s="290">
        <v>45</v>
      </c>
      <c r="E40" s="291">
        <v>0.3</v>
      </c>
      <c r="F40" s="292">
        <v>0.1</v>
      </c>
      <c r="G40" s="296">
        <v>2</v>
      </c>
      <c r="I40" s="280"/>
    </row>
    <row r="41" spans="1:9" ht="12.75">
      <c r="A41" s="324" t="s">
        <v>286</v>
      </c>
      <c r="B41" s="325" t="s">
        <v>286</v>
      </c>
      <c r="C41" s="297">
        <v>22</v>
      </c>
      <c r="D41" s="298">
        <v>35</v>
      </c>
      <c r="E41" s="299">
        <v>0.34</v>
      </c>
      <c r="F41" s="300">
        <v>0.1</v>
      </c>
      <c r="G41" s="301">
        <v>2.4</v>
      </c>
      <c r="H41" s="278" t="s">
        <v>434</v>
      </c>
      <c r="I41" s="280" t="s">
        <v>287</v>
      </c>
    </row>
    <row r="42" spans="1:7" ht="12.75">
      <c r="A42" s="319" t="s">
        <v>288</v>
      </c>
      <c r="B42" s="321" t="s">
        <v>289</v>
      </c>
      <c r="C42" s="294">
        <v>19.1</v>
      </c>
      <c r="D42" s="290">
        <v>35</v>
      </c>
      <c r="E42" s="291">
        <v>0.33</v>
      </c>
      <c r="F42" s="292">
        <v>0.1</v>
      </c>
      <c r="G42" s="296">
        <v>2.4</v>
      </c>
    </row>
    <row r="43" spans="1:7" ht="12.75">
      <c r="A43" s="319" t="s">
        <v>288</v>
      </c>
      <c r="B43" s="320" t="s">
        <v>290</v>
      </c>
      <c r="C43" s="289">
        <v>13.5</v>
      </c>
      <c r="D43" s="290">
        <v>35</v>
      </c>
      <c r="E43" s="291">
        <v>0.33</v>
      </c>
      <c r="F43" s="292">
        <v>0.1</v>
      </c>
      <c r="G43" s="293">
        <v>2.4</v>
      </c>
    </row>
    <row r="44" spans="1:7" ht="12.75">
      <c r="A44" s="319" t="s">
        <v>288</v>
      </c>
      <c r="B44" s="321" t="s">
        <v>291</v>
      </c>
      <c r="C44" s="294">
        <v>15.5</v>
      </c>
      <c r="D44" s="290">
        <v>35</v>
      </c>
      <c r="E44" s="291">
        <v>0.33</v>
      </c>
      <c r="F44" s="292">
        <v>0.1</v>
      </c>
      <c r="G44" s="296">
        <v>2.4</v>
      </c>
    </row>
    <row r="45" spans="1:7" ht="12.75">
      <c r="A45" s="319" t="s">
        <v>288</v>
      </c>
      <c r="B45" s="321" t="s">
        <v>292</v>
      </c>
      <c r="C45" s="294">
        <v>12.1</v>
      </c>
      <c r="D45" s="290">
        <v>35</v>
      </c>
      <c r="E45" s="291">
        <v>0.33</v>
      </c>
      <c r="F45" s="292">
        <v>0.1</v>
      </c>
      <c r="G45" s="296">
        <v>2.4</v>
      </c>
    </row>
    <row r="46" spans="1:7" ht="12.75">
      <c r="A46" s="319" t="s">
        <v>288</v>
      </c>
      <c r="B46" s="321" t="s">
        <v>293</v>
      </c>
      <c r="C46" s="294">
        <v>11.9</v>
      </c>
      <c r="D46" s="290">
        <v>40</v>
      </c>
      <c r="E46" s="291">
        <v>0.33</v>
      </c>
      <c r="F46" s="292">
        <v>0.1</v>
      </c>
      <c r="G46" s="296">
        <v>2.4</v>
      </c>
    </row>
    <row r="47" spans="1:7" ht="12.75">
      <c r="A47" s="319" t="s">
        <v>288</v>
      </c>
      <c r="B47" s="321" t="s">
        <v>294</v>
      </c>
      <c r="C47" s="294">
        <v>17.4</v>
      </c>
      <c r="D47" s="290">
        <v>35</v>
      </c>
      <c r="E47" s="291">
        <v>0.33</v>
      </c>
      <c r="F47" s="292">
        <v>0.1</v>
      </c>
      <c r="G47" s="296">
        <v>2</v>
      </c>
    </row>
    <row r="48" spans="1:7" ht="12.75">
      <c r="A48" s="319" t="s">
        <v>288</v>
      </c>
      <c r="B48" s="321" t="s">
        <v>295</v>
      </c>
      <c r="C48" s="294">
        <v>26.9</v>
      </c>
      <c r="D48" s="290">
        <v>35</v>
      </c>
      <c r="E48" s="291">
        <v>0.33</v>
      </c>
      <c r="F48" s="292">
        <v>0.1</v>
      </c>
      <c r="G48" s="296">
        <v>2.4</v>
      </c>
    </row>
    <row r="49" spans="1:7" ht="12.75">
      <c r="A49" s="319" t="s">
        <v>296</v>
      </c>
      <c r="B49" s="321" t="s">
        <v>297</v>
      </c>
      <c r="C49" s="294">
        <v>23.4</v>
      </c>
      <c r="D49" s="290">
        <v>35</v>
      </c>
      <c r="E49" s="291">
        <v>0.3</v>
      </c>
      <c r="F49" s="292">
        <v>0.1</v>
      </c>
      <c r="G49" s="296">
        <v>2.4</v>
      </c>
    </row>
    <row r="50" spans="1:7" ht="12.75">
      <c r="A50" s="319" t="s">
        <v>296</v>
      </c>
      <c r="B50" s="321" t="s">
        <v>296</v>
      </c>
      <c r="C50" s="294">
        <v>10.4</v>
      </c>
      <c r="D50" s="290">
        <v>35</v>
      </c>
      <c r="E50" s="291">
        <v>0.3</v>
      </c>
      <c r="F50" s="292">
        <v>0.1</v>
      </c>
      <c r="G50" s="296">
        <v>2</v>
      </c>
    </row>
    <row r="51" spans="1:7" ht="12.75">
      <c r="A51" s="319" t="s">
        <v>296</v>
      </c>
      <c r="B51" s="321" t="s">
        <v>298</v>
      </c>
      <c r="C51" s="294">
        <v>17.9</v>
      </c>
      <c r="D51" s="290">
        <v>35</v>
      </c>
      <c r="E51" s="291">
        <v>0.3</v>
      </c>
      <c r="F51" s="292">
        <v>0.1</v>
      </c>
      <c r="G51" s="296">
        <v>2.4</v>
      </c>
    </row>
    <row r="52" spans="1:7" ht="12.75">
      <c r="A52" s="319" t="s">
        <v>296</v>
      </c>
      <c r="B52" s="321" t="s">
        <v>299</v>
      </c>
      <c r="C52" s="294">
        <v>16.4</v>
      </c>
      <c r="D52" s="290">
        <v>35</v>
      </c>
      <c r="E52" s="291">
        <v>0.3</v>
      </c>
      <c r="F52" s="292">
        <v>0.1</v>
      </c>
      <c r="G52" s="296">
        <v>2.6</v>
      </c>
    </row>
    <row r="53" spans="1:7" ht="12.75">
      <c r="A53" s="326" t="s">
        <v>300</v>
      </c>
      <c r="B53" s="321" t="s">
        <v>301</v>
      </c>
      <c r="C53" s="294">
        <v>15.5</v>
      </c>
      <c r="D53" s="290">
        <v>45</v>
      </c>
      <c r="E53" s="291">
        <v>0.35</v>
      </c>
      <c r="F53" s="292">
        <v>0.11</v>
      </c>
      <c r="G53" s="296">
        <v>3.6</v>
      </c>
    </row>
    <row r="54" spans="1:7" ht="12.75">
      <c r="A54" s="319" t="s">
        <v>302</v>
      </c>
      <c r="B54" s="321" t="s">
        <v>303</v>
      </c>
      <c r="C54" s="294">
        <v>10.4</v>
      </c>
      <c r="D54" s="290">
        <v>40</v>
      </c>
      <c r="E54" s="291">
        <v>0.33</v>
      </c>
      <c r="F54" s="292">
        <v>0.1</v>
      </c>
      <c r="G54" s="296">
        <v>2</v>
      </c>
    </row>
    <row r="55" spans="1:7" ht="12.75">
      <c r="A55" s="319" t="s">
        <v>304</v>
      </c>
      <c r="B55" s="321" t="s">
        <v>305</v>
      </c>
      <c r="C55" s="294">
        <v>18.9</v>
      </c>
      <c r="D55" s="290">
        <v>36</v>
      </c>
      <c r="E55" s="291">
        <v>0.35</v>
      </c>
      <c r="F55" s="292">
        <v>0.11</v>
      </c>
      <c r="G55" s="296">
        <v>3.8</v>
      </c>
    </row>
    <row r="56" spans="1:7" ht="12.75">
      <c r="A56" s="326" t="s">
        <v>306</v>
      </c>
      <c r="B56" s="321" t="s">
        <v>307</v>
      </c>
      <c r="C56" s="294">
        <v>14.5</v>
      </c>
      <c r="D56" s="290">
        <v>56</v>
      </c>
      <c r="E56" s="291">
        <v>0.5</v>
      </c>
      <c r="F56" s="292">
        <v>0.2</v>
      </c>
      <c r="G56" s="296">
        <v>4.5</v>
      </c>
    </row>
    <row r="57" spans="1:7" ht="12.75">
      <c r="A57" s="319" t="s">
        <v>257</v>
      </c>
      <c r="B57" s="321" t="s">
        <v>308</v>
      </c>
      <c r="C57" s="294">
        <v>16.2</v>
      </c>
      <c r="D57" s="290">
        <v>57</v>
      </c>
      <c r="E57" s="291">
        <v>0.5</v>
      </c>
      <c r="F57" s="292">
        <v>0.17</v>
      </c>
      <c r="G57" s="296">
        <v>4.2</v>
      </c>
    </row>
    <row r="58" spans="1:7" ht="12.75">
      <c r="A58" s="319" t="s">
        <v>257</v>
      </c>
      <c r="B58" s="320" t="s">
        <v>309</v>
      </c>
      <c r="C58" s="289">
        <v>15.8</v>
      </c>
      <c r="D58" s="290">
        <v>51</v>
      </c>
      <c r="E58" s="291">
        <v>0.5</v>
      </c>
      <c r="F58" s="292">
        <v>0.17</v>
      </c>
      <c r="G58" s="293">
        <v>4.2</v>
      </c>
    </row>
    <row r="59" spans="1:7" ht="12.75">
      <c r="A59" s="319" t="s">
        <v>257</v>
      </c>
      <c r="B59" s="321" t="s">
        <v>310</v>
      </c>
      <c r="C59" s="294">
        <v>15.9</v>
      </c>
      <c r="D59" s="290">
        <v>55</v>
      </c>
      <c r="E59" s="291">
        <v>0.5</v>
      </c>
      <c r="F59" s="292">
        <v>0.17</v>
      </c>
      <c r="G59" s="296">
        <v>4.2</v>
      </c>
    </row>
    <row r="60" spans="1:7" ht="12.75">
      <c r="A60" s="322" t="s">
        <v>311</v>
      </c>
      <c r="B60" s="321" t="s">
        <v>312</v>
      </c>
      <c r="C60" s="294">
        <v>19.11</v>
      </c>
      <c r="D60" s="290">
        <v>40</v>
      </c>
      <c r="E60" s="291">
        <v>0.32</v>
      </c>
      <c r="F60" s="292">
        <v>0.1</v>
      </c>
      <c r="G60" s="296">
        <v>2.6</v>
      </c>
    </row>
    <row r="61" spans="1:7" ht="12.75">
      <c r="A61" s="322" t="s">
        <v>311</v>
      </c>
      <c r="B61" s="321" t="s">
        <v>313</v>
      </c>
      <c r="C61" s="294">
        <v>18.4</v>
      </c>
      <c r="D61" s="290">
        <v>45</v>
      </c>
      <c r="E61" s="291">
        <v>0.32</v>
      </c>
      <c r="F61" s="292">
        <v>0.1</v>
      </c>
      <c r="G61" s="296">
        <v>2.6</v>
      </c>
    </row>
    <row r="62" spans="1:7" ht="12.75">
      <c r="A62" s="319" t="s">
        <v>311</v>
      </c>
      <c r="B62" s="321" t="s">
        <v>314</v>
      </c>
      <c r="C62" s="294">
        <v>14.2</v>
      </c>
      <c r="D62" s="290">
        <v>45</v>
      </c>
      <c r="E62" s="291">
        <v>0.32</v>
      </c>
      <c r="F62" s="292">
        <v>0.1</v>
      </c>
      <c r="G62" s="296">
        <v>2.6</v>
      </c>
    </row>
    <row r="63" spans="1:7" ht="12.75">
      <c r="A63" s="319" t="s">
        <v>311</v>
      </c>
      <c r="B63" s="321" t="s">
        <v>315</v>
      </c>
      <c r="C63" s="294">
        <v>26.3</v>
      </c>
      <c r="D63" s="290">
        <v>35</v>
      </c>
      <c r="E63" s="291">
        <v>0.32</v>
      </c>
      <c r="F63" s="292">
        <v>0.1</v>
      </c>
      <c r="G63" s="296">
        <v>2.6</v>
      </c>
    </row>
    <row r="64" spans="1:7" ht="12.75">
      <c r="A64" s="319" t="s">
        <v>316</v>
      </c>
      <c r="B64" s="321" t="s">
        <v>317</v>
      </c>
      <c r="C64" s="294">
        <v>23.5</v>
      </c>
      <c r="D64" s="290">
        <v>35</v>
      </c>
      <c r="E64" s="291">
        <v>0.3</v>
      </c>
      <c r="F64" s="292">
        <v>0.1</v>
      </c>
      <c r="G64" s="296">
        <v>2.8</v>
      </c>
    </row>
    <row r="65" spans="1:7" ht="12.75">
      <c r="A65" s="327" t="s">
        <v>316</v>
      </c>
      <c r="B65" s="320" t="s">
        <v>318</v>
      </c>
      <c r="C65" s="289">
        <v>12.3</v>
      </c>
      <c r="D65" s="290">
        <v>35</v>
      </c>
      <c r="E65" s="291">
        <v>0.3</v>
      </c>
      <c r="F65" s="292">
        <v>0.1</v>
      </c>
      <c r="G65" s="293">
        <v>2.8</v>
      </c>
    </row>
    <row r="66" spans="1:7" ht="12.75">
      <c r="A66" s="319" t="s">
        <v>319</v>
      </c>
      <c r="B66" s="321" t="s">
        <v>320</v>
      </c>
      <c r="C66" s="294">
        <v>14</v>
      </c>
      <c r="D66" s="290">
        <v>35</v>
      </c>
      <c r="E66" s="291">
        <v>0.35</v>
      </c>
      <c r="F66" s="292">
        <v>0.11</v>
      </c>
      <c r="G66" s="296">
        <v>3.6</v>
      </c>
    </row>
    <row r="67" spans="1:7" ht="12.75">
      <c r="A67" s="319" t="s">
        <v>319</v>
      </c>
      <c r="B67" s="321" t="s">
        <v>321</v>
      </c>
      <c r="C67" s="294">
        <v>14.9</v>
      </c>
      <c r="D67" s="290">
        <v>40</v>
      </c>
      <c r="E67" s="291">
        <v>0.35</v>
      </c>
      <c r="F67" s="292">
        <v>0.11</v>
      </c>
      <c r="G67" s="296">
        <v>3.6</v>
      </c>
    </row>
    <row r="68" spans="1:7" ht="12.75">
      <c r="A68" s="319" t="s">
        <v>248</v>
      </c>
      <c r="B68" s="321" t="s">
        <v>322</v>
      </c>
      <c r="C68" s="294">
        <v>15.2</v>
      </c>
      <c r="D68" s="290">
        <v>50</v>
      </c>
      <c r="E68" s="291">
        <v>0.45</v>
      </c>
      <c r="F68" s="292">
        <v>0.13</v>
      </c>
      <c r="G68" s="296">
        <v>4.2</v>
      </c>
    </row>
    <row r="69" spans="1:7" ht="12.75">
      <c r="A69" s="319" t="s">
        <v>248</v>
      </c>
      <c r="B69" s="321" t="s">
        <v>323</v>
      </c>
      <c r="C69" s="294">
        <v>12.2</v>
      </c>
      <c r="D69" s="290">
        <v>52</v>
      </c>
      <c r="E69" s="291">
        <v>0.45</v>
      </c>
      <c r="F69" s="292">
        <v>0.13</v>
      </c>
      <c r="G69" s="296">
        <v>4.2</v>
      </c>
    </row>
    <row r="70" spans="1:7" ht="12.75">
      <c r="A70" s="319" t="s">
        <v>248</v>
      </c>
      <c r="B70" s="321" t="s">
        <v>324</v>
      </c>
      <c r="C70" s="294">
        <v>14.7</v>
      </c>
      <c r="D70" s="290">
        <v>47</v>
      </c>
      <c r="E70" s="291">
        <v>0.45</v>
      </c>
      <c r="F70" s="292">
        <v>0.13</v>
      </c>
      <c r="G70" s="296">
        <v>3.4</v>
      </c>
    </row>
    <row r="71" spans="1:7" ht="12.75">
      <c r="A71" s="319" t="s">
        <v>325</v>
      </c>
      <c r="B71" s="321" t="s">
        <v>326</v>
      </c>
      <c r="C71" s="294">
        <v>16</v>
      </c>
      <c r="D71" s="290">
        <v>50</v>
      </c>
      <c r="E71" s="291">
        <v>0.45</v>
      </c>
      <c r="F71" s="292">
        <v>0.16</v>
      </c>
      <c r="G71" s="296">
        <v>3.8</v>
      </c>
    </row>
    <row r="72" spans="1:7" ht="12.75">
      <c r="A72" s="319" t="s">
        <v>325</v>
      </c>
      <c r="B72" s="321" t="s">
        <v>327</v>
      </c>
      <c r="C72" s="294">
        <v>14.9</v>
      </c>
      <c r="D72" s="290">
        <v>49</v>
      </c>
      <c r="E72" s="291">
        <v>0.45</v>
      </c>
      <c r="F72" s="292">
        <v>0.16</v>
      </c>
      <c r="G72" s="296">
        <v>3.8</v>
      </c>
    </row>
    <row r="73" spans="1:7" ht="12.75">
      <c r="A73" s="319" t="s">
        <v>325</v>
      </c>
      <c r="B73" s="321" t="s">
        <v>328</v>
      </c>
      <c r="C73" s="294">
        <v>13</v>
      </c>
      <c r="D73" s="290">
        <v>50</v>
      </c>
      <c r="E73" s="291">
        <v>0.45</v>
      </c>
      <c r="F73" s="292">
        <v>0.16</v>
      </c>
      <c r="G73" s="296">
        <v>3.8</v>
      </c>
    </row>
    <row r="74" spans="1:7" ht="12.75">
      <c r="A74" s="319" t="s">
        <v>325</v>
      </c>
      <c r="B74" s="321" t="s">
        <v>329</v>
      </c>
      <c r="C74" s="294">
        <v>14.4</v>
      </c>
      <c r="D74" s="290">
        <v>47</v>
      </c>
      <c r="E74" s="291">
        <v>0.45</v>
      </c>
      <c r="F74" s="292">
        <v>0.16</v>
      </c>
      <c r="G74" s="296">
        <v>3.8</v>
      </c>
    </row>
    <row r="75" spans="1:7" ht="12.75">
      <c r="A75" s="319" t="s">
        <v>330</v>
      </c>
      <c r="B75" s="321" t="s">
        <v>331</v>
      </c>
      <c r="C75" s="294">
        <v>15.4</v>
      </c>
      <c r="D75" s="290">
        <v>48</v>
      </c>
      <c r="E75" s="291">
        <v>0.45</v>
      </c>
      <c r="F75" s="292">
        <v>0.16</v>
      </c>
      <c r="G75" s="296">
        <v>3.4</v>
      </c>
    </row>
    <row r="76" spans="1:7" ht="12.75">
      <c r="A76" s="319" t="s">
        <v>332</v>
      </c>
      <c r="B76" s="321" t="s">
        <v>333</v>
      </c>
      <c r="C76" s="294">
        <v>14.8</v>
      </c>
      <c r="D76" s="290">
        <v>40</v>
      </c>
      <c r="E76" s="302">
        <v>0.3</v>
      </c>
      <c r="F76" s="303">
        <v>0.1</v>
      </c>
      <c r="G76" s="296">
        <v>1.8</v>
      </c>
    </row>
    <row r="77" spans="1:7" ht="12.75">
      <c r="A77" s="319" t="s">
        <v>332</v>
      </c>
      <c r="B77" s="321" t="s">
        <v>334</v>
      </c>
      <c r="C77" s="294">
        <v>8.5</v>
      </c>
      <c r="D77" s="290">
        <v>55</v>
      </c>
      <c r="E77" s="302">
        <v>0.3</v>
      </c>
      <c r="F77" s="303">
        <v>0.1</v>
      </c>
      <c r="G77" s="296">
        <v>1.8</v>
      </c>
    </row>
    <row r="78" spans="1:7" ht="12.75">
      <c r="A78" s="319" t="s">
        <v>332</v>
      </c>
      <c r="B78" s="321" t="s">
        <v>335</v>
      </c>
      <c r="C78" s="294">
        <v>11.3</v>
      </c>
      <c r="D78" s="290">
        <v>45</v>
      </c>
      <c r="E78" s="302">
        <v>0.3</v>
      </c>
      <c r="F78" s="303">
        <v>0.1</v>
      </c>
      <c r="G78" s="296">
        <v>1.8</v>
      </c>
    </row>
    <row r="79" spans="1:7" ht="12.75">
      <c r="A79" s="319" t="s">
        <v>332</v>
      </c>
      <c r="B79" s="321" t="s">
        <v>336</v>
      </c>
      <c r="C79" s="294">
        <v>8.7</v>
      </c>
      <c r="D79" s="290">
        <v>50</v>
      </c>
      <c r="E79" s="302">
        <v>0.3</v>
      </c>
      <c r="F79" s="303">
        <v>0.1</v>
      </c>
      <c r="G79" s="296">
        <v>1.8</v>
      </c>
    </row>
    <row r="80" spans="1:7" ht="12.75">
      <c r="A80" s="319" t="s">
        <v>332</v>
      </c>
      <c r="B80" s="321" t="s">
        <v>337</v>
      </c>
      <c r="C80" s="294">
        <v>9.8</v>
      </c>
      <c r="D80" s="290">
        <v>45</v>
      </c>
      <c r="E80" s="291">
        <v>0.3</v>
      </c>
      <c r="F80" s="292">
        <v>0.1</v>
      </c>
      <c r="G80" s="296">
        <v>1.8</v>
      </c>
    </row>
    <row r="81" spans="1:7" ht="12.75">
      <c r="A81" s="319" t="s">
        <v>338</v>
      </c>
      <c r="B81" s="321" t="s">
        <v>339</v>
      </c>
      <c r="C81" s="294">
        <v>44.2</v>
      </c>
      <c r="D81" s="290">
        <v>35</v>
      </c>
      <c r="E81" s="291">
        <v>0.3</v>
      </c>
      <c r="F81" s="292">
        <v>0.1</v>
      </c>
      <c r="G81" s="296">
        <v>3</v>
      </c>
    </row>
    <row r="82" spans="1:7" ht="12.75">
      <c r="A82" s="319" t="s">
        <v>340</v>
      </c>
      <c r="B82" s="321" t="s">
        <v>341</v>
      </c>
      <c r="C82" s="294">
        <v>13.2</v>
      </c>
      <c r="D82" s="290">
        <v>40</v>
      </c>
      <c r="E82" s="291">
        <v>0.3</v>
      </c>
      <c r="F82" s="292">
        <v>0.1</v>
      </c>
      <c r="G82" s="296">
        <v>1.8</v>
      </c>
    </row>
    <row r="83" spans="1:7" ht="12.75">
      <c r="A83" s="319" t="s">
        <v>340</v>
      </c>
      <c r="B83" s="321" t="s">
        <v>342</v>
      </c>
      <c r="C83" s="294">
        <v>12.3</v>
      </c>
      <c r="D83" s="290">
        <v>40</v>
      </c>
      <c r="E83" s="291">
        <v>0.3</v>
      </c>
      <c r="F83" s="292">
        <v>0.1</v>
      </c>
      <c r="G83" s="296">
        <v>1.8</v>
      </c>
    </row>
    <row r="84" spans="1:7" ht="12.75">
      <c r="A84" s="319" t="s">
        <v>340</v>
      </c>
      <c r="B84" s="321" t="s">
        <v>343</v>
      </c>
      <c r="C84" s="294">
        <v>12.5</v>
      </c>
      <c r="D84" s="290">
        <v>40</v>
      </c>
      <c r="E84" s="291">
        <v>0.3</v>
      </c>
      <c r="F84" s="292">
        <v>0.1</v>
      </c>
      <c r="G84" s="296">
        <v>1.8</v>
      </c>
    </row>
    <row r="85" spans="1:7" ht="12.75">
      <c r="A85" s="319" t="s">
        <v>340</v>
      </c>
      <c r="B85" s="321" t="s">
        <v>344</v>
      </c>
      <c r="C85" s="294">
        <v>12.7</v>
      </c>
      <c r="D85" s="290">
        <v>40</v>
      </c>
      <c r="E85" s="291">
        <v>0.3</v>
      </c>
      <c r="F85" s="292">
        <v>0.1</v>
      </c>
      <c r="G85" s="296">
        <v>1.8</v>
      </c>
    </row>
    <row r="86" spans="1:7" ht="12.75">
      <c r="A86" s="319" t="s">
        <v>340</v>
      </c>
      <c r="B86" s="321" t="s">
        <v>345</v>
      </c>
      <c r="C86" s="294">
        <v>9.9</v>
      </c>
      <c r="D86" s="290">
        <v>40</v>
      </c>
      <c r="E86" s="291">
        <v>0.3</v>
      </c>
      <c r="F86" s="292">
        <v>0.1</v>
      </c>
      <c r="G86" s="296">
        <v>1.8</v>
      </c>
    </row>
    <row r="87" spans="1:7" ht="12.75">
      <c r="A87" s="319" t="s">
        <v>346</v>
      </c>
      <c r="B87" s="321" t="s">
        <v>347</v>
      </c>
      <c r="C87" s="294">
        <v>13.4</v>
      </c>
      <c r="D87" s="290">
        <v>50</v>
      </c>
      <c r="E87" s="291">
        <v>0.33</v>
      </c>
      <c r="F87" s="292">
        <v>0.1</v>
      </c>
      <c r="G87" s="296">
        <v>2.3</v>
      </c>
    </row>
    <row r="88" spans="1:7" ht="12.75">
      <c r="A88" s="319" t="s">
        <v>346</v>
      </c>
      <c r="B88" s="321" t="s">
        <v>348</v>
      </c>
      <c r="C88" s="294">
        <v>18</v>
      </c>
      <c r="D88" s="290">
        <v>45</v>
      </c>
      <c r="E88" s="291">
        <v>0.33</v>
      </c>
      <c r="F88" s="292">
        <v>0.1</v>
      </c>
      <c r="G88" s="296">
        <v>2.3</v>
      </c>
    </row>
    <row r="89" spans="1:7" ht="12.75">
      <c r="A89" s="319" t="s">
        <v>349</v>
      </c>
      <c r="B89" s="320" t="s">
        <v>350</v>
      </c>
      <c r="C89" s="289">
        <v>13.1</v>
      </c>
      <c r="D89" s="290">
        <v>40</v>
      </c>
      <c r="E89" s="291">
        <v>0.3</v>
      </c>
      <c r="F89" s="292">
        <v>0.1</v>
      </c>
      <c r="G89" s="293">
        <v>2</v>
      </c>
    </row>
    <row r="90" spans="1:7" ht="12.75">
      <c r="A90" s="319" t="s">
        <v>349</v>
      </c>
      <c r="B90" s="321" t="s">
        <v>351</v>
      </c>
      <c r="C90" s="294">
        <v>12.9</v>
      </c>
      <c r="D90" s="290">
        <v>45</v>
      </c>
      <c r="E90" s="291">
        <v>0.3</v>
      </c>
      <c r="F90" s="292">
        <v>0.1</v>
      </c>
      <c r="G90" s="296">
        <v>2.2</v>
      </c>
    </row>
    <row r="91" spans="1:7" ht="12.75">
      <c r="A91" s="319" t="s">
        <v>352</v>
      </c>
      <c r="B91" s="321" t="s">
        <v>353</v>
      </c>
      <c r="C91" s="294">
        <v>12.7</v>
      </c>
      <c r="D91" s="290">
        <v>48</v>
      </c>
      <c r="E91" s="291">
        <v>0.43</v>
      </c>
      <c r="F91" s="292">
        <v>0.15</v>
      </c>
      <c r="G91" s="296">
        <v>3.4</v>
      </c>
    </row>
    <row r="92" spans="1:7" ht="12.75">
      <c r="A92" s="319" t="s">
        <v>352</v>
      </c>
      <c r="B92" s="321" t="s">
        <v>354</v>
      </c>
      <c r="C92" s="294">
        <v>16.1</v>
      </c>
      <c r="D92" s="290">
        <v>47</v>
      </c>
      <c r="E92" s="291">
        <v>0.43</v>
      </c>
      <c r="F92" s="292">
        <v>0.15</v>
      </c>
      <c r="G92" s="296">
        <v>3.4</v>
      </c>
    </row>
    <row r="93" spans="1:7" ht="12.75">
      <c r="A93" s="326" t="s">
        <v>355</v>
      </c>
      <c r="B93" s="328" t="s">
        <v>356</v>
      </c>
      <c r="C93" s="304">
        <v>15.7</v>
      </c>
      <c r="D93" s="290">
        <v>55</v>
      </c>
      <c r="E93" s="291">
        <v>0.45</v>
      </c>
      <c r="F93" s="292">
        <v>0.16</v>
      </c>
      <c r="G93" s="305">
        <v>4</v>
      </c>
    </row>
    <row r="94" spans="1:7" ht="12.75">
      <c r="A94" s="326" t="s">
        <v>355</v>
      </c>
      <c r="B94" s="328" t="s">
        <v>357</v>
      </c>
      <c r="C94" s="304">
        <v>11.7</v>
      </c>
      <c r="D94" s="290">
        <v>54</v>
      </c>
      <c r="E94" s="291">
        <v>0.45</v>
      </c>
      <c r="F94" s="292">
        <v>0.16</v>
      </c>
      <c r="G94" s="305">
        <v>4</v>
      </c>
    </row>
    <row r="95" spans="1:7" ht="12.75">
      <c r="A95" s="319" t="s">
        <v>358</v>
      </c>
      <c r="B95" s="321" t="s">
        <v>358</v>
      </c>
      <c r="C95" s="294">
        <v>22.4</v>
      </c>
      <c r="D95" s="290">
        <v>35</v>
      </c>
      <c r="E95" s="291">
        <v>0.3</v>
      </c>
      <c r="F95" s="292">
        <v>0.1</v>
      </c>
      <c r="G95" s="296">
        <v>2</v>
      </c>
    </row>
    <row r="96" spans="1:7" ht="12.75">
      <c r="A96" s="319" t="s">
        <v>359</v>
      </c>
      <c r="B96" s="321" t="s">
        <v>360</v>
      </c>
      <c r="C96" s="294">
        <v>10</v>
      </c>
      <c r="D96" s="290">
        <v>38</v>
      </c>
      <c r="E96" s="291">
        <v>0.3</v>
      </c>
      <c r="F96" s="292">
        <v>0.1</v>
      </c>
      <c r="G96" s="296">
        <v>2.4</v>
      </c>
    </row>
    <row r="97" spans="1:7" ht="12.75">
      <c r="A97" s="319" t="s">
        <v>359</v>
      </c>
      <c r="B97" s="321" t="s">
        <v>361</v>
      </c>
      <c r="C97" s="294">
        <v>16.4</v>
      </c>
      <c r="D97" s="290">
        <v>35</v>
      </c>
      <c r="E97" s="291">
        <v>0.3</v>
      </c>
      <c r="F97" s="292">
        <v>0.1</v>
      </c>
      <c r="G97" s="296">
        <v>2.4</v>
      </c>
    </row>
    <row r="98" spans="1:7" ht="12.75">
      <c r="A98" s="319" t="s">
        <v>359</v>
      </c>
      <c r="B98" s="321" t="s">
        <v>362</v>
      </c>
      <c r="C98" s="294">
        <v>15.4</v>
      </c>
      <c r="D98" s="290">
        <v>35</v>
      </c>
      <c r="E98" s="291">
        <v>0.3</v>
      </c>
      <c r="F98" s="292">
        <v>0.1</v>
      </c>
      <c r="G98" s="296">
        <v>2.4</v>
      </c>
    </row>
    <row r="99" spans="1:7" ht="12.75">
      <c r="A99" s="319" t="s">
        <v>363</v>
      </c>
      <c r="B99" s="321" t="s">
        <v>364</v>
      </c>
      <c r="C99" s="294">
        <v>18.1</v>
      </c>
      <c r="D99" s="290">
        <v>50</v>
      </c>
      <c r="E99" s="291">
        <v>0.47</v>
      </c>
      <c r="F99" s="292">
        <v>0.17</v>
      </c>
      <c r="G99" s="296">
        <v>4.2</v>
      </c>
    </row>
    <row r="100" spans="1:7" ht="12.75">
      <c r="A100" s="319" t="s">
        <v>298</v>
      </c>
      <c r="B100" s="321" t="s">
        <v>365</v>
      </c>
      <c r="C100" s="294">
        <v>19.4</v>
      </c>
      <c r="D100" s="290">
        <v>35</v>
      </c>
      <c r="E100" s="291">
        <v>0.3</v>
      </c>
      <c r="F100" s="292">
        <v>0.1</v>
      </c>
      <c r="G100" s="296">
        <v>2.4</v>
      </c>
    </row>
    <row r="101" spans="1:7" ht="12.75">
      <c r="A101" s="326" t="s">
        <v>366</v>
      </c>
      <c r="B101" s="328" t="s">
        <v>367</v>
      </c>
      <c r="C101" s="304">
        <v>15.1</v>
      </c>
      <c r="D101" s="290">
        <v>61</v>
      </c>
      <c r="E101" s="291">
        <v>0.51</v>
      </c>
      <c r="F101" s="292">
        <v>0.21</v>
      </c>
      <c r="G101" s="305">
        <v>5</v>
      </c>
    </row>
    <row r="102" spans="1:7" ht="12.75">
      <c r="A102" s="326" t="s">
        <v>366</v>
      </c>
      <c r="B102" s="328" t="s">
        <v>368</v>
      </c>
      <c r="C102" s="304">
        <v>14.9</v>
      </c>
      <c r="D102" s="290">
        <v>60</v>
      </c>
      <c r="E102" s="291">
        <v>0.51</v>
      </c>
      <c r="F102" s="292">
        <v>0.21</v>
      </c>
      <c r="G102" s="305">
        <v>4.2</v>
      </c>
    </row>
    <row r="103" spans="1:7" ht="12.75">
      <c r="A103" s="326" t="s">
        <v>369</v>
      </c>
      <c r="B103" s="321" t="s">
        <v>369</v>
      </c>
      <c r="C103" s="294">
        <v>11.4</v>
      </c>
      <c r="D103" s="290">
        <v>50</v>
      </c>
      <c r="E103" s="291">
        <v>0.37</v>
      </c>
      <c r="F103" s="292">
        <v>0.13</v>
      </c>
      <c r="G103" s="296">
        <v>3.7</v>
      </c>
    </row>
    <row r="104" spans="1:7" ht="12.75">
      <c r="A104" s="326" t="s">
        <v>369</v>
      </c>
      <c r="B104" s="321" t="s">
        <v>370</v>
      </c>
      <c r="C104" s="294">
        <v>22.6</v>
      </c>
      <c r="D104" s="290">
        <v>43</v>
      </c>
      <c r="E104" s="291">
        <v>0.37</v>
      </c>
      <c r="F104" s="292">
        <v>0.13</v>
      </c>
      <c r="G104" s="296">
        <v>3.7</v>
      </c>
    </row>
    <row r="105" spans="1:7" ht="12.75">
      <c r="A105" s="319" t="s">
        <v>371</v>
      </c>
      <c r="B105" s="320" t="s">
        <v>372</v>
      </c>
      <c r="C105" s="289">
        <v>14.1</v>
      </c>
      <c r="D105" s="290">
        <v>40</v>
      </c>
      <c r="E105" s="291">
        <v>0.3</v>
      </c>
      <c r="F105" s="292">
        <v>0.1</v>
      </c>
      <c r="G105" s="293">
        <v>1.8</v>
      </c>
    </row>
    <row r="106" spans="1:7" ht="12.75">
      <c r="A106" s="319" t="s">
        <v>371</v>
      </c>
      <c r="B106" s="321" t="s">
        <v>373</v>
      </c>
      <c r="C106" s="294">
        <v>10.3</v>
      </c>
      <c r="D106" s="290">
        <v>40</v>
      </c>
      <c r="E106" s="291">
        <v>0.3</v>
      </c>
      <c r="F106" s="292">
        <v>0.1</v>
      </c>
      <c r="G106" s="296">
        <v>1.8</v>
      </c>
    </row>
    <row r="107" spans="1:7" ht="12.75">
      <c r="A107" s="319" t="s">
        <v>374</v>
      </c>
      <c r="B107" s="321" t="s">
        <v>375</v>
      </c>
      <c r="C107" s="294">
        <v>9.8</v>
      </c>
      <c r="D107" s="290">
        <v>45</v>
      </c>
      <c r="E107" s="291">
        <v>0.32</v>
      </c>
      <c r="F107" s="292">
        <v>0.1</v>
      </c>
      <c r="G107" s="296">
        <v>2.2</v>
      </c>
    </row>
    <row r="108" spans="1:7" ht="12.75">
      <c r="A108" s="319" t="s">
        <v>374</v>
      </c>
      <c r="B108" s="321" t="s">
        <v>376</v>
      </c>
      <c r="C108" s="294">
        <v>7.1</v>
      </c>
      <c r="D108" s="290">
        <v>50</v>
      </c>
      <c r="E108" s="291">
        <v>0.32</v>
      </c>
      <c r="F108" s="292">
        <v>0.1</v>
      </c>
      <c r="G108" s="296">
        <v>2.2</v>
      </c>
    </row>
    <row r="109" spans="1:7" ht="12.75">
      <c r="A109" s="319" t="s">
        <v>377</v>
      </c>
      <c r="B109" s="321" t="s">
        <v>378</v>
      </c>
      <c r="C109" s="294">
        <v>16.7</v>
      </c>
      <c r="D109" s="290">
        <v>40</v>
      </c>
      <c r="E109" s="291">
        <v>0.3</v>
      </c>
      <c r="F109" s="292">
        <v>0.1</v>
      </c>
      <c r="G109" s="296">
        <v>2.2</v>
      </c>
    </row>
    <row r="110" spans="1:7" ht="12.75">
      <c r="A110" s="319" t="s">
        <v>377</v>
      </c>
      <c r="B110" s="321" t="s">
        <v>379</v>
      </c>
      <c r="C110" s="294">
        <v>23.9</v>
      </c>
      <c r="D110" s="290">
        <v>40</v>
      </c>
      <c r="E110" s="291">
        <v>0.3</v>
      </c>
      <c r="F110" s="292">
        <v>0.1</v>
      </c>
      <c r="G110" s="296">
        <v>2.2</v>
      </c>
    </row>
    <row r="111" spans="1:7" ht="12.75">
      <c r="A111" s="319" t="s">
        <v>377</v>
      </c>
      <c r="B111" s="321" t="s">
        <v>380</v>
      </c>
      <c r="C111" s="294">
        <v>16.1</v>
      </c>
      <c r="D111" s="290">
        <v>40</v>
      </c>
      <c r="E111" s="291">
        <v>0.3</v>
      </c>
      <c r="F111" s="292">
        <v>0.1</v>
      </c>
      <c r="G111" s="296">
        <v>2</v>
      </c>
    </row>
    <row r="112" spans="1:7" ht="12.75">
      <c r="A112" s="319" t="s">
        <v>381</v>
      </c>
      <c r="B112" s="321" t="s">
        <v>382</v>
      </c>
      <c r="C112" s="294">
        <v>11</v>
      </c>
      <c r="D112" s="290">
        <v>35</v>
      </c>
      <c r="E112" s="291">
        <v>0.32</v>
      </c>
      <c r="F112" s="292">
        <v>0.1</v>
      </c>
      <c r="G112" s="296">
        <v>2</v>
      </c>
    </row>
    <row r="113" spans="1:7" ht="12.75">
      <c r="A113" s="326" t="s">
        <v>381</v>
      </c>
      <c r="B113" s="321" t="s">
        <v>381</v>
      </c>
      <c r="C113" s="294">
        <v>8.3</v>
      </c>
      <c r="D113" s="290">
        <v>40</v>
      </c>
      <c r="E113" s="291">
        <v>0.32</v>
      </c>
      <c r="F113" s="292">
        <v>0.1</v>
      </c>
      <c r="G113" s="296">
        <v>2</v>
      </c>
    </row>
    <row r="114" spans="1:7" ht="12.75">
      <c r="A114" s="319" t="s">
        <v>383</v>
      </c>
      <c r="B114" s="321" t="s">
        <v>384</v>
      </c>
      <c r="C114" s="294">
        <v>14.8</v>
      </c>
      <c r="D114" s="290">
        <v>40</v>
      </c>
      <c r="E114" s="302">
        <v>0.3</v>
      </c>
      <c r="F114" s="303">
        <v>0.1</v>
      </c>
      <c r="G114" s="296">
        <v>2</v>
      </c>
    </row>
    <row r="115" spans="1:9" ht="12.75">
      <c r="A115" s="324" t="s">
        <v>385</v>
      </c>
      <c r="B115" s="329" t="s">
        <v>385</v>
      </c>
      <c r="C115" s="306">
        <v>17</v>
      </c>
      <c r="D115" s="298">
        <v>48</v>
      </c>
      <c r="E115" s="307">
        <v>0.46</v>
      </c>
      <c r="F115" s="308">
        <v>0.17</v>
      </c>
      <c r="G115" s="309">
        <v>4</v>
      </c>
      <c r="H115" s="278" t="s">
        <v>435</v>
      </c>
      <c r="I115" s="281" t="s">
        <v>386</v>
      </c>
    </row>
    <row r="116" spans="1:7" ht="12.75">
      <c r="A116" s="319" t="s">
        <v>387</v>
      </c>
      <c r="B116" s="321" t="s">
        <v>388</v>
      </c>
      <c r="C116" s="294">
        <v>19.2</v>
      </c>
      <c r="D116" s="290">
        <v>35</v>
      </c>
      <c r="E116" s="302">
        <v>0.32</v>
      </c>
      <c r="F116" s="303">
        <v>0.1</v>
      </c>
      <c r="G116" s="296">
        <v>2.6</v>
      </c>
    </row>
    <row r="117" spans="1:7" ht="12.75">
      <c r="A117" s="319" t="s">
        <v>387</v>
      </c>
      <c r="B117" s="321" t="s">
        <v>389</v>
      </c>
      <c r="C117" s="294">
        <v>16.5</v>
      </c>
      <c r="D117" s="290">
        <v>35</v>
      </c>
      <c r="E117" s="302">
        <v>0.32</v>
      </c>
      <c r="F117" s="303">
        <v>0.1</v>
      </c>
      <c r="G117" s="296">
        <v>2.6</v>
      </c>
    </row>
    <row r="118" spans="1:7" ht="12.75">
      <c r="A118" s="326" t="s">
        <v>390</v>
      </c>
      <c r="B118" s="328" t="s">
        <v>391</v>
      </c>
      <c r="C118" s="304">
        <v>14.8</v>
      </c>
      <c r="D118" s="290">
        <v>35</v>
      </c>
      <c r="E118" s="310">
        <v>0.33</v>
      </c>
      <c r="F118" s="311">
        <v>0.1</v>
      </c>
      <c r="G118" s="305">
        <v>2.4</v>
      </c>
    </row>
    <row r="119" spans="1:7" ht="12.75">
      <c r="A119" s="319" t="s">
        <v>392</v>
      </c>
      <c r="B119" s="321" t="s">
        <v>393</v>
      </c>
      <c r="C119" s="294">
        <v>16.7</v>
      </c>
      <c r="D119" s="290">
        <v>51</v>
      </c>
      <c r="E119" s="302">
        <v>0.46</v>
      </c>
      <c r="F119" s="303">
        <v>0.16</v>
      </c>
      <c r="G119" s="296">
        <v>3.6</v>
      </c>
    </row>
    <row r="120" spans="1:7" ht="12.75">
      <c r="A120" s="319" t="s">
        <v>394</v>
      </c>
      <c r="B120" s="321" t="s">
        <v>395</v>
      </c>
      <c r="C120" s="294">
        <v>14.2</v>
      </c>
      <c r="D120" s="290">
        <v>45</v>
      </c>
      <c r="E120" s="302">
        <v>0.4</v>
      </c>
      <c r="F120" s="303">
        <v>0.14</v>
      </c>
      <c r="G120" s="296">
        <v>3.4</v>
      </c>
    </row>
    <row r="121" spans="1:7" ht="12.75">
      <c r="A121" s="319" t="s">
        <v>394</v>
      </c>
      <c r="B121" s="321" t="s">
        <v>396</v>
      </c>
      <c r="C121" s="294">
        <v>14</v>
      </c>
      <c r="D121" s="290">
        <v>48</v>
      </c>
      <c r="E121" s="302">
        <v>0.4</v>
      </c>
      <c r="F121" s="303">
        <v>0.14</v>
      </c>
      <c r="G121" s="296">
        <v>3.4</v>
      </c>
    </row>
    <row r="122" spans="1:7" ht="12.75">
      <c r="A122" s="319" t="s">
        <v>394</v>
      </c>
      <c r="B122" s="321" t="s">
        <v>397</v>
      </c>
      <c r="C122" s="294">
        <v>12.9</v>
      </c>
      <c r="D122" s="290">
        <v>45</v>
      </c>
      <c r="E122" s="302">
        <v>0.4</v>
      </c>
      <c r="F122" s="303">
        <v>0.14</v>
      </c>
      <c r="G122" s="296">
        <v>3.4</v>
      </c>
    </row>
    <row r="123" spans="1:7" ht="12.75">
      <c r="A123" s="330" t="s">
        <v>398</v>
      </c>
      <c r="B123" s="331" t="s">
        <v>399</v>
      </c>
      <c r="C123" s="312">
        <v>16.5</v>
      </c>
      <c r="D123" s="313">
        <v>56</v>
      </c>
      <c r="E123" s="314">
        <v>0.48</v>
      </c>
      <c r="F123" s="315">
        <v>0.17</v>
      </c>
      <c r="G123" s="316">
        <v>4</v>
      </c>
    </row>
    <row r="124" spans="1:7" ht="12.75">
      <c r="A124" s="156"/>
      <c r="B124" s="156"/>
      <c r="C124" s="157"/>
      <c r="D124" s="157"/>
      <c r="E124" s="157"/>
      <c r="F124" s="157"/>
      <c r="G124" s="157"/>
    </row>
    <row r="125" spans="1:7" ht="14.25">
      <c r="A125" s="156" t="s">
        <v>400</v>
      </c>
      <c r="B125" s="158" t="s">
        <v>401</v>
      </c>
      <c r="C125" s="157"/>
      <c r="D125" s="157"/>
      <c r="E125" s="157"/>
      <c r="F125" s="157"/>
      <c r="G125" s="157"/>
    </row>
    <row r="126" spans="1:7" ht="12.75">
      <c r="A126" s="156"/>
      <c r="B126" s="156" t="s">
        <v>402</v>
      </c>
      <c r="C126" s="157"/>
      <c r="D126" s="157"/>
      <c r="E126" s="157"/>
      <c r="F126" s="157"/>
      <c r="G126" s="157"/>
    </row>
    <row r="127" spans="1:7" ht="14.25">
      <c r="A127" s="156"/>
      <c r="B127" s="158" t="s">
        <v>403</v>
      </c>
      <c r="C127" s="157"/>
      <c r="D127" s="157"/>
      <c r="E127" s="157"/>
      <c r="F127" s="157"/>
      <c r="G127" s="157"/>
    </row>
    <row r="128" spans="1:7" ht="14.25">
      <c r="A128" s="156"/>
      <c r="B128" s="158" t="s">
        <v>404</v>
      </c>
      <c r="C128" s="157"/>
      <c r="D128" s="157"/>
      <c r="E128" s="157"/>
      <c r="F128" s="157"/>
      <c r="G128" s="157"/>
    </row>
    <row r="129" spans="1:7" ht="14.25">
      <c r="A129" s="156"/>
      <c r="B129" s="158" t="s">
        <v>405</v>
      </c>
      <c r="C129" s="157"/>
      <c r="D129" s="157"/>
      <c r="E129" s="157"/>
      <c r="F129" s="157"/>
      <c r="G129" s="157"/>
    </row>
    <row r="130" spans="1:7" ht="12.75">
      <c r="A130" s="156"/>
      <c r="B130" s="156"/>
      <c r="C130" s="157"/>
      <c r="D130" s="157"/>
      <c r="E130" s="157"/>
      <c r="F130" s="157"/>
      <c r="G130" s="159" t="s">
        <v>406</v>
      </c>
    </row>
    <row r="131" spans="1:7" ht="12.75">
      <c r="A131" s="156"/>
      <c r="B131" s="156"/>
      <c r="C131" s="157"/>
      <c r="D131" s="157"/>
      <c r="E131" s="157"/>
      <c r="F131" s="157"/>
      <c r="G131" s="157"/>
    </row>
  </sheetData>
  <mergeCells count="1">
    <mergeCell ref="A1:G1"/>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Q20"/>
  <sheetViews>
    <sheetView workbookViewId="0" topLeftCell="A1">
      <selection activeCell="A1" sqref="A1:Q2"/>
    </sheetView>
  </sheetViews>
  <sheetFormatPr defaultColWidth="9.140625" defaultRowHeight="12.75"/>
  <cols>
    <col min="2" max="8" width="7.7109375" style="0" customWidth="1"/>
    <col min="9" max="9" width="6.7109375" style="0" customWidth="1"/>
    <col min="11" max="17" width="7.7109375" style="0" customWidth="1"/>
  </cols>
  <sheetData>
    <row r="1" spans="1:17" ht="12.75">
      <c r="A1" s="2105" t="s">
        <v>407</v>
      </c>
      <c r="B1" s="2106"/>
      <c r="C1" s="2106"/>
      <c r="D1" s="2106"/>
      <c r="E1" s="2106"/>
      <c r="F1" s="2106"/>
      <c r="G1" s="2106"/>
      <c r="H1" s="2106"/>
      <c r="I1" s="2106"/>
      <c r="J1" s="2106"/>
      <c r="K1" s="2106"/>
      <c r="L1" s="2106"/>
      <c r="M1" s="2106"/>
      <c r="N1" s="2106"/>
      <c r="O1" s="2106"/>
      <c r="P1" s="2106"/>
      <c r="Q1" s="2106"/>
    </row>
    <row r="2" spans="1:17" ht="13.5" thickBot="1">
      <c r="A2" s="2106"/>
      <c r="B2" s="2106"/>
      <c r="C2" s="2106"/>
      <c r="D2" s="2106"/>
      <c r="E2" s="2106"/>
      <c r="F2" s="2106"/>
      <c r="G2" s="2106"/>
      <c r="H2" s="2106"/>
      <c r="I2" s="2106"/>
      <c r="J2" s="2106"/>
      <c r="K2" s="2106"/>
      <c r="L2" s="2106"/>
      <c r="M2" s="2106"/>
      <c r="N2" s="2106"/>
      <c r="O2" s="2106"/>
      <c r="P2" s="2106"/>
      <c r="Q2" s="2106"/>
    </row>
    <row r="3" spans="1:17" ht="15.75">
      <c r="A3" s="160"/>
      <c r="B3" s="161"/>
      <c r="C3" s="161"/>
      <c r="D3" s="161"/>
      <c r="E3" s="161"/>
      <c r="F3" s="161"/>
      <c r="G3" s="162" t="s">
        <v>408</v>
      </c>
      <c r="H3" s="163">
        <v>97</v>
      </c>
      <c r="J3" s="164"/>
      <c r="K3" s="165"/>
      <c r="L3" s="165"/>
      <c r="M3" s="165"/>
      <c r="N3" s="165"/>
      <c r="O3" s="165"/>
      <c r="P3" s="162" t="s">
        <v>409</v>
      </c>
      <c r="Q3" s="166">
        <v>90</v>
      </c>
    </row>
    <row r="4" spans="1:17" ht="15.75" thickBot="1">
      <c r="A4" s="167" t="s">
        <v>410</v>
      </c>
      <c r="B4" s="168">
        <v>0</v>
      </c>
      <c r="C4" s="169">
        <v>1</v>
      </c>
      <c r="D4" s="169">
        <v>2</v>
      </c>
      <c r="E4" s="169">
        <v>3</v>
      </c>
      <c r="F4" s="169">
        <v>4</v>
      </c>
      <c r="G4" s="170">
        <v>5</v>
      </c>
      <c r="H4" s="171">
        <v>6</v>
      </c>
      <c r="J4" s="172" t="s">
        <v>410</v>
      </c>
      <c r="K4" s="173">
        <v>0</v>
      </c>
      <c r="L4" s="174">
        <v>1</v>
      </c>
      <c r="M4" s="174">
        <v>2</v>
      </c>
      <c r="N4" s="174">
        <v>3</v>
      </c>
      <c r="O4" s="174">
        <v>4</v>
      </c>
      <c r="P4" s="174">
        <v>5</v>
      </c>
      <c r="Q4" s="171">
        <v>6</v>
      </c>
    </row>
    <row r="5" spans="1:17" ht="13.5" thickTop="1">
      <c r="A5" s="175">
        <v>0</v>
      </c>
      <c r="B5" s="266">
        <f aca="true" t="shared" si="0" ref="B5:H14">((B$4+$A5)-(0.2*((1000/$H$3)-10)))^2/((B$4+$A5)+0.8*((1000/$H$3)-10))</f>
        <v>0.015463917525773231</v>
      </c>
      <c r="C5" s="267">
        <f t="shared" si="0"/>
        <v>0.705546562153872</v>
      </c>
      <c r="D5" s="267">
        <f t="shared" si="0"/>
        <v>1.671427220278066</v>
      </c>
      <c r="E5" s="267">
        <f t="shared" si="0"/>
        <v>2.6583210603829155</v>
      </c>
      <c r="F5" s="267">
        <f t="shared" si="0"/>
        <v>3.651386247622859</v>
      </c>
      <c r="G5" s="267">
        <f t="shared" si="0"/>
        <v>4.6470945658558325</v>
      </c>
      <c r="H5" s="268">
        <f t="shared" si="0"/>
        <v>5.644176788812901</v>
      </c>
      <c r="J5" s="176">
        <v>0</v>
      </c>
      <c r="K5" s="275">
        <f aca="true" t="shared" si="1" ref="K5:Q14">((K$4+$J5)-(0.2*((1000/$Q$3)-10)))^2/((K$4+$J5)+0.8*((1000/$Q$3)-10))</f>
        <v>0.05555555555555554</v>
      </c>
      <c r="L5" s="276">
        <f t="shared" si="1"/>
        <v>0.3202614379084969</v>
      </c>
      <c r="M5" s="276">
        <f t="shared" si="1"/>
        <v>1.0940170940170943</v>
      </c>
      <c r="N5" s="276">
        <f t="shared" si="1"/>
        <v>1.9841269841269842</v>
      </c>
      <c r="O5" s="276">
        <f t="shared" si="1"/>
        <v>2.9191919191919196</v>
      </c>
      <c r="P5" s="276">
        <f t="shared" si="1"/>
        <v>3.8763102725366876</v>
      </c>
      <c r="Q5" s="277">
        <f t="shared" si="1"/>
        <v>4.845878136200717</v>
      </c>
    </row>
    <row r="6" spans="1:17" ht="12.75">
      <c r="A6" s="177">
        <v>0.1</v>
      </c>
      <c r="B6" s="269">
        <f t="shared" si="0"/>
        <v>0.004187953134081765</v>
      </c>
      <c r="C6" s="270">
        <f t="shared" si="0"/>
        <v>0.799855654327609</v>
      </c>
      <c r="D6" s="270">
        <f t="shared" si="0"/>
        <v>1.7696141151542313</v>
      </c>
      <c r="E6" s="270">
        <f t="shared" si="0"/>
        <v>2.7574411272578327</v>
      </c>
      <c r="F6" s="270">
        <f t="shared" si="0"/>
        <v>3.750868233390131</v>
      </c>
      <c r="G6" s="270">
        <f t="shared" si="0"/>
        <v>4.746753680394483</v>
      </c>
      <c r="H6" s="271">
        <f t="shared" si="0"/>
        <v>5.743935575800907</v>
      </c>
      <c r="J6" s="176">
        <v>0.1</v>
      </c>
      <c r="K6" s="269">
        <f t="shared" si="1"/>
        <v>0.01510611735330835</v>
      </c>
      <c r="L6" s="270">
        <f t="shared" si="1"/>
        <v>0.3873991309745502</v>
      </c>
      <c r="M6" s="270">
        <f t="shared" si="1"/>
        <v>1.1797191243287901</v>
      </c>
      <c r="N6" s="270">
        <f t="shared" si="1"/>
        <v>2.076168368926029</v>
      </c>
      <c r="O6" s="270">
        <f t="shared" si="1"/>
        <v>3.014130165800544</v>
      </c>
      <c r="P6" s="270">
        <f t="shared" si="1"/>
        <v>3.972809729952587</v>
      </c>
      <c r="Q6" s="271">
        <f t="shared" si="1"/>
        <v>4.943313902137431</v>
      </c>
    </row>
    <row r="7" spans="1:17" ht="12.75">
      <c r="A7" s="177">
        <v>0.2</v>
      </c>
      <c r="B7" s="269">
        <f t="shared" si="0"/>
        <v>0.04265285761793896</v>
      </c>
      <c r="C7" s="270">
        <f t="shared" si="0"/>
        <v>0.8949510970129518</v>
      </c>
      <c r="D7" s="270">
        <f t="shared" si="0"/>
        <v>1.8679491744760675</v>
      </c>
      <c r="E7" s="270">
        <f t="shared" si="0"/>
        <v>2.856612242884624</v>
      </c>
      <c r="F7" s="270">
        <f t="shared" si="0"/>
        <v>3.8503735141878037</v>
      </c>
      <c r="G7" s="270">
        <f t="shared" si="0"/>
        <v>4.846425310409951</v>
      </c>
      <c r="H7" s="271">
        <f t="shared" si="0"/>
        <v>5.843701845252029</v>
      </c>
      <c r="J7" s="176">
        <v>0.2</v>
      </c>
      <c r="K7" s="269">
        <f t="shared" si="1"/>
        <v>0.0004535147392290219</v>
      </c>
      <c r="L7" s="270">
        <f t="shared" si="1"/>
        <v>0.4576832151300238</v>
      </c>
      <c r="M7" s="270">
        <f t="shared" si="1"/>
        <v>1.266346922462031</v>
      </c>
      <c r="N7" s="270">
        <f t="shared" si="1"/>
        <v>2.168599033816425</v>
      </c>
      <c r="O7" s="270">
        <f t="shared" si="1"/>
        <v>3.109267345948569</v>
      </c>
      <c r="P7" s="270">
        <f t="shared" si="1"/>
        <v>4.069424168694242</v>
      </c>
      <c r="Q7" s="271">
        <f t="shared" si="1"/>
        <v>5.0408220132358075</v>
      </c>
    </row>
    <row r="8" spans="1:17" ht="12.75">
      <c r="A8" s="177">
        <v>0.3</v>
      </c>
      <c r="B8" s="269">
        <f t="shared" si="0"/>
        <v>0.10359951074611196</v>
      </c>
      <c r="C8" s="270">
        <f t="shared" si="0"/>
        <v>0.9906804398442268</v>
      </c>
      <c r="D8" s="270">
        <f t="shared" si="0"/>
        <v>1.9664149494966343</v>
      </c>
      <c r="E8" s="270">
        <f t="shared" si="0"/>
        <v>2.9558300901500094</v>
      </c>
      <c r="F8" s="270">
        <f t="shared" si="0"/>
        <v>3.9499005532092912</v>
      </c>
      <c r="G8" s="270">
        <f t="shared" si="0"/>
        <v>4.94610877907567</v>
      </c>
      <c r="H8" s="271">
        <f t="shared" si="0"/>
        <v>5.943475254323127</v>
      </c>
      <c r="J8" s="176">
        <v>0.3</v>
      </c>
      <c r="K8" s="269">
        <f t="shared" si="1"/>
        <v>0.005088265835929396</v>
      </c>
      <c r="L8" s="270">
        <f t="shared" si="1"/>
        <v>0.5306824591088553</v>
      </c>
      <c r="M8" s="270">
        <f t="shared" si="1"/>
        <v>1.3538133952768097</v>
      </c>
      <c r="N8" s="270">
        <f t="shared" si="1"/>
        <v>2.261391099322134</v>
      </c>
      <c r="O8" s="270">
        <f t="shared" si="1"/>
        <v>3.2045919581251487</v>
      </c>
      <c r="P8" s="270">
        <f t="shared" si="1"/>
        <v>4.166148015160583</v>
      </c>
      <c r="Q8" s="271">
        <f t="shared" si="1"/>
        <v>5.138399450455092</v>
      </c>
    </row>
    <row r="9" spans="1:17" ht="12.75">
      <c r="A9" s="177">
        <v>0.4</v>
      </c>
      <c r="B9" s="269">
        <f t="shared" si="0"/>
        <v>0.17661041434105956</v>
      </c>
      <c r="C9" s="270">
        <f t="shared" si="0"/>
        <v>1.0869282479387887</v>
      </c>
      <c r="D9" s="270">
        <f t="shared" si="0"/>
        <v>2.0649966278061465</v>
      </c>
      <c r="E9" s="270">
        <f t="shared" si="0"/>
        <v>3.055090825383319</v>
      </c>
      <c r="F9" s="270">
        <f t="shared" si="0"/>
        <v>4.04944794591974</v>
      </c>
      <c r="G9" s="270">
        <f t="shared" si="0"/>
        <v>5.045803457503868</v>
      </c>
      <c r="H9" s="271">
        <f t="shared" si="0"/>
        <v>6.043255480801208</v>
      </c>
      <c r="J9" s="176">
        <v>0.4</v>
      </c>
      <c r="K9" s="269">
        <f t="shared" si="1"/>
        <v>0.024521072796934894</v>
      </c>
      <c r="L9" s="270">
        <f t="shared" si="1"/>
        <v>0.6060409924487595</v>
      </c>
      <c r="M9" s="270">
        <f t="shared" si="1"/>
        <v>1.442042042042042</v>
      </c>
      <c r="N9" s="270">
        <f t="shared" si="1"/>
        <v>2.3545192861255035</v>
      </c>
      <c r="O9" s="270">
        <f t="shared" si="1"/>
        <v>3.3000933706816067</v>
      </c>
      <c r="P9" s="270">
        <f t="shared" si="1"/>
        <v>4.262976050255203</v>
      </c>
      <c r="Q9" s="271">
        <f t="shared" si="1"/>
        <v>5.236043360433604</v>
      </c>
    </row>
    <row r="10" spans="1:17" ht="12.75">
      <c r="A10" s="177">
        <v>0.5</v>
      </c>
      <c r="B10" s="269">
        <f t="shared" si="0"/>
        <v>0.25684322787060043</v>
      </c>
      <c r="C10" s="270">
        <f t="shared" si="0"/>
        <v>1.1836055104461265</v>
      </c>
      <c r="D10" s="270">
        <f t="shared" si="0"/>
        <v>2.1636815535482867</v>
      </c>
      <c r="E10" s="270">
        <f t="shared" si="0"/>
        <v>3.1543910151873953</v>
      </c>
      <c r="F10" s="270">
        <f t="shared" si="0"/>
        <v>4.149014406125121</v>
      </c>
      <c r="G10" s="270">
        <f t="shared" si="0"/>
        <v>5.1455087605751</v>
      </c>
      <c r="H10" s="271">
        <f t="shared" si="0"/>
        <v>6.143042221574665</v>
      </c>
      <c r="J10" s="176">
        <v>0.5</v>
      </c>
      <c r="K10" s="269">
        <f t="shared" si="1"/>
        <v>0.055555555555555594</v>
      </c>
      <c r="L10" s="270">
        <f t="shared" si="1"/>
        <v>0.6834625322997419</v>
      </c>
      <c r="M10" s="270">
        <f t="shared" si="1"/>
        <v>1.5309653916211294</v>
      </c>
      <c r="N10" s="270">
        <f t="shared" si="1"/>
        <v>2.447960618846695</v>
      </c>
      <c r="O10" s="270">
        <f t="shared" si="1"/>
        <v>3.3957617411225662</v>
      </c>
      <c r="P10" s="270">
        <f t="shared" si="1"/>
        <v>4.359903381642512</v>
      </c>
      <c r="Q10" s="271">
        <f t="shared" si="1"/>
        <v>5.333751044277361</v>
      </c>
    </row>
    <row r="11" spans="1:17" ht="12.75">
      <c r="A11" s="177">
        <v>0.6</v>
      </c>
      <c r="B11" s="269">
        <f t="shared" si="0"/>
        <v>0.3417412897885465</v>
      </c>
      <c r="C11" s="270">
        <f t="shared" si="0"/>
        <v>1.280642488954344</v>
      </c>
      <c r="D11" s="270">
        <f t="shared" si="0"/>
        <v>2.2624588487350414</v>
      </c>
      <c r="E11" s="270">
        <f t="shared" si="0"/>
        <v>3.253727583120628</v>
      </c>
      <c r="F11" s="270">
        <f t="shared" si="0"/>
        <v>4.248598753765671</v>
      </c>
      <c r="G11" s="270">
        <f t="shared" si="0"/>
        <v>5.24522414319573</v>
      </c>
      <c r="H11" s="271">
        <f t="shared" si="0"/>
        <v>6.242835191238509</v>
      </c>
      <c r="J11" s="176">
        <v>0.6</v>
      </c>
      <c r="K11" s="269">
        <f t="shared" si="1"/>
        <v>0.09585406301824217</v>
      </c>
      <c r="L11" s="270">
        <f t="shared" si="1"/>
        <v>0.7626984126984129</v>
      </c>
      <c r="M11" s="270">
        <f t="shared" si="1"/>
        <v>1.6205237084217974</v>
      </c>
      <c r="N11" s="270">
        <f t="shared" si="1"/>
        <v>2.5416941694169415</v>
      </c>
      <c r="O11" s="270">
        <f t="shared" si="1"/>
        <v>3.491587944219523</v>
      </c>
      <c r="P11" s="270">
        <f t="shared" si="1"/>
        <v>4.456925418569254</v>
      </c>
      <c r="Q11" s="271">
        <f t="shared" si="1"/>
        <v>5.43151994724695</v>
      </c>
    </row>
    <row r="12" spans="1:17" ht="12.75">
      <c r="A12" s="177">
        <v>0.7</v>
      </c>
      <c r="B12" s="269">
        <f t="shared" si="0"/>
        <v>0.42982735604590333</v>
      </c>
      <c r="C12" s="270">
        <f t="shared" si="0"/>
        <v>1.3779837692991974</v>
      </c>
      <c r="D12" s="270">
        <f t="shared" si="0"/>
        <v>2.361319111649592</v>
      </c>
      <c r="E12" s="270">
        <f t="shared" si="0"/>
        <v>3.3530977644832025</v>
      </c>
      <c r="F12" s="270">
        <f t="shared" si="0"/>
        <v>4.348199904189661</v>
      </c>
      <c r="G12" s="270">
        <f t="shared" si="0"/>
        <v>5.344949096932949</v>
      </c>
      <c r="H12" s="271">
        <f t="shared" si="0"/>
        <v>6.342634120820031</v>
      </c>
      <c r="J12" s="176">
        <v>0.7</v>
      </c>
      <c r="K12" s="269">
        <f t="shared" si="1"/>
        <v>0.1436674436674437</v>
      </c>
      <c r="L12" s="270">
        <f t="shared" si="1"/>
        <v>0.8435383881735815</v>
      </c>
      <c r="M12" s="270">
        <f t="shared" si="1"/>
        <v>1.7106639146886826</v>
      </c>
      <c r="N12" s="270">
        <f t="shared" si="1"/>
        <v>2.635700834005919</v>
      </c>
      <c r="O12" s="270">
        <f t="shared" si="1"/>
        <v>3.587563507841838</v>
      </c>
      <c r="P12" s="270">
        <f t="shared" si="1"/>
        <v>4.554037848978828</v>
      </c>
      <c r="Q12" s="271">
        <f t="shared" si="1"/>
        <v>5.529347649259802</v>
      </c>
    </row>
    <row r="13" spans="1:17" ht="12.75">
      <c r="A13" s="177">
        <v>0.8</v>
      </c>
      <c r="B13" s="269">
        <f t="shared" si="0"/>
        <v>0.5201883269745916</v>
      </c>
      <c r="C13" s="270">
        <f t="shared" si="0"/>
        <v>1.4755847634472226</v>
      </c>
      <c r="D13" s="270">
        <f t="shared" si="0"/>
        <v>2.4602541746299673</v>
      </c>
      <c r="E13" s="270">
        <f t="shared" si="0"/>
        <v>3.4524990678059555</v>
      </c>
      <c r="F13" s="270">
        <f t="shared" si="0"/>
        <v>4.447816858702243</v>
      </c>
      <c r="G13" s="270">
        <f t="shared" si="0"/>
        <v>5.444683146983666</v>
      </c>
      <c r="H13" s="271">
        <f t="shared" si="0"/>
        <v>6.442438756612958</v>
      </c>
      <c r="J13" s="176">
        <v>0.8</v>
      </c>
      <c r="K13" s="269">
        <f t="shared" si="1"/>
        <v>0.19766081871345045</v>
      </c>
      <c r="L13" s="270">
        <f t="shared" si="1"/>
        <v>0.9258034894398534</v>
      </c>
      <c r="M13" s="270">
        <f t="shared" si="1"/>
        <v>1.8013386880856759</v>
      </c>
      <c r="N13" s="270">
        <f t="shared" si="1"/>
        <v>2.7299631384939445</v>
      </c>
      <c r="O13" s="270">
        <f t="shared" si="1"/>
        <v>3.683680555555555</v>
      </c>
      <c r="P13" s="270">
        <f t="shared" si="1"/>
        <v>4.651236618678479</v>
      </c>
      <c r="Q13" s="271">
        <f t="shared" si="1"/>
        <v>5.62723185613359</v>
      </c>
    </row>
    <row r="14" spans="1:17" ht="13.5" thickBot="1">
      <c r="A14" s="178">
        <v>0.9</v>
      </c>
      <c r="B14" s="272">
        <f t="shared" si="0"/>
        <v>0.6122294161780638</v>
      </c>
      <c r="C14" s="273">
        <f t="shared" si="0"/>
        <v>1.5734091887691712</v>
      </c>
      <c r="D14" s="273">
        <f t="shared" si="0"/>
        <v>2.5592569080269185</v>
      </c>
      <c r="E14" s="273">
        <f t="shared" si="0"/>
        <v>3.5519292419105595</v>
      </c>
      <c r="F14" s="273">
        <f t="shared" si="0"/>
        <v>4.547448696215939</v>
      </c>
      <c r="G14" s="273">
        <f t="shared" si="0"/>
        <v>5.54442584943924</v>
      </c>
      <c r="H14" s="274">
        <f t="shared" si="0"/>
        <v>6.542248859109503</v>
      </c>
      <c r="J14" s="179">
        <v>0.9</v>
      </c>
      <c r="K14" s="272">
        <f t="shared" si="1"/>
        <v>0.25679779158040034</v>
      </c>
      <c r="L14" s="273">
        <f t="shared" si="1"/>
        <v>1.0093404161133246</v>
      </c>
      <c r="M14" s="273">
        <f t="shared" si="1"/>
        <v>1.8925057021831213</v>
      </c>
      <c r="N14" s="273">
        <f t="shared" si="1"/>
        <v>2.824465068316576</v>
      </c>
      <c r="O14" s="273">
        <f t="shared" si="1"/>
        <v>3.779931755171679</v>
      </c>
      <c r="P14" s="273">
        <f t="shared" si="1"/>
        <v>4.7485179123477</v>
      </c>
      <c r="Q14" s="274">
        <f t="shared" si="1"/>
        <v>5.7251703915042</v>
      </c>
    </row>
    <row r="16" ht="12.75">
      <c r="A16" s="180" t="s">
        <v>411</v>
      </c>
    </row>
    <row r="18" spans="7:8" ht="12.75">
      <c r="G18" s="181" t="s">
        <v>412</v>
      </c>
      <c r="H18" t="s">
        <v>413</v>
      </c>
    </row>
    <row r="19" ht="12.75">
      <c r="H19" t="s">
        <v>414</v>
      </c>
    </row>
    <row r="20" ht="12.75">
      <c r="H20" t="s">
        <v>415</v>
      </c>
    </row>
  </sheetData>
  <mergeCells count="1">
    <mergeCell ref="A1:Q2"/>
  </mergeCells>
  <printOptions/>
  <pageMargins left="0.75" right="0.75" top="1" bottom="1" header="0.5" footer="0.5"/>
  <pageSetup horizontalDpi="600" verticalDpi="600" orientation="portrait" r:id="rId3"/>
  <legacyDrawing r:id="rId2"/>
  <oleObjects>
    <oleObject progId="Equation.3" shapeId="119240" r:id="rId1"/>
  </oleObjects>
</worksheet>
</file>

<file path=xl/worksheets/sheet15.xml><?xml version="1.0" encoding="utf-8"?>
<worksheet xmlns="http://schemas.openxmlformats.org/spreadsheetml/2006/main" xmlns:r="http://schemas.openxmlformats.org/officeDocument/2006/relationships">
  <dimension ref="A1:AC842"/>
  <sheetViews>
    <sheetView workbookViewId="0" topLeftCell="P1">
      <selection activeCell="A1" sqref="A1:P1"/>
    </sheetView>
  </sheetViews>
  <sheetFormatPr defaultColWidth="9.140625" defaultRowHeight="12.75"/>
  <cols>
    <col min="1" max="1" width="3.7109375" style="0" customWidth="1"/>
    <col min="2" max="2" width="6.7109375" style="0" customWidth="1"/>
    <col min="21" max="21" width="10.7109375" style="346" customWidth="1"/>
    <col min="22" max="24" width="9.7109375" style="346" customWidth="1"/>
  </cols>
  <sheetData>
    <row r="1" spans="1:16" ht="15.75" thickBot="1">
      <c r="A1" s="2107" t="s">
        <v>416</v>
      </c>
      <c r="B1" s="2107"/>
      <c r="C1" s="2107"/>
      <c r="D1" s="2107"/>
      <c r="E1" s="2107"/>
      <c r="F1" s="2107"/>
      <c r="G1" s="2107"/>
      <c r="H1" s="2107"/>
      <c r="I1" s="2107"/>
      <c r="J1" s="2107"/>
      <c r="K1" s="2107"/>
      <c r="L1" s="2107"/>
      <c r="M1" s="2107"/>
      <c r="N1" s="2107"/>
      <c r="O1" s="2107"/>
      <c r="P1" s="2107"/>
    </row>
    <row r="2" spans="1:29" ht="14.25">
      <c r="A2" s="182"/>
      <c r="B2" s="183">
        <v>5</v>
      </c>
      <c r="C2" s="184" t="s">
        <v>417</v>
      </c>
      <c r="D2" s="185"/>
      <c r="E2" s="185"/>
      <c r="F2" s="185"/>
      <c r="G2" s="186" t="s">
        <v>418</v>
      </c>
      <c r="H2" s="185"/>
      <c r="I2" s="185"/>
      <c r="J2" s="185"/>
      <c r="K2" s="185"/>
      <c r="L2" s="185"/>
      <c r="M2" s="185"/>
      <c r="N2" s="187">
        <v>3</v>
      </c>
      <c r="O2" s="187" t="s">
        <v>419</v>
      </c>
      <c r="P2" s="188"/>
      <c r="U2" s="451" t="s">
        <v>560</v>
      </c>
      <c r="V2" s="451" t="s">
        <v>561</v>
      </c>
      <c r="W2" s="451" t="s">
        <v>562</v>
      </c>
      <c r="X2" s="451" t="s">
        <v>563</v>
      </c>
      <c r="AA2" s="454" t="s">
        <v>562</v>
      </c>
      <c r="AB2" s="454" t="s">
        <v>563</v>
      </c>
      <c r="AC2" s="454" t="s">
        <v>560</v>
      </c>
    </row>
    <row r="3" spans="1:24" ht="12.75">
      <c r="A3" s="189"/>
      <c r="B3" s="190"/>
      <c r="C3" s="191">
        <v>50</v>
      </c>
      <c r="D3" s="192">
        <v>75</v>
      </c>
      <c r="E3" s="192">
        <v>100</v>
      </c>
      <c r="F3" s="192">
        <v>125</v>
      </c>
      <c r="G3" s="192">
        <v>150</v>
      </c>
      <c r="H3" s="192">
        <v>175</v>
      </c>
      <c r="I3" s="192">
        <v>200</v>
      </c>
      <c r="J3" s="192">
        <v>225</v>
      </c>
      <c r="K3" s="192">
        <v>250</v>
      </c>
      <c r="L3" s="192">
        <v>275</v>
      </c>
      <c r="M3" s="192">
        <v>300</v>
      </c>
      <c r="N3" s="192">
        <v>350</v>
      </c>
      <c r="O3" s="192">
        <v>400</v>
      </c>
      <c r="P3" s="193">
        <v>500</v>
      </c>
      <c r="U3" s="456">
        <v>6500</v>
      </c>
      <c r="V3" s="346">
        <v>5</v>
      </c>
      <c r="W3" s="346">
        <v>50</v>
      </c>
      <c r="X3" s="346">
        <v>50</v>
      </c>
    </row>
    <row r="4" spans="1:24" ht="12.75">
      <c r="A4" s="194"/>
      <c r="B4" s="195">
        <v>50</v>
      </c>
      <c r="C4" s="196">
        <f aca="true" t="shared" si="0" ref="C4:P17">($B4*C$3*$B$2)-($N$2*$B$2^2*($B4+C$3))+(4*$N$2^2*$B$2^3/3)</f>
        <v>6500</v>
      </c>
      <c r="D4" s="196">
        <f t="shared" si="0"/>
        <v>10875</v>
      </c>
      <c r="E4" s="196">
        <f t="shared" si="0"/>
        <v>15250</v>
      </c>
      <c r="F4" s="196">
        <f t="shared" si="0"/>
        <v>19625</v>
      </c>
      <c r="G4" s="196">
        <f t="shared" si="0"/>
        <v>24000</v>
      </c>
      <c r="H4" s="196">
        <f t="shared" si="0"/>
        <v>28375</v>
      </c>
      <c r="I4" s="196">
        <f t="shared" si="0"/>
        <v>32750</v>
      </c>
      <c r="J4" s="196">
        <f t="shared" si="0"/>
        <v>37125</v>
      </c>
      <c r="K4" s="196">
        <f t="shared" si="0"/>
        <v>41500</v>
      </c>
      <c r="L4" s="196">
        <f t="shared" si="0"/>
        <v>45875</v>
      </c>
      <c r="M4" s="196">
        <f t="shared" si="0"/>
        <v>50250</v>
      </c>
      <c r="N4" s="196">
        <f t="shared" si="0"/>
        <v>59000</v>
      </c>
      <c r="O4" s="196">
        <f t="shared" si="0"/>
        <v>67750</v>
      </c>
      <c r="P4" s="197">
        <f t="shared" si="0"/>
        <v>85250</v>
      </c>
      <c r="U4" s="452">
        <v>6792</v>
      </c>
      <c r="V4" s="346">
        <v>6</v>
      </c>
      <c r="W4" s="346">
        <v>50</v>
      </c>
      <c r="X4" s="346">
        <v>50</v>
      </c>
    </row>
    <row r="5" spans="1:24" ht="15.75">
      <c r="A5" s="194" t="s">
        <v>420</v>
      </c>
      <c r="B5" s="198">
        <v>75</v>
      </c>
      <c r="C5" s="196">
        <f t="shared" si="0"/>
        <v>10875</v>
      </c>
      <c r="D5" s="196">
        <f t="shared" si="0"/>
        <v>18375</v>
      </c>
      <c r="E5" s="196">
        <f t="shared" si="0"/>
        <v>25875</v>
      </c>
      <c r="F5" s="196">
        <f t="shared" si="0"/>
        <v>33375</v>
      </c>
      <c r="G5" s="196">
        <f t="shared" si="0"/>
        <v>40875</v>
      </c>
      <c r="H5" s="196">
        <f t="shared" si="0"/>
        <v>48375</v>
      </c>
      <c r="I5" s="196">
        <f t="shared" si="0"/>
        <v>55875</v>
      </c>
      <c r="J5" s="196">
        <f t="shared" si="0"/>
        <v>63375</v>
      </c>
      <c r="K5" s="196">
        <f t="shared" si="0"/>
        <v>70875</v>
      </c>
      <c r="L5" s="196">
        <f t="shared" si="0"/>
        <v>78375</v>
      </c>
      <c r="M5" s="196">
        <f t="shared" si="0"/>
        <v>85875</v>
      </c>
      <c r="N5" s="196">
        <f t="shared" si="0"/>
        <v>100875</v>
      </c>
      <c r="O5" s="196">
        <f t="shared" si="0"/>
        <v>115875</v>
      </c>
      <c r="P5" s="197">
        <f t="shared" si="0"/>
        <v>145875</v>
      </c>
      <c r="U5" s="456">
        <v>6916</v>
      </c>
      <c r="V5" s="346">
        <v>7</v>
      </c>
      <c r="W5" s="346">
        <v>50</v>
      </c>
      <c r="X5" s="346">
        <v>50</v>
      </c>
    </row>
    <row r="6" spans="1:24" ht="13.5">
      <c r="A6" s="194" t="s">
        <v>421</v>
      </c>
      <c r="B6" s="198">
        <v>100</v>
      </c>
      <c r="C6" s="196">
        <f t="shared" si="0"/>
        <v>15250</v>
      </c>
      <c r="D6" s="196">
        <f t="shared" si="0"/>
        <v>25875</v>
      </c>
      <c r="E6" s="196">
        <f t="shared" si="0"/>
        <v>36500</v>
      </c>
      <c r="F6" s="196">
        <f t="shared" si="0"/>
        <v>47125</v>
      </c>
      <c r="G6" s="196">
        <f t="shared" si="0"/>
        <v>57750</v>
      </c>
      <c r="H6" s="196">
        <f t="shared" si="0"/>
        <v>68375</v>
      </c>
      <c r="I6" s="196">
        <f t="shared" si="0"/>
        <v>79000</v>
      </c>
      <c r="J6" s="196">
        <f t="shared" si="0"/>
        <v>89625</v>
      </c>
      <c r="K6" s="196">
        <f t="shared" si="0"/>
        <v>100250</v>
      </c>
      <c r="L6" s="196">
        <f t="shared" si="0"/>
        <v>110875</v>
      </c>
      <c r="M6" s="196">
        <f t="shared" si="0"/>
        <v>121500</v>
      </c>
      <c r="N6" s="196">
        <f t="shared" si="0"/>
        <v>142750</v>
      </c>
      <c r="O6" s="196">
        <f t="shared" si="0"/>
        <v>164000</v>
      </c>
      <c r="P6" s="197">
        <f t="shared" si="0"/>
        <v>206500</v>
      </c>
      <c r="U6" s="456">
        <v>10875</v>
      </c>
      <c r="V6" s="346">
        <v>5</v>
      </c>
      <c r="W6" s="346">
        <v>50</v>
      </c>
      <c r="X6" s="346">
        <v>75</v>
      </c>
    </row>
    <row r="7" spans="1:24" ht="12.75">
      <c r="A7" s="194" t="s">
        <v>422</v>
      </c>
      <c r="B7" s="198">
        <v>125</v>
      </c>
      <c r="C7" s="196">
        <f t="shared" si="0"/>
        <v>19625</v>
      </c>
      <c r="D7" s="196">
        <f t="shared" si="0"/>
        <v>33375</v>
      </c>
      <c r="E7" s="196">
        <f t="shared" si="0"/>
        <v>47125</v>
      </c>
      <c r="F7" s="196">
        <f t="shared" si="0"/>
        <v>60875</v>
      </c>
      <c r="G7" s="196">
        <f t="shared" si="0"/>
        <v>74625</v>
      </c>
      <c r="H7" s="196">
        <f t="shared" si="0"/>
        <v>88375</v>
      </c>
      <c r="I7" s="196">
        <f t="shared" si="0"/>
        <v>102125</v>
      </c>
      <c r="J7" s="196">
        <f t="shared" si="0"/>
        <v>115875</v>
      </c>
      <c r="K7" s="196">
        <f t="shared" si="0"/>
        <v>129625</v>
      </c>
      <c r="L7" s="196">
        <f t="shared" si="0"/>
        <v>143375</v>
      </c>
      <c r="M7" s="196">
        <f t="shared" si="0"/>
        <v>157125</v>
      </c>
      <c r="N7" s="196">
        <f t="shared" si="0"/>
        <v>184625</v>
      </c>
      <c r="O7" s="196">
        <f t="shared" si="0"/>
        <v>212125</v>
      </c>
      <c r="P7" s="197">
        <f t="shared" si="0"/>
        <v>267125</v>
      </c>
      <c r="U7" s="457">
        <v>11592</v>
      </c>
      <c r="V7" s="346">
        <v>6</v>
      </c>
      <c r="W7" s="346">
        <v>50</v>
      </c>
      <c r="X7" s="346">
        <v>75</v>
      </c>
    </row>
    <row r="8" spans="1:24" ht="14.25">
      <c r="A8" s="194" t="s">
        <v>423</v>
      </c>
      <c r="B8" s="198">
        <v>150</v>
      </c>
      <c r="C8" s="196">
        <f t="shared" si="0"/>
        <v>24000</v>
      </c>
      <c r="D8" s="196">
        <f t="shared" si="0"/>
        <v>40875</v>
      </c>
      <c r="E8" s="196">
        <f t="shared" si="0"/>
        <v>57750</v>
      </c>
      <c r="F8" s="196">
        <f t="shared" si="0"/>
        <v>74625</v>
      </c>
      <c r="G8" s="196">
        <f t="shared" si="0"/>
        <v>91500</v>
      </c>
      <c r="H8" s="196">
        <f t="shared" si="0"/>
        <v>108375</v>
      </c>
      <c r="I8" s="196">
        <f t="shared" si="0"/>
        <v>125250</v>
      </c>
      <c r="J8" s="196">
        <f t="shared" si="0"/>
        <v>142125</v>
      </c>
      <c r="K8" s="196">
        <f t="shared" si="0"/>
        <v>159000</v>
      </c>
      <c r="L8" s="196">
        <f t="shared" si="0"/>
        <v>175875</v>
      </c>
      <c r="M8" s="196">
        <f t="shared" si="0"/>
        <v>192750</v>
      </c>
      <c r="N8" s="196">
        <f t="shared" si="0"/>
        <v>226500</v>
      </c>
      <c r="O8" s="196">
        <f t="shared" si="0"/>
        <v>260250</v>
      </c>
      <c r="P8" s="197">
        <f t="shared" si="0"/>
        <v>327750</v>
      </c>
      <c r="U8" s="456">
        <v>11904</v>
      </c>
      <c r="V8" s="346">
        <v>8</v>
      </c>
      <c r="W8" s="346">
        <v>60</v>
      </c>
      <c r="X8" s="346">
        <v>60</v>
      </c>
    </row>
    <row r="9" spans="1:24" ht="13.5">
      <c r="A9" s="194" t="s">
        <v>424</v>
      </c>
      <c r="B9" s="198">
        <v>175</v>
      </c>
      <c r="C9" s="196">
        <f t="shared" si="0"/>
        <v>28375</v>
      </c>
      <c r="D9" s="196">
        <f t="shared" si="0"/>
        <v>48375</v>
      </c>
      <c r="E9" s="196">
        <f t="shared" si="0"/>
        <v>68375</v>
      </c>
      <c r="F9" s="196">
        <f t="shared" si="0"/>
        <v>88375</v>
      </c>
      <c r="G9" s="196">
        <f t="shared" si="0"/>
        <v>108375</v>
      </c>
      <c r="H9" s="196">
        <f t="shared" si="0"/>
        <v>128375</v>
      </c>
      <c r="I9" s="196">
        <f t="shared" si="0"/>
        <v>148375</v>
      </c>
      <c r="J9" s="196">
        <f t="shared" si="0"/>
        <v>168375</v>
      </c>
      <c r="K9" s="196">
        <f t="shared" si="0"/>
        <v>188375</v>
      </c>
      <c r="L9" s="196">
        <f t="shared" si="0"/>
        <v>208375</v>
      </c>
      <c r="M9" s="196">
        <f t="shared" si="0"/>
        <v>228375</v>
      </c>
      <c r="N9" s="196">
        <f t="shared" si="0"/>
        <v>268375</v>
      </c>
      <c r="O9" s="196">
        <f t="shared" si="0"/>
        <v>308375</v>
      </c>
      <c r="P9" s="197">
        <f t="shared" si="0"/>
        <v>388375</v>
      </c>
      <c r="U9" s="456">
        <v>11991</v>
      </c>
      <c r="V9" s="346">
        <v>7</v>
      </c>
      <c r="W9" s="346">
        <v>50</v>
      </c>
      <c r="X9" s="346">
        <v>75</v>
      </c>
    </row>
    <row r="10" spans="1:24" ht="14.25">
      <c r="A10" s="194" t="s">
        <v>425</v>
      </c>
      <c r="B10" s="198">
        <v>200</v>
      </c>
      <c r="C10" s="196">
        <f t="shared" si="0"/>
        <v>32750</v>
      </c>
      <c r="D10" s="196">
        <f t="shared" si="0"/>
        <v>55875</v>
      </c>
      <c r="E10" s="196">
        <f t="shared" si="0"/>
        <v>79000</v>
      </c>
      <c r="F10" s="196">
        <f t="shared" si="0"/>
        <v>102125</v>
      </c>
      <c r="G10" s="196">
        <f t="shared" si="0"/>
        <v>125250</v>
      </c>
      <c r="H10" s="196">
        <f t="shared" si="0"/>
        <v>148375</v>
      </c>
      <c r="I10" s="196">
        <f t="shared" si="0"/>
        <v>171500</v>
      </c>
      <c r="J10" s="196">
        <f t="shared" si="0"/>
        <v>194625</v>
      </c>
      <c r="K10" s="196">
        <f t="shared" si="0"/>
        <v>217750</v>
      </c>
      <c r="L10" s="196">
        <f t="shared" si="0"/>
        <v>240875</v>
      </c>
      <c r="M10" s="196">
        <f t="shared" si="0"/>
        <v>264000</v>
      </c>
      <c r="N10" s="196">
        <f t="shared" si="0"/>
        <v>310250</v>
      </c>
      <c r="O10" s="196">
        <f t="shared" si="0"/>
        <v>356500</v>
      </c>
      <c r="P10" s="197">
        <f t="shared" si="0"/>
        <v>449000</v>
      </c>
      <c r="U10" s="456">
        <v>15183</v>
      </c>
      <c r="V10" s="346">
        <v>9</v>
      </c>
      <c r="W10" s="346">
        <v>65</v>
      </c>
      <c r="X10" s="346">
        <v>65</v>
      </c>
    </row>
    <row r="11" spans="1:24" ht="12.75">
      <c r="A11" s="194" t="s">
        <v>426</v>
      </c>
      <c r="B11" s="198">
        <v>225</v>
      </c>
      <c r="C11" s="196">
        <f t="shared" si="0"/>
        <v>37125</v>
      </c>
      <c r="D11" s="196">
        <f t="shared" si="0"/>
        <v>63375</v>
      </c>
      <c r="E11" s="196">
        <f t="shared" si="0"/>
        <v>89625</v>
      </c>
      <c r="F11" s="196">
        <f t="shared" si="0"/>
        <v>115875</v>
      </c>
      <c r="G11" s="196">
        <f t="shared" si="0"/>
        <v>142125</v>
      </c>
      <c r="H11" s="196">
        <f t="shared" si="0"/>
        <v>168375</v>
      </c>
      <c r="I11" s="196">
        <f t="shared" si="0"/>
        <v>194625</v>
      </c>
      <c r="J11" s="196">
        <f t="shared" si="0"/>
        <v>220875</v>
      </c>
      <c r="K11" s="196">
        <f t="shared" si="0"/>
        <v>247125</v>
      </c>
      <c r="L11" s="196">
        <f t="shared" si="0"/>
        <v>273375</v>
      </c>
      <c r="M11" s="196">
        <f t="shared" si="0"/>
        <v>299625</v>
      </c>
      <c r="N11" s="196">
        <f t="shared" si="0"/>
        <v>352125</v>
      </c>
      <c r="O11" s="196">
        <f t="shared" si="0"/>
        <v>404625</v>
      </c>
      <c r="P11" s="197">
        <f t="shared" si="0"/>
        <v>509625</v>
      </c>
      <c r="U11" s="456">
        <v>15250</v>
      </c>
      <c r="V11" s="346">
        <v>5</v>
      </c>
      <c r="W11" s="346">
        <v>50</v>
      </c>
      <c r="X11" s="346">
        <v>100</v>
      </c>
    </row>
    <row r="12" spans="1:24" ht="16.5">
      <c r="A12" s="199" t="s">
        <v>427</v>
      </c>
      <c r="B12" s="198">
        <v>250</v>
      </c>
      <c r="C12" s="196">
        <f t="shared" si="0"/>
        <v>41500</v>
      </c>
      <c r="D12" s="196">
        <f t="shared" si="0"/>
        <v>70875</v>
      </c>
      <c r="E12" s="196">
        <f t="shared" si="0"/>
        <v>100250</v>
      </c>
      <c r="F12" s="196">
        <f t="shared" si="0"/>
        <v>129625</v>
      </c>
      <c r="G12" s="196">
        <f t="shared" si="0"/>
        <v>159000</v>
      </c>
      <c r="H12" s="196">
        <f t="shared" si="0"/>
        <v>188375</v>
      </c>
      <c r="I12" s="196">
        <f t="shared" si="0"/>
        <v>217750</v>
      </c>
      <c r="J12" s="196">
        <f t="shared" si="0"/>
        <v>247125</v>
      </c>
      <c r="K12" s="196">
        <f t="shared" si="0"/>
        <v>276500</v>
      </c>
      <c r="L12" s="196">
        <f t="shared" si="0"/>
        <v>305875</v>
      </c>
      <c r="M12" s="196">
        <f t="shared" si="0"/>
        <v>335250</v>
      </c>
      <c r="N12" s="196">
        <f t="shared" si="0"/>
        <v>394000</v>
      </c>
      <c r="O12" s="196">
        <f t="shared" si="0"/>
        <v>452750</v>
      </c>
      <c r="P12" s="197">
        <f t="shared" si="0"/>
        <v>570250</v>
      </c>
      <c r="U12" s="456">
        <v>16224</v>
      </c>
      <c r="V12" s="346">
        <v>8</v>
      </c>
      <c r="W12" s="346">
        <v>60</v>
      </c>
      <c r="X12" s="346">
        <v>75</v>
      </c>
    </row>
    <row r="13" spans="1:24" ht="12.75">
      <c r="A13" s="200"/>
      <c r="B13" s="198">
        <v>275</v>
      </c>
      <c r="C13" s="196">
        <f t="shared" si="0"/>
        <v>45875</v>
      </c>
      <c r="D13" s="196">
        <f t="shared" si="0"/>
        <v>78375</v>
      </c>
      <c r="E13" s="196">
        <f t="shared" si="0"/>
        <v>110875</v>
      </c>
      <c r="F13" s="196">
        <f t="shared" si="0"/>
        <v>143375</v>
      </c>
      <c r="G13" s="196">
        <f t="shared" si="0"/>
        <v>175875</v>
      </c>
      <c r="H13" s="196">
        <f t="shared" si="0"/>
        <v>208375</v>
      </c>
      <c r="I13" s="196">
        <f t="shared" si="0"/>
        <v>240875</v>
      </c>
      <c r="J13" s="196">
        <f t="shared" si="0"/>
        <v>273375</v>
      </c>
      <c r="K13" s="196">
        <f t="shared" si="0"/>
        <v>305875</v>
      </c>
      <c r="L13" s="196">
        <f t="shared" si="0"/>
        <v>338375</v>
      </c>
      <c r="M13" s="196">
        <f t="shared" si="0"/>
        <v>370875</v>
      </c>
      <c r="N13" s="196">
        <f t="shared" si="0"/>
        <v>435875</v>
      </c>
      <c r="O13" s="196">
        <f t="shared" si="0"/>
        <v>500875</v>
      </c>
      <c r="P13" s="197">
        <f t="shared" si="0"/>
        <v>630875</v>
      </c>
      <c r="U13" s="456">
        <v>16392</v>
      </c>
      <c r="V13" s="346">
        <v>6</v>
      </c>
      <c r="W13" s="346">
        <v>50</v>
      </c>
      <c r="X13" s="346">
        <v>100</v>
      </c>
    </row>
    <row r="14" spans="1:24" ht="13.5">
      <c r="A14" s="199" t="s">
        <v>428</v>
      </c>
      <c r="B14" s="198">
        <v>300</v>
      </c>
      <c r="C14" s="196">
        <f t="shared" si="0"/>
        <v>50250</v>
      </c>
      <c r="D14" s="196">
        <f t="shared" si="0"/>
        <v>85875</v>
      </c>
      <c r="E14" s="196">
        <f t="shared" si="0"/>
        <v>121500</v>
      </c>
      <c r="F14" s="196">
        <f t="shared" si="0"/>
        <v>157125</v>
      </c>
      <c r="G14" s="196">
        <f t="shared" si="0"/>
        <v>192750</v>
      </c>
      <c r="H14" s="196">
        <f t="shared" si="0"/>
        <v>228375</v>
      </c>
      <c r="I14" s="196">
        <f t="shared" si="0"/>
        <v>264000</v>
      </c>
      <c r="J14" s="196">
        <f t="shared" si="0"/>
        <v>299625</v>
      </c>
      <c r="K14" s="196">
        <f t="shared" si="0"/>
        <v>335250</v>
      </c>
      <c r="L14" s="196">
        <f t="shared" si="0"/>
        <v>370875</v>
      </c>
      <c r="M14" s="196">
        <f t="shared" si="0"/>
        <v>406500</v>
      </c>
      <c r="N14" s="196">
        <f t="shared" si="0"/>
        <v>477750</v>
      </c>
      <c r="O14" s="196">
        <f t="shared" si="0"/>
        <v>549000</v>
      </c>
      <c r="P14" s="197">
        <f t="shared" si="0"/>
        <v>691500</v>
      </c>
      <c r="U14" s="456">
        <v>17066</v>
      </c>
      <c r="V14" s="346">
        <v>7</v>
      </c>
      <c r="W14" s="346">
        <v>50</v>
      </c>
      <c r="X14" s="346">
        <v>100</v>
      </c>
    </row>
    <row r="15" spans="1:24" ht="15">
      <c r="A15" s="199" t="s">
        <v>429</v>
      </c>
      <c r="B15" s="198">
        <v>350</v>
      </c>
      <c r="C15" s="196">
        <f t="shared" si="0"/>
        <v>59000</v>
      </c>
      <c r="D15" s="196">
        <f t="shared" si="0"/>
        <v>100875</v>
      </c>
      <c r="E15" s="196">
        <f t="shared" si="0"/>
        <v>142750</v>
      </c>
      <c r="F15" s="196">
        <f t="shared" si="0"/>
        <v>184625</v>
      </c>
      <c r="G15" s="196">
        <f t="shared" si="0"/>
        <v>226500</v>
      </c>
      <c r="H15" s="196">
        <f t="shared" si="0"/>
        <v>268375</v>
      </c>
      <c r="I15" s="196">
        <f t="shared" si="0"/>
        <v>310250</v>
      </c>
      <c r="J15" s="196">
        <f t="shared" si="0"/>
        <v>352125</v>
      </c>
      <c r="K15" s="196">
        <f t="shared" si="0"/>
        <v>394000</v>
      </c>
      <c r="L15" s="196">
        <f t="shared" si="0"/>
        <v>435875</v>
      </c>
      <c r="M15" s="196">
        <f t="shared" si="0"/>
        <v>477750</v>
      </c>
      <c r="N15" s="196">
        <f t="shared" si="0"/>
        <v>561500</v>
      </c>
      <c r="O15" s="196">
        <f t="shared" si="0"/>
        <v>645250</v>
      </c>
      <c r="P15" s="197">
        <f t="shared" si="0"/>
        <v>812750</v>
      </c>
      <c r="U15" s="456">
        <v>18375</v>
      </c>
      <c r="V15" s="346">
        <v>5</v>
      </c>
      <c r="W15" s="346">
        <v>75</v>
      </c>
      <c r="X15" s="346">
        <v>75</v>
      </c>
    </row>
    <row r="16" spans="1:24" ht="13.5">
      <c r="A16" s="199" t="s">
        <v>424</v>
      </c>
      <c r="B16" s="198">
        <v>400</v>
      </c>
      <c r="C16" s="196">
        <f t="shared" si="0"/>
        <v>67750</v>
      </c>
      <c r="D16" s="196">
        <f t="shared" si="0"/>
        <v>115875</v>
      </c>
      <c r="E16" s="196">
        <f t="shared" si="0"/>
        <v>164000</v>
      </c>
      <c r="F16" s="196">
        <f t="shared" si="0"/>
        <v>212125</v>
      </c>
      <c r="G16" s="196">
        <f t="shared" si="0"/>
        <v>260250</v>
      </c>
      <c r="H16" s="196">
        <f t="shared" si="0"/>
        <v>308375</v>
      </c>
      <c r="I16" s="196">
        <f t="shared" si="0"/>
        <v>356500</v>
      </c>
      <c r="J16" s="196">
        <f t="shared" si="0"/>
        <v>404625</v>
      </c>
      <c r="K16" s="196">
        <f t="shared" si="0"/>
        <v>452750</v>
      </c>
      <c r="L16" s="196">
        <f t="shared" si="0"/>
        <v>500875</v>
      </c>
      <c r="M16" s="196">
        <f t="shared" si="0"/>
        <v>549000</v>
      </c>
      <c r="N16" s="196">
        <f t="shared" si="0"/>
        <v>645250</v>
      </c>
      <c r="O16" s="196">
        <f t="shared" si="0"/>
        <v>741500</v>
      </c>
      <c r="P16" s="197">
        <f t="shared" si="0"/>
        <v>934000</v>
      </c>
      <c r="U16" s="456">
        <v>18603</v>
      </c>
      <c r="V16" s="346">
        <v>9</v>
      </c>
      <c r="W16" s="346">
        <v>65</v>
      </c>
      <c r="X16" s="346">
        <v>75</v>
      </c>
    </row>
    <row r="17" spans="1:24" ht="13.5" thickBot="1">
      <c r="A17" s="201"/>
      <c r="B17" s="202">
        <v>500</v>
      </c>
      <c r="C17" s="203">
        <f t="shared" si="0"/>
        <v>85250</v>
      </c>
      <c r="D17" s="203">
        <f t="shared" si="0"/>
        <v>145875</v>
      </c>
      <c r="E17" s="203">
        <f t="shared" si="0"/>
        <v>206500</v>
      </c>
      <c r="F17" s="203">
        <f t="shared" si="0"/>
        <v>267125</v>
      </c>
      <c r="G17" s="203">
        <f t="shared" si="0"/>
        <v>327750</v>
      </c>
      <c r="H17" s="203">
        <f t="shared" si="0"/>
        <v>388375</v>
      </c>
      <c r="I17" s="203">
        <f t="shared" si="0"/>
        <v>449000</v>
      </c>
      <c r="J17" s="203">
        <f t="shared" si="0"/>
        <v>509625</v>
      </c>
      <c r="K17" s="203">
        <f t="shared" si="0"/>
        <v>570250</v>
      </c>
      <c r="L17" s="203">
        <f t="shared" si="0"/>
        <v>630875</v>
      </c>
      <c r="M17" s="203">
        <f t="shared" si="0"/>
        <v>691500</v>
      </c>
      <c r="N17" s="203">
        <f t="shared" si="0"/>
        <v>812750</v>
      </c>
      <c r="O17" s="203">
        <f t="shared" si="0"/>
        <v>934000</v>
      </c>
      <c r="P17" s="204">
        <f t="shared" si="0"/>
        <v>1176500</v>
      </c>
      <c r="U17" s="456">
        <v>19000</v>
      </c>
      <c r="V17" s="346">
        <v>10</v>
      </c>
      <c r="W17" s="346">
        <v>70</v>
      </c>
      <c r="X17" s="346">
        <v>70</v>
      </c>
    </row>
    <row r="18" spans="1:24" ht="13.5" thickBot="1">
      <c r="A18" s="46"/>
      <c r="B18" s="205"/>
      <c r="C18" s="46"/>
      <c r="D18" s="46"/>
      <c r="E18" s="46"/>
      <c r="F18" s="46"/>
      <c r="G18" s="46"/>
      <c r="H18" s="46"/>
      <c r="I18" s="46"/>
      <c r="J18" s="46"/>
      <c r="K18" s="46"/>
      <c r="L18" s="46"/>
      <c r="M18" s="46"/>
      <c r="N18" s="46"/>
      <c r="O18" s="46"/>
      <c r="P18" s="46"/>
      <c r="U18" s="456">
        <v>19625</v>
      </c>
      <c r="V18" s="346">
        <v>5</v>
      </c>
      <c r="W18" s="346">
        <v>50</v>
      </c>
      <c r="X18" s="346">
        <v>125</v>
      </c>
    </row>
    <row r="19" spans="1:24" ht="14.25">
      <c r="A19" s="182"/>
      <c r="B19" s="183">
        <v>6</v>
      </c>
      <c r="C19" s="184" t="s">
        <v>417</v>
      </c>
      <c r="D19" s="185"/>
      <c r="E19" s="185"/>
      <c r="F19" s="185"/>
      <c r="G19" s="186" t="s">
        <v>418</v>
      </c>
      <c r="H19" s="185"/>
      <c r="I19" s="185"/>
      <c r="J19" s="185"/>
      <c r="K19" s="185"/>
      <c r="L19" s="185"/>
      <c r="M19" s="185"/>
      <c r="N19" s="187">
        <v>3</v>
      </c>
      <c r="O19" s="187" t="s">
        <v>419</v>
      </c>
      <c r="P19" s="188"/>
      <c r="U19" s="456">
        <v>20142</v>
      </c>
      <c r="V19" s="346">
        <v>6</v>
      </c>
      <c r="W19" s="346">
        <v>75</v>
      </c>
      <c r="X19" s="346">
        <v>75</v>
      </c>
    </row>
    <row r="20" spans="1:24" ht="12.75">
      <c r="A20" s="189"/>
      <c r="B20" s="190"/>
      <c r="C20" s="191">
        <v>50</v>
      </c>
      <c r="D20" s="192">
        <v>75</v>
      </c>
      <c r="E20" s="192">
        <v>100</v>
      </c>
      <c r="F20" s="192">
        <v>125</v>
      </c>
      <c r="G20" s="192">
        <v>150</v>
      </c>
      <c r="H20" s="192">
        <v>175</v>
      </c>
      <c r="I20" s="192">
        <v>200</v>
      </c>
      <c r="J20" s="192">
        <v>225</v>
      </c>
      <c r="K20" s="192">
        <v>250</v>
      </c>
      <c r="L20" s="192">
        <v>275</v>
      </c>
      <c r="M20" s="192">
        <v>300</v>
      </c>
      <c r="N20" s="192">
        <v>350</v>
      </c>
      <c r="O20" s="192">
        <v>400</v>
      </c>
      <c r="P20" s="193">
        <v>500</v>
      </c>
      <c r="U20" s="456">
        <v>21000</v>
      </c>
      <c r="V20" s="346">
        <v>10</v>
      </c>
      <c r="W20" s="346">
        <v>70</v>
      </c>
      <c r="X20" s="346">
        <v>75</v>
      </c>
    </row>
    <row r="21" spans="1:24" ht="12.75">
      <c r="A21" s="194"/>
      <c r="B21" s="195">
        <v>50</v>
      </c>
      <c r="C21" s="196">
        <f>($B21*C$20*$B$19)-($N$19*$B$19^2*($B21+C$20))+(4*$N$19^2*$B$19^3/3)</f>
        <v>6792</v>
      </c>
      <c r="D21" s="196">
        <f aca="true" t="shared" si="1" ref="D21:P21">($B21*D$20*$B$19)-($N$19*$B$19^2*($B21+D$20))+(4*$N$19^2*$B$19^3/3)</f>
        <v>11592</v>
      </c>
      <c r="E21" s="196">
        <f t="shared" si="1"/>
        <v>16392</v>
      </c>
      <c r="F21" s="196">
        <f t="shared" si="1"/>
        <v>21192</v>
      </c>
      <c r="G21" s="196">
        <f t="shared" si="1"/>
        <v>25992</v>
      </c>
      <c r="H21" s="196">
        <f t="shared" si="1"/>
        <v>30792</v>
      </c>
      <c r="I21" s="196">
        <f t="shared" si="1"/>
        <v>35592</v>
      </c>
      <c r="J21" s="196">
        <f t="shared" si="1"/>
        <v>40392</v>
      </c>
      <c r="K21" s="196">
        <f t="shared" si="1"/>
        <v>45192</v>
      </c>
      <c r="L21" s="196">
        <f t="shared" si="1"/>
        <v>49992</v>
      </c>
      <c r="M21" s="196">
        <f t="shared" si="1"/>
        <v>54792</v>
      </c>
      <c r="N21" s="196">
        <f t="shared" si="1"/>
        <v>64392</v>
      </c>
      <c r="O21" s="196">
        <f t="shared" si="1"/>
        <v>73992</v>
      </c>
      <c r="P21" s="197">
        <f t="shared" si="1"/>
        <v>93192</v>
      </c>
      <c r="U21" s="456">
        <v>21192</v>
      </c>
      <c r="V21" s="346">
        <v>6</v>
      </c>
      <c r="W21" s="346">
        <v>50</v>
      </c>
      <c r="X21" s="346">
        <v>125</v>
      </c>
    </row>
    <row r="22" spans="1:24" ht="15.75">
      <c r="A22" s="194" t="s">
        <v>420</v>
      </c>
      <c r="B22" s="198">
        <v>75</v>
      </c>
      <c r="C22" s="196">
        <f aca="true" t="shared" si="2" ref="C22:P34">($B22*C$20*$B$19)-($N$19*$B$19^2*($B22+C$20))+(4*$N$19^2*$B$19^3/3)</f>
        <v>11592</v>
      </c>
      <c r="D22" s="196">
        <f t="shared" si="2"/>
        <v>20142</v>
      </c>
      <c r="E22" s="196">
        <f t="shared" si="2"/>
        <v>28692</v>
      </c>
      <c r="F22" s="196">
        <f t="shared" si="2"/>
        <v>37242</v>
      </c>
      <c r="G22" s="196">
        <f t="shared" si="2"/>
        <v>45792</v>
      </c>
      <c r="H22" s="196">
        <f t="shared" si="2"/>
        <v>54342</v>
      </c>
      <c r="I22" s="196">
        <f t="shared" si="2"/>
        <v>62892</v>
      </c>
      <c r="J22" s="196">
        <f t="shared" si="2"/>
        <v>71442</v>
      </c>
      <c r="K22" s="196">
        <f t="shared" si="2"/>
        <v>79992</v>
      </c>
      <c r="L22" s="196">
        <f t="shared" si="2"/>
        <v>88542</v>
      </c>
      <c r="M22" s="196">
        <f t="shared" si="2"/>
        <v>97092</v>
      </c>
      <c r="N22" s="196">
        <f t="shared" si="2"/>
        <v>114192</v>
      </c>
      <c r="O22" s="196">
        <f t="shared" si="2"/>
        <v>131292</v>
      </c>
      <c r="P22" s="197">
        <f t="shared" si="2"/>
        <v>165492</v>
      </c>
      <c r="U22" s="456">
        <v>21441</v>
      </c>
      <c r="V22" s="346">
        <v>7</v>
      </c>
      <c r="W22" s="346">
        <v>75</v>
      </c>
      <c r="X22" s="346">
        <v>75</v>
      </c>
    </row>
    <row r="23" spans="1:24" ht="13.5">
      <c r="A23" s="194" t="s">
        <v>421</v>
      </c>
      <c r="B23" s="198">
        <v>100</v>
      </c>
      <c r="C23" s="196">
        <f t="shared" si="2"/>
        <v>16392</v>
      </c>
      <c r="D23" s="196">
        <f t="shared" si="2"/>
        <v>28692</v>
      </c>
      <c r="E23" s="196">
        <f t="shared" si="2"/>
        <v>40992</v>
      </c>
      <c r="F23" s="196">
        <f t="shared" si="2"/>
        <v>53292</v>
      </c>
      <c r="G23" s="196">
        <f t="shared" si="2"/>
        <v>65592</v>
      </c>
      <c r="H23" s="196">
        <f t="shared" si="2"/>
        <v>77892</v>
      </c>
      <c r="I23" s="196">
        <f t="shared" si="2"/>
        <v>90192</v>
      </c>
      <c r="J23" s="196">
        <f t="shared" si="2"/>
        <v>102492</v>
      </c>
      <c r="K23" s="196">
        <f t="shared" si="2"/>
        <v>114792</v>
      </c>
      <c r="L23" s="196">
        <f t="shared" si="2"/>
        <v>127092</v>
      </c>
      <c r="M23" s="196">
        <f t="shared" si="2"/>
        <v>139392</v>
      </c>
      <c r="N23" s="196">
        <f t="shared" si="2"/>
        <v>163992</v>
      </c>
      <c r="O23" s="196">
        <f t="shared" si="2"/>
        <v>188592</v>
      </c>
      <c r="P23" s="197">
        <f t="shared" si="2"/>
        <v>237792</v>
      </c>
      <c r="U23" s="456">
        <v>22141</v>
      </c>
      <c r="V23" s="346">
        <v>7</v>
      </c>
      <c r="W23" s="346">
        <v>50</v>
      </c>
      <c r="X23" s="346">
        <v>125</v>
      </c>
    </row>
    <row r="24" spans="1:24" ht="12.75">
      <c r="A24" s="194" t="s">
        <v>422</v>
      </c>
      <c r="B24" s="198">
        <v>125</v>
      </c>
      <c r="C24" s="196">
        <f t="shared" si="2"/>
        <v>21192</v>
      </c>
      <c r="D24" s="196">
        <f t="shared" si="2"/>
        <v>37242</v>
      </c>
      <c r="E24" s="196">
        <f t="shared" si="2"/>
        <v>53292</v>
      </c>
      <c r="F24" s="196">
        <f t="shared" si="2"/>
        <v>69342</v>
      </c>
      <c r="G24" s="196">
        <f t="shared" si="2"/>
        <v>85392</v>
      </c>
      <c r="H24" s="196">
        <f t="shared" si="2"/>
        <v>101442</v>
      </c>
      <c r="I24" s="196">
        <f t="shared" si="2"/>
        <v>117492</v>
      </c>
      <c r="J24" s="196">
        <f t="shared" si="2"/>
        <v>133542</v>
      </c>
      <c r="K24" s="196">
        <f t="shared" si="2"/>
        <v>149592</v>
      </c>
      <c r="L24" s="196">
        <f t="shared" si="2"/>
        <v>165642</v>
      </c>
      <c r="M24" s="196">
        <f t="shared" si="2"/>
        <v>181692</v>
      </c>
      <c r="N24" s="196">
        <f t="shared" si="2"/>
        <v>213792</v>
      </c>
      <c r="O24" s="196">
        <f t="shared" si="2"/>
        <v>245892</v>
      </c>
      <c r="P24" s="197">
        <f t="shared" si="2"/>
        <v>310092</v>
      </c>
      <c r="U24" s="456">
        <v>22344</v>
      </c>
      <c r="V24" s="346">
        <v>8</v>
      </c>
      <c r="W24" s="346">
        <v>75</v>
      </c>
      <c r="X24" s="346">
        <v>75</v>
      </c>
    </row>
    <row r="25" spans="1:24" ht="14.25">
      <c r="A25" s="194" t="s">
        <v>423</v>
      </c>
      <c r="B25" s="198">
        <v>150</v>
      </c>
      <c r="C25" s="196">
        <f t="shared" si="2"/>
        <v>25992</v>
      </c>
      <c r="D25" s="196">
        <f t="shared" si="2"/>
        <v>45792</v>
      </c>
      <c r="E25" s="196">
        <f t="shared" si="2"/>
        <v>65592</v>
      </c>
      <c r="F25" s="196">
        <f t="shared" si="2"/>
        <v>85392</v>
      </c>
      <c r="G25" s="196">
        <f t="shared" si="2"/>
        <v>105192</v>
      </c>
      <c r="H25" s="196">
        <f t="shared" si="2"/>
        <v>124992</v>
      </c>
      <c r="I25" s="196">
        <f t="shared" si="2"/>
        <v>144792</v>
      </c>
      <c r="J25" s="196">
        <f t="shared" si="2"/>
        <v>164592</v>
      </c>
      <c r="K25" s="196">
        <f t="shared" si="2"/>
        <v>184392</v>
      </c>
      <c r="L25" s="196">
        <f t="shared" si="2"/>
        <v>204192</v>
      </c>
      <c r="M25" s="196">
        <f t="shared" si="2"/>
        <v>223992</v>
      </c>
      <c r="N25" s="196">
        <f t="shared" si="2"/>
        <v>263592</v>
      </c>
      <c r="O25" s="196">
        <f t="shared" si="2"/>
        <v>303192</v>
      </c>
      <c r="P25" s="197">
        <f t="shared" si="2"/>
        <v>382392</v>
      </c>
      <c r="U25" s="456">
        <v>22923</v>
      </c>
      <c r="V25" s="346">
        <v>9</v>
      </c>
      <c r="W25" s="346">
        <v>75</v>
      </c>
      <c r="X25" s="346">
        <v>75</v>
      </c>
    </row>
    <row r="26" spans="1:24" ht="13.5">
      <c r="A26" s="194" t="s">
        <v>424</v>
      </c>
      <c r="B26" s="198">
        <v>175</v>
      </c>
      <c r="C26" s="196">
        <f t="shared" si="2"/>
        <v>30792</v>
      </c>
      <c r="D26" s="196">
        <f t="shared" si="2"/>
        <v>54342</v>
      </c>
      <c r="E26" s="196">
        <f t="shared" si="2"/>
        <v>77892</v>
      </c>
      <c r="F26" s="196">
        <f t="shared" si="2"/>
        <v>101442</v>
      </c>
      <c r="G26" s="196">
        <f t="shared" si="2"/>
        <v>124992</v>
      </c>
      <c r="H26" s="196">
        <f t="shared" si="2"/>
        <v>148542</v>
      </c>
      <c r="I26" s="196">
        <f t="shared" si="2"/>
        <v>172092</v>
      </c>
      <c r="J26" s="196">
        <f t="shared" si="2"/>
        <v>195642</v>
      </c>
      <c r="K26" s="196">
        <f t="shared" si="2"/>
        <v>219192</v>
      </c>
      <c r="L26" s="196">
        <f t="shared" si="2"/>
        <v>242742</v>
      </c>
      <c r="M26" s="196">
        <f t="shared" si="2"/>
        <v>266292</v>
      </c>
      <c r="N26" s="196">
        <f t="shared" si="2"/>
        <v>313392</v>
      </c>
      <c r="O26" s="196">
        <f t="shared" si="2"/>
        <v>360492</v>
      </c>
      <c r="P26" s="197">
        <f t="shared" si="2"/>
        <v>454692</v>
      </c>
      <c r="U26" s="456">
        <v>23250</v>
      </c>
      <c r="V26" s="346">
        <v>10</v>
      </c>
      <c r="W26" s="346">
        <v>75</v>
      </c>
      <c r="X26" s="346">
        <v>75</v>
      </c>
    </row>
    <row r="27" spans="1:24" ht="14.25">
      <c r="A27" s="194" t="s">
        <v>425</v>
      </c>
      <c r="B27" s="198">
        <v>200</v>
      </c>
      <c r="C27" s="196">
        <f t="shared" si="2"/>
        <v>35592</v>
      </c>
      <c r="D27" s="196">
        <f t="shared" si="2"/>
        <v>62892</v>
      </c>
      <c r="E27" s="196">
        <f t="shared" si="2"/>
        <v>90192</v>
      </c>
      <c r="F27" s="196">
        <f t="shared" si="2"/>
        <v>117492</v>
      </c>
      <c r="G27" s="196">
        <f t="shared" si="2"/>
        <v>144792</v>
      </c>
      <c r="H27" s="196">
        <f t="shared" si="2"/>
        <v>172092</v>
      </c>
      <c r="I27" s="196">
        <f t="shared" si="2"/>
        <v>199392</v>
      </c>
      <c r="J27" s="196">
        <f t="shared" si="2"/>
        <v>226692</v>
      </c>
      <c r="K27" s="196">
        <f t="shared" si="2"/>
        <v>253992</v>
      </c>
      <c r="L27" s="196">
        <f t="shared" si="2"/>
        <v>281292</v>
      </c>
      <c r="M27" s="196">
        <f t="shared" si="2"/>
        <v>308592</v>
      </c>
      <c r="N27" s="196">
        <f t="shared" si="2"/>
        <v>363192</v>
      </c>
      <c r="O27" s="196">
        <f t="shared" si="2"/>
        <v>417792</v>
      </c>
      <c r="P27" s="197">
        <f t="shared" si="2"/>
        <v>526992</v>
      </c>
      <c r="U27" s="456">
        <v>23397</v>
      </c>
      <c r="V27" s="346">
        <v>11</v>
      </c>
      <c r="W27" s="346">
        <v>75</v>
      </c>
      <c r="X27" s="346">
        <v>75</v>
      </c>
    </row>
    <row r="28" spans="1:24" ht="12.75">
      <c r="A28" s="194" t="s">
        <v>426</v>
      </c>
      <c r="B28" s="198">
        <v>225</v>
      </c>
      <c r="C28" s="196">
        <f t="shared" si="2"/>
        <v>40392</v>
      </c>
      <c r="D28" s="196">
        <f t="shared" si="2"/>
        <v>71442</v>
      </c>
      <c r="E28" s="196">
        <f t="shared" si="2"/>
        <v>102492</v>
      </c>
      <c r="F28" s="196">
        <f t="shared" si="2"/>
        <v>133542</v>
      </c>
      <c r="G28" s="196">
        <f t="shared" si="2"/>
        <v>164592</v>
      </c>
      <c r="H28" s="196">
        <f t="shared" si="2"/>
        <v>195642</v>
      </c>
      <c r="I28" s="196">
        <f t="shared" si="2"/>
        <v>226692</v>
      </c>
      <c r="J28" s="196">
        <f t="shared" si="2"/>
        <v>257742</v>
      </c>
      <c r="K28" s="196">
        <f t="shared" si="2"/>
        <v>288792</v>
      </c>
      <c r="L28" s="196">
        <f t="shared" si="2"/>
        <v>319842</v>
      </c>
      <c r="M28" s="196">
        <f t="shared" si="2"/>
        <v>350892</v>
      </c>
      <c r="N28" s="196">
        <f t="shared" si="2"/>
        <v>412992</v>
      </c>
      <c r="O28" s="196">
        <f t="shared" si="2"/>
        <v>475092</v>
      </c>
      <c r="P28" s="197">
        <f t="shared" si="2"/>
        <v>599292</v>
      </c>
      <c r="U28" s="456">
        <v>23424</v>
      </c>
      <c r="V28" s="346">
        <v>8</v>
      </c>
      <c r="W28" s="346">
        <v>60</v>
      </c>
      <c r="X28" s="346">
        <v>100</v>
      </c>
    </row>
    <row r="29" spans="1:24" ht="16.5">
      <c r="A29" s="199" t="s">
        <v>427</v>
      </c>
      <c r="B29" s="198">
        <v>250</v>
      </c>
      <c r="C29" s="196">
        <f t="shared" si="2"/>
        <v>45192</v>
      </c>
      <c r="D29" s="196">
        <f t="shared" si="2"/>
        <v>79992</v>
      </c>
      <c r="E29" s="196">
        <f t="shared" si="2"/>
        <v>114792</v>
      </c>
      <c r="F29" s="196">
        <f t="shared" si="2"/>
        <v>149592</v>
      </c>
      <c r="G29" s="196">
        <f t="shared" si="2"/>
        <v>184392</v>
      </c>
      <c r="H29" s="196">
        <f t="shared" si="2"/>
        <v>219192</v>
      </c>
      <c r="I29" s="196">
        <f t="shared" si="2"/>
        <v>253992</v>
      </c>
      <c r="J29" s="196">
        <f t="shared" si="2"/>
        <v>288792</v>
      </c>
      <c r="K29" s="196">
        <f t="shared" si="2"/>
        <v>323592</v>
      </c>
      <c r="L29" s="196">
        <f t="shared" si="2"/>
        <v>358392</v>
      </c>
      <c r="M29" s="196">
        <f t="shared" si="2"/>
        <v>393192</v>
      </c>
      <c r="N29" s="196">
        <f t="shared" si="2"/>
        <v>462792</v>
      </c>
      <c r="O29" s="196">
        <f t="shared" si="2"/>
        <v>532392</v>
      </c>
      <c r="P29" s="197">
        <f t="shared" si="2"/>
        <v>671592</v>
      </c>
      <c r="U29" s="456">
        <v>24000</v>
      </c>
      <c r="V29" s="346">
        <v>5</v>
      </c>
      <c r="W29" s="346">
        <v>50</v>
      </c>
      <c r="X29" s="346">
        <v>150</v>
      </c>
    </row>
    <row r="30" spans="1:24" ht="12.75">
      <c r="A30" s="200"/>
      <c r="B30" s="198">
        <v>275</v>
      </c>
      <c r="C30" s="196">
        <f t="shared" si="2"/>
        <v>49992</v>
      </c>
      <c r="D30" s="196">
        <f t="shared" si="2"/>
        <v>88542</v>
      </c>
      <c r="E30" s="196">
        <f t="shared" si="2"/>
        <v>127092</v>
      </c>
      <c r="F30" s="196">
        <f t="shared" si="2"/>
        <v>165642</v>
      </c>
      <c r="G30" s="196">
        <f t="shared" si="2"/>
        <v>204192</v>
      </c>
      <c r="H30" s="196">
        <f t="shared" si="2"/>
        <v>242742</v>
      </c>
      <c r="I30" s="196">
        <f t="shared" si="2"/>
        <v>281292</v>
      </c>
      <c r="J30" s="196">
        <f t="shared" si="2"/>
        <v>319842</v>
      </c>
      <c r="K30" s="196">
        <f t="shared" si="2"/>
        <v>358392</v>
      </c>
      <c r="L30" s="196">
        <f t="shared" si="2"/>
        <v>396942</v>
      </c>
      <c r="M30" s="196">
        <f t="shared" si="2"/>
        <v>435492</v>
      </c>
      <c r="N30" s="196">
        <f t="shared" si="2"/>
        <v>512592</v>
      </c>
      <c r="O30" s="196">
        <f t="shared" si="2"/>
        <v>589692</v>
      </c>
      <c r="P30" s="197">
        <f t="shared" si="2"/>
        <v>743892</v>
      </c>
      <c r="U30" s="456">
        <v>25875</v>
      </c>
      <c r="V30" s="346">
        <v>5</v>
      </c>
      <c r="W30" s="346">
        <v>75</v>
      </c>
      <c r="X30" s="346">
        <v>100</v>
      </c>
    </row>
    <row r="31" spans="1:24" ht="13.5">
      <c r="A31" s="199" t="s">
        <v>428</v>
      </c>
      <c r="B31" s="198">
        <v>300</v>
      </c>
      <c r="C31" s="196">
        <f t="shared" si="2"/>
        <v>54792</v>
      </c>
      <c r="D31" s="196">
        <f t="shared" si="2"/>
        <v>97092</v>
      </c>
      <c r="E31" s="196">
        <f t="shared" si="2"/>
        <v>139392</v>
      </c>
      <c r="F31" s="196">
        <f t="shared" si="2"/>
        <v>181692</v>
      </c>
      <c r="G31" s="196">
        <f t="shared" si="2"/>
        <v>223992</v>
      </c>
      <c r="H31" s="196">
        <f t="shared" si="2"/>
        <v>266292</v>
      </c>
      <c r="I31" s="196">
        <f t="shared" si="2"/>
        <v>308592</v>
      </c>
      <c r="J31" s="196">
        <f t="shared" si="2"/>
        <v>350892</v>
      </c>
      <c r="K31" s="196">
        <f t="shared" si="2"/>
        <v>393192</v>
      </c>
      <c r="L31" s="196">
        <f t="shared" si="2"/>
        <v>435492</v>
      </c>
      <c r="M31" s="196">
        <f t="shared" si="2"/>
        <v>477792</v>
      </c>
      <c r="N31" s="196">
        <f t="shared" si="2"/>
        <v>562392</v>
      </c>
      <c r="O31" s="196">
        <f t="shared" si="2"/>
        <v>646992</v>
      </c>
      <c r="P31" s="197">
        <f t="shared" si="2"/>
        <v>816192</v>
      </c>
      <c r="U31" s="456">
        <v>25992</v>
      </c>
      <c r="V31" s="346">
        <v>6</v>
      </c>
      <c r="W31" s="346">
        <v>50</v>
      </c>
      <c r="X31" s="346">
        <v>150</v>
      </c>
    </row>
    <row r="32" spans="1:24" ht="15">
      <c r="A32" s="199" t="s">
        <v>429</v>
      </c>
      <c r="B32" s="198">
        <v>350</v>
      </c>
      <c r="C32" s="196">
        <f t="shared" si="2"/>
        <v>64392</v>
      </c>
      <c r="D32" s="196">
        <f t="shared" si="2"/>
        <v>114192</v>
      </c>
      <c r="E32" s="196">
        <f t="shared" si="2"/>
        <v>163992</v>
      </c>
      <c r="F32" s="196">
        <f t="shared" si="2"/>
        <v>213792</v>
      </c>
      <c r="G32" s="196">
        <f t="shared" si="2"/>
        <v>263592</v>
      </c>
      <c r="H32" s="196">
        <f t="shared" si="2"/>
        <v>313392</v>
      </c>
      <c r="I32" s="196">
        <f t="shared" si="2"/>
        <v>363192</v>
      </c>
      <c r="J32" s="196">
        <f t="shared" si="2"/>
        <v>412992</v>
      </c>
      <c r="K32" s="196">
        <f t="shared" si="2"/>
        <v>462792</v>
      </c>
      <c r="L32" s="196">
        <f t="shared" si="2"/>
        <v>512592</v>
      </c>
      <c r="M32" s="196">
        <f t="shared" si="2"/>
        <v>562392</v>
      </c>
      <c r="N32" s="196">
        <f t="shared" si="2"/>
        <v>661992</v>
      </c>
      <c r="O32" s="196">
        <f t="shared" si="2"/>
        <v>761592</v>
      </c>
      <c r="P32" s="197">
        <f t="shared" si="2"/>
        <v>960792</v>
      </c>
      <c r="U32" s="456">
        <v>27153</v>
      </c>
      <c r="V32" s="346">
        <v>9</v>
      </c>
      <c r="W32" s="346">
        <v>65</v>
      </c>
      <c r="X32" s="346">
        <v>100</v>
      </c>
    </row>
    <row r="33" spans="1:24" ht="13.5">
      <c r="A33" s="199" t="s">
        <v>424</v>
      </c>
      <c r="B33" s="198">
        <v>400</v>
      </c>
      <c r="C33" s="196">
        <f t="shared" si="2"/>
        <v>73992</v>
      </c>
      <c r="D33" s="196">
        <f t="shared" si="2"/>
        <v>131292</v>
      </c>
      <c r="E33" s="196">
        <f t="shared" si="2"/>
        <v>188592</v>
      </c>
      <c r="F33" s="196">
        <f t="shared" si="2"/>
        <v>245892</v>
      </c>
      <c r="G33" s="196">
        <f t="shared" si="2"/>
        <v>303192</v>
      </c>
      <c r="H33" s="196">
        <f t="shared" si="2"/>
        <v>360492</v>
      </c>
      <c r="I33" s="196">
        <f t="shared" si="2"/>
        <v>417792</v>
      </c>
      <c r="J33" s="196">
        <f t="shared" si="2"/>
        <v>475092</v>
      </c>
      <c r="K33" s="196">
        <f t="shared" si="2"/>
        <v>532392</v>
      </c>
      <c r="L33" s="196">
        <f t="shared" si="2"/>
        <v>589692</v>
      </c>
      <c r="M33" s="196">
        <f t="shared" si="2"/>
        <v>646992</v>
      </c>
      <c r="N33" s="196">
        <f t="shared" si="2"/>
        <v>761592</v>
      </c>
      <c r="O33" s="196">
        <f t="shared" si="2"/>
        <v>876192</v>
      </c>
      <c r="P33" s="197">
        <f t="shared" si="2"/>
        <v>1105392</v>
      </c>
      <c r="U33" s="456">
        <v>27216</v>
      </c>
      <c r="V33" s="346">
        <v>7</v>
      </c>
      <c r="W33" s="346">
        <v>50</v>
      </c>
      <c r="X33" s="346">
        <v>150</v>
      </c>
    </row>
    <row r="34" spans="1:24" ht="13.5" thickBot="1">
      <c r="A34" s="201"/>
      <c r="B34" s="202">
        <v>500</v>
      </c>
      <c r="C34" s="203">
        <f t="shared" si="2"/>
        <v>93192</v>
      </c>
      <c r="D34" s="203">
        <f t="shared" si="2"/>
        <v>165492</v>
      </c>
      <c r="E34" s="203">
        <f t="shared" si="2"/>
        <v>237792</v>
      </c>
      <c r="F34" s="203">
        <f t="shared" si="2"/>
        <v>310092</v>
      </c>
      <c r="G34" s="203">
        <f t="shared" si="2"/>
        <v>382392</v>
      </c>
      <c r="H34" s="203">
        <f t="shared" si="2"/>
        <v>454692</v>
      </c>
      <c r="I34" s="203">
        <f t="shared" si="2"/>
        <v>526992</v>
      </c>
      <c r="J34" s="203">
        <f t="shared" si="2"/>
        <v>599292</v>
      </c>
      <c r="K34" s="203">
        <f t="shared" si="2"/>
        <v>671592</v>
      </c>
      <c r="L34" s="203">
        <f t="shared" si="2"/>
        <v>743892</v>
      </c>
      <c r="M34" s="203">
        <f t="shared" si="2"/>
        <v>816192</v>
      </c>
      <c r="N34" s="203">
        <f t="shared" si="2"/>
        <v>960792</v>
      </c>
      <c r="O34" s="203">
        <f t="shared" si="2"/>
        <v>1105392</v>
      </c>
      <c r="P34" s="204">
        <f t="shared" si="2"/>
        <v>1394592</v>
      </c>
      <c r="U34" s="456">
        <v>28375</v>
      </c>
      <c r="V34" s="346">
        <v>5</v>
      </c>
      <c r="W34" s="346">
        <v>50</v>
      </c>
      <c r="X34" s="346">
        <v>175</v>
      </c>
    </row>
    <row r="35" spans="1:24" ht="12.75">
      <c r="A35" s="206"/>
      <c r="B35" s="207"/>
      <c r="C35" s="208"/>
      <c r="D35" s="208"/>
      <c r="E35" s="208"/>
      <c r="F35" s="208"/>
      <c r="G35" s="208"/>
      <c r="H35" s="208"/>
      <c r="I35" s="208"/>
      <c r="J35" s="208"/>
      <c r="K35" s="208"/>
      <c r="L35" s="208"/>
      <c r="M35" s="208"/>
      <c r="N35" s="208"/>
      <c r="O35" s="208"/>
      <c r="P35" s="208"/>
      <c r="U35" s="456">
        <v>28692</v>
      </c>
      <c r="V35" s="346">
        <v>6</v>
      </c>
      <c r="W35" s="346">
        <v>75</v>
      </c>
      <c r="X35" s="346">
        <v>100</v>
      </c>
    </row>
    <row r="36" spans="1:24" ht="15.75" thickBot="1">
      <c r="A36" s="2107" t="s">
        <v>416</v>
      </c>
      <c r="B36" s="2107"/>
      <c r="C36" s="2107"/>
      <c r="D36" s="2107"/>
      <c r="E36" s="2107"/>
      <c r="F36" s="2107"/>
      <c r="G36" s="2107"/>
      <c r="H36" s="2107"/>
      <c r="I36" s="2107"/>
      <c r="J36" s="2107"/>
      <c r="K36" s="2107"/>
      <c r="L36" s="2107"/>
      <c r="M36" s="2107"/>
      <c r="N36" s="2107"/>
      <c r="O36" s="2107"/>
      <c r="P36" s="2107"/>
      <c r="U36" s="456">
        <v>30624</v>
      </c>
      <c r="V36" s="346">
        <v>8</v>
      </c>
      <c r="W36" s="346">
        <v>60</v>
      </c>
      <c r="X36" s="346">
        <v>125</v>
      </c>
    </row>
    <row r="37" spans="1:24" ht="14.25">
      <c r="A37" s="182"/>
      <c r="B37" s="183">
        <v>7</v>
      </c>
      <c r="C37" s="184" t="s">
        <v>417</v>
      </c>
      <c r="D37" s="185"/>
      <c r="E37" s="185"/>
      <c r="F37" s="185"/>
      <c r="G37" s="186" t="s">
        <v>418</v>
      </c>
      <c r="H37" s="185"/>
      <c r="I37" s="185"/>
      <c r="J37" s="185"/>
      <c r="K37" s="185"/>
      <c r="L37" s="185"/>
      <c r="M37" s="185"/>
      <c r="N37" s="187">
        <v>3</v>
      </c>
      <c r="O37" s="187" t="s">
        <v>419</v>
      </c>
      <c r="P37" s="188"/>
      <c r="U37" s="456">
        <v>30792</v>
      </c>
      <c r="V37" s="346">
        <v>6</v>
      </c>
      <c r="W37" s="346">
        <v>50</v>
      </c>
      <c r="X37" s="346">
        <v>175</v>
      </c>
    </row>
    <row r="38" spans="1:24" ht="12.75">
      <c r="A38" s="189"/>
      <c r="B38" s="190"/>
      <c r="C38" s="191">
        <v>50</v>
      </c>
      <c r="D38" s="192">
        <v>75</v>
      </c>
      <c r="E38" s="192">
        <v>100</v>
      </c>
      <c r="F38" s="192">
        <v>125</v>
      </c>
      <c r="G38" s="192">
        <v>150</v>
      </c>
      <c r="H38" s="192">
        <v>175</v>
      </c>
      <c r="I38" s="192">
        <v>200</v>
      </c>
      <c r="J38" s="192">
        <v>225</v>
      </c>
      <c r="K38" s="192">
        <v>250</v>
      </c>
      <c r="L38" s="192">
        <v>275</v>
      </c>
      <c r="M38" s="192">
        <v>300</v>
      </c>
      <c r="N38" s="192">
        <v>350</v>
      </c>
      <c r="O38" s="192">
        <v>400</v>
      </c>
      <c r="P38" s="193">
        <v>500</v>
      </c>
      <c r="U38" s="456">
        <v>30891</v>
      </c>
      <c r="V38" s="346">
        <v>7</v>
      </c>
      <c r="W38" s="346">
        <v>75</v>
      </c>
      <c r="X38" s="346">
        <v>100</v>
      </c>
    </row>
    <row r="39" spans="1:24" ht="12.75">
      <c r="A39" s="194"/>
      <c r="B39" s="195">
        <v>50</v>
      </c>
      <c r="C39" s="196">
        <f>($B39*C$38*$B$37)-($N$37*$B$37^2*($B39+C$38))+(4*$N$37^2*$B$37^3/3)</f>
        <v>6916</v>
      </c>
      <c r="D39" s="196">
        <f aca="true" t="shared" si="3" ref="D39:P39">($B39*D$38*$B$37)-($N$37*$B$37^2*($B39+D$38))+(4*$N$37^2*$B$37^3/3)</f>
        <v>11991</v>
      </c>
      <c r="E39" s="196">
        <f t="shared" si="3"/>
        <v>17066</v>
      </c>
      <c r="F39" s="196">
        <f t="shared" si="3"/>
        <v>22141</v>
      </c>
      <c r="G39" s="196">
        <f t="shared" si="3"/>
        <v>27216</v>
      </c>
      <c r="H39" s="196">
        <f t="shared" si="3"/>
        <v>32291</v>
      </c>
      <c r="I39" s="196">
        <f t="shared" si="3"/>
        <v>37366</v>
      </c>
      <c r="J39" s="196">
        <f t="shared" si="3"/>
        <v>42441</v>
      </c>
      <c r="K39" s="196">
        <f t="shared" si="3"/>
        <v>47516</v>
      </c>
      <c r="L39" s="196">
        <f t="shared" si="3"/>
        <v>52591</v>
      </c>
      <c r="M39" s="196">
        <f t="shared" si="3"/>
        <v>57666</v>
      </c>
      <c r="N39" s="196">
        <f t="shared" si="3"/>
        <v>67816</v>
      </c>
      <c r="O39" s="196">
        <f t="shared" si="3"/>
        <v>77966</v>
      </c>
      <c r="P39" s="197">
        <f t="shared" si="3"/>
        <v>98266</v>
      </c>
      <c r="U39" s="456">
        <v>31000</v>
      </c>
      <c r="V39" s="346">
        <v>10</v>
      </c>
      <c r="W39" s="346">
        <v>70</v>
      </c>
      <c r="X39" s="346">
        <v>100</v>
      </c>
    </row>
    <row r="40" spans="1:24" ht="15.75">
      <c r="A40" s="194" t="s">
        <v>420</v>
      </c>
      <c r="B40" s="198">
        <v>75</v>
      </c>
      <c r="C40" s="196">
        <f aca="true" t="shared" si="4" ref="C40:P52">($B40*C$38*$B$37)-($N$37*$B$37^2*($B40+C$38))+(4*$N$37^2*$B$37^3/3)</f>
        <v>11991</v>
      </c>
      <c r="D40" s="196">
        <f t="shared" si="4"/>
        <v>21441</v>
      </c>
      <c r="E40" s="196">
        <f t="shared" si="4"/>
        <v>30891</v>
      </c>
      <c r="F40" s="196">
        <f t="shared" si="4"/>
        <v>40341</v>
      </c>
      <c r="G40" s="196">
        <f t="shared" si="4"/>
        <v>49791</v>
      </c>
      <c r="H40" s="196">
        <f t="shared" si="4"/>
        <v>59241</v>
      </c>
      <c r="I40" s="196">
        <f t="shared" si="4"/>
        <v>68691</v>
      </c>
      <c r="J40" s="196">
        <f t="shared" si="4"/>
        <v>78141</v>
      </c>
      <c r="K40" s="196">
        <f t="shared" si="4"/>
        <v>87591</v>
      </c>
      <c r="L40" s="196">
        <f t="shared" si="4"/>
        <v>97041</v>
      </c>
      <c r="M40" s="196">
        <f t="shared" si="4"/>
        <v>106491</v>
      </c>
      <c r="N40" s="196">
        <f t="shared" si="4"/>
        <v>125391</v>
      </c>
      <c r="O40" s="196">
        <f t="shared" si="4"/>
        <v>144291</v>
      </c>
      <c r="P40" s="197">
        <f t="shared" si="4"/>
        <v>182091</v>
      </c>
      <c r="U40" s="456">
        <v>32291</v>
      </c>
      <c r="V40" s="346">
        <v>7</v>
      </c>
      <c r="W40" s="346">
        <v>50</v>
      </c>
      <c r="X40" s="346">
        <v>175</v>
      </c>
    </row>
    <row r="41" spans="1:24" ht="13.5">
      <c r="A41" s="194" t="s">
        <v>421</v>
      </c>
      <c r="B41" s="198">
        <v>100</v>
      </c>
      <c r="C41" s="196">
        <f t="shared" si="4"/>
        <v>17066</v>
      </c>
      <c r="D41" s="196">
        <f t="shared" si="4"/>
        <v>30891</v>
      </c>
      <c r="E41" s="196">
        <f t="shared" si="4"/>
        <v>44716</v>
      </c>
      <c r="F41" s="196">
        <f t="shared" si="4"/>
        <v>58541</v>
      </c>
      <c r="G41" s="196">
        <f t="shared" si="4"/>
        <v>72366</v>
      </c>
      <c r="H41" s="196">
        <f t="shared" si="4"/>
        <v>86191</v>
      </c>
      <c r="I41" s="196">
        <f t="shared" si="4"/>
        <v>100016</v>
      </c>
      <c r="J41" s="196">
        <f t="shared" si="4"/>
        <v>113841</v>
      </c>
      <c r="K41" s="196">
        <f t="shared" si="4"/>
        <v>127666</v>
      </c>
      <c r="L41" s="196">
        <f t="shared" si="4"/>
        <v>141491</v>
      </c>
      <c r="M41" s="196">
        <f t="shared" si="4"/>
        <v>155316</v>
      </c>
      <c r="N41" s="196">
        <f t="shared" si="4"/>
        <v>182966</v>
      </c>
      <c r="O41" s="196">
        <f t="shared" si="4"/>
        <v>210616</v>
      </c>
      <c r="P41" s="197">
        <f t="shared" si="4"/>
        <v>265916</v>
      </c>
      <c r="U41" s="456">
        <v>32544</v>
      </c>
      <c r="V41" s="346">
        <v>8</v>
      </c>
      <c r="W41" s="346">
        <v>75</v>
      </c>
      <c r="X41" s="346">
        <v>100</v>
      </c>
    </row>
    <row r="42" spans="1:24" ht="12.75">
      <c r="A42" s="194" t="s">
        <v>422</v>
      </c>
      <c r="B42" s="198">
        <v>125</v>
      </c>
      <c r="C42" s="196">
        <f t="shared" si="4"/>
        <v>22141</v>
      </c>
      <c r="D42" s="196">
        <f t="shared" si="4"/>
        <v>40341</v>
      </c>
      <c r="E42" s="196">
        <f t="shared" si="4"/>
        <v>58541</v>
      </c>
      <c r="F42" s="196">
        <f t="shared" si="4"/>
        <v>76741</v>
      </c>
      <c r="G42" s="196">
        <f t="shared" si="4"/>
        <v>94941</v>
      </c>
      <c r="H42" s="196">
        <f t="shared" si="4"/>
        <v>113141</v>
      </c>
      <c r="I42" s="196">
        <f t="shared" si="4"/>
        <v>131341</v>
      </c>
      <c r="J42" s="196">
        <f t="shared" si="4"/>
        <v>149541</v>
      </c>
      <c r="K42" s="196">
        <f t="shared" si="4"/>
        <v>167741</v>
      </c>
      <c r="L42" s="196">
        <f t="shared" si="4"/>
        <v>185941</v>
      </c>
      <c r="M42" s="196">
        <f t="shared" si="4"/>
        <v>204141</v>
      </c>
      <c r="N42" s="196">
        <f t="shared" si="4"/>
        <v>240541</v>
      </c>
      <c r="O42" s="196">
        <f t="shared" si="4"/>
        <v>276941</v>
      </c>
      <c r="P42" s="197">
        <f t="shared" si="4"/>
        <v>349741</v>
      </c>
      <c r="U42" s="456">
        <v>32750</v>
      </c>
      <c r="V42" s="346">
        <v>5</v>
      </c>
      <c r="W42" s="346">
        <v>50</v>
      </c>
      <c r="X42" s="346">
        <v>200</v>
      </c>
    </row>
    <row r="43" spans="1:24" ht="14.25">
      <c r="A43" s="194" t="s">
        <v>423</v>
      </c>
      <c r="B43" s="198">
        <v>150</v>
      </c>
      <c r="C43" s="196">
        <f t="shared" si="4"/>
        <v>27216</v>
      </c>
      <c r="D43" s="196">
        <f t="shared" si="4"/>
        <v>49791</v>
      </c>
      <c r="E43" s="196">
        <f t="shared" si="4"/>
        <v>72366</v>
      </c>
      <c r="F43" s="196">
        <f t="shared" si="4"/>
        <v>94941</v>
      </c>
      <c r="G43" s="196">
        <f t="shared" si="4"/>
        <v>117516</v>
      </c>
      <c r="H43" s="196">
        <f t="shared" si="4"/>
        <v>140091</v>
      </c>
      <c r="I43" s="196">
        <f t="shared" si="4"/>
        <v>162666</v>
      </c>
      <c r="J43" s="196">
        <f t="shared" si="4"/>
        <v>185241</v>
      </c>
      <c r="K43" s="196">
        <f t="shared" si="4"/>
        <v>207816</v>
      </c>
      <c r="L43" s="196">
        <f t="shared" si="4"/>
        <v>230391</v>
      </c>
      <c r="M43" s="196">
        <f t="shared" si="4"/>
        <v>252966</v>
      </c>
      <c r="N43" s="196">
        <f t="shared" si="4"/>
        <v>298116</v>
      </c>
      <c r="O43" s="196">
        <f t="shared" si="4"/>
        <v>343266</v>
      </c>
      <c r="P43" s="197">
        <f t="shared" si="4"/>
        <v>433566</v>
      </c>
      <c r="U43" s="456">
        <v>33375</v>
      </c>
      <c r="V43" s="346">
        <v>5</v>
      </c>
      <c r="W43" s="346">
        <v>75</v>
      </c>
      <c r="X43" s="346">
        <v>125</v>
      </c>
    </row>
    <row r="44" spans="1:24" ht="13.5">
      <c r="A44" s="194" t="s">
        <v>424</v>
      </c>
      <c r="B44" s="198">
        <v>175</v>
      </c>
      <c r="C44" s="196">
        <f t="shared" si="4"/>
        <v>32291</v>
      </c>
      <c r="D44" s="196">
        <f t="shared" si="4"/>
        <v>59241</v>
      </c>
      <c r="E44" s="196">
        <f t="shared" si="4"/>
        <v>86191</v>
      </c>
      <c r="F44" s="196">
        <f t="shared" si="4"/>
        <v>113141</v>
      </c>
      <c r="G44" s="196">
        <f t="shared" si="4"/>
        <v>140091</v>
      </c>
      <c r="H44" s="196">
        <f t="shared" si="4"/>
        <v>167041</v>
      </c>
      <c r="I44" s="196">
        <f t="shared" si="4"/>
        <v>193991</v>
      </c>
      <c r="J44" s="196">
        <f t="shared" si="4"/>
        <v>220941</v>
      </c>
      <c r="K44" s="196">
        <f t="shared" si="4"/>
        <v>247891</v>
      </c>
      <c r="L44" s="196">
        <f t="shared" si="4"/>
        <v>274841</v>
      </c>
      <c r="M44" s="196">
        <f t="shared" si="4"/>
        <v>301791</v>
      </c>
      <c r="N44" s="196">
        <f t="shared" si="4"/>
        <v>355691</v>
      </c>
      <c r="O44" s="196">
        <f t="shared" si="4"/>
        <v>409591</v>
      </c>
      <c r="P44" s="197">
        <f t="shared" si="4"/>
        <v>517391</v>
      </c>
      <c r="U44" s="456">
        <v>33723</v>
      </c>
      <c r="V44" s="346">
        <v>9</v>
      </c>
      <c r="W44" s="346">
        <v>75</v>
      </c>
      <c r="X44" s="346">
        <v>100</v>
      </c>
    </row>
    <row r="45" spans="1:24" ht="14.25">
      <c r="A45" s="194" t="s">
        <v>425</v>
      </c>
      <c r="B45" s="198">
        <v>200</v>
      </c>
      <c r="C45" s="196">
        <f t="shared" si="4"/>
        <v>37366</v>
      </c>
      <c r="D45" s="196">
        <f t="shared" si="4"/>
        <v>68691</v>
      </c>
      <c r="E45" s="196">
        <f t="shared" si="4"/>
        <v>100016</v>
      </c>
      <c r="F45" s="196">
        <f t="shared" si="4"/>
        <v>131341</v>
      </c>
      <c r="G45" s="196">
        <f t="shared" si="4"/>
        <v>162666</v>
      </c>
      <c r="H45" s="196">
        <f t="shared" si="4"/>
        <v>193991</v>
      </c>
      <c r="I45" s="196">
        <f t="shared" si="4"/>
        <v>225316</v>
      </c>
      <c r="J45" s="196">
        <f t="shared" si="4"/>
        <v>256641</v>
      </c>
      <c r="K45" s="196">
        <f t="shared" si="4"/>
        <v>287966</v>
      </c>
      <c r="L45" s="196">
        <f t="shared" si="4"/>
        <v>319291</v>
      </c>
      <c r="M45" s="196">
        <f t="shared" si="4"/>
        <v>350616</v>
      </c>
      <c r="N45" s="196">
        <f t="shared" si="4"/>
        <v>413266</v>
      </c>
      <c r="O45" s="196">
        <f t="shared" si="4"/>
        <v>475916</v>
      </c>
      <c r="P45" s="197">
        <f t="shared" si="4"/>
        <v>601216</v>
      </c>
      <c r="U45" s="456">
        <v>33996</v>
      </c>
      <c r="V45" s="346">
        <v>12</v>
      </c>
      <c r="W45" s="346">
        <v>85</v>
      </c>
      <c r="X45" s="346">
        <v>85</v>
      </c>
    </row>
    <row r="46" spans="1:24" ht="12.75">
      <c r="A46" s="194" t="s">
        <v>426</v>
      </c>
      <c r="B46" s="198">
        <v>225</v>
      </c>
      <c r="C46" s="196">
        <f t="shared" si="4"/>
        <v>42441</v>
      </c>
      <c r="D46" s="196">
        <f t="shared" si="4"/>
        <v>78141</v>
      </c>
      <c r="E46" s="196">
        <f t="shared" si="4"/>
        <v>113841</v>
      </c>
      <c r="F46" s="196">
        <f t="shared" si="4"/>
        <v>149541</v>
      </c>
      <c r="G46" s="196">
        <f t="shared" si="4"/>
        <v>185241</v>
      </c>
      <c r="H46" s="196">
        <f t="shared" si="4"/>
        <v>220941</v>
      </c>
      <c r="I46" s="196">
        <f t="shared" si="4"/>
        <v>256641</v>
      </c>
      <c r="J46" s="196">
        <f t="shared" si="4"/>
        <v>292341</v>
      </c>
      <c r="K46" s="196">
        <f t="shared" si="4"/>
        <v>328041</v>
      </c>
      <c r="L46" s="196">
        <f t="shared" si="4"/>
        <v>363741</v>
      </c>
      <c r="M46" s="196">
        <f t="shared" si="4"/>
        <v>399441</v>
      </c>
      <c r="N46" s="196">
        <f t="shared" si="4"/>
        <v>470841</v>
      </c>
      <c r="O46" s="196">
        <f t="shared" si="4"/>
        <v>542241</v>
      </c>
      <c r="P46" s="197">
        <f t="shared" si="4"/>
        <v>685041</v>
      </c>
      <c r="U46" s="456">
        <v>34500</v>
      </c>
      <c r="V46" s="346">
        <v>10</v>
      </c>
      <c r="W46" s="346">
        <v>75</v>
      </c>
      <c r="X46" s="346">
        <v>100</v>
      </c>
    </row>
    <row r="47" spans="1:24" ht="16.5">
      <c r="A47" s="199" t="s">
        <v>427</v>
      </c>
      <c r="B47" s="198">
        <v>250</v>
      </c>
      <c r="C47" s="196">
        <f t="shared" si="4"/>
        <v>47516</v>
      </c>
      <c r="D47" s="196">
        <f t="shared" si="4"/>
        <v>87591</v>
      </c>
      <c r="E47" s="196">
        <f t="shared" si="4"/>
        <v>127666</v>
      </c>
      <c r="F47" s="196">
        <f t="shared" si="4"/>
        <v>167741</v>
      </c>
      <c r="G47" s="196">
        <f t="shared" si="4"/>
        <v>207816</v>
      </c>
      <c r="H47" s="196">
        <f t="shared" si="4"/>
        <v>247891</v>
      </c>
      <c r="I47" s="196">
        <f t="shared" si="4"/>
        <v>287966</v>
      </c>
      <c r="J47" s="196">
        <f t="shared" si="4"/>
        <v>328041</v>
      </c>
      <c r="K47" s="196">
        <f t="shared" si="4"/>
        <v>368116</v>
      </c>
      <c r="L47" s="196">
        <f t="shared" si="4"/>
        <v>408191</v>
      </c>
      <c r="M47" s="196">
        <f t="shared" si="4"/>
        <v>448266</v>
      </c>
      <c r="N47" s="196">
        <f t="shared" si="4"/>
        <v>528416</v>
      </c>
      <c r="O47" s="196">
        <f t="shared" si="4"/>
        <v>608566</v>
      </c>
      <c r="P47" s="197">
        <f t="shared" si="4"/>
        <v>768866</v>
      </c>
      <c r="U47" s="456">
        <v>34947</v>
      </c>
      <c r="V47" s="346">
        <v>11</v>
      </c>
      <c r="W47" s="346">
        <v>75</v>
      </c>
      <c r="X47" s="346">
        <v>100</v>
      </c>
    </row>
    <row r="48" spans="1:24" ht="12.75">
      <c r="A48" s="200"/>
      <c r="B48" s="198">
        <v>275</v>
      </c>
      <c r="C48" s="196">
        <f t="shared" si="4"/>
        <v>52591</v>
      </c>
      <c r="D48" s="196">
        <f t="shared" si="4"/>
        <v>97041</v>
      </c>
      <c r="E48" s="196">
        <f t="shared" si="4"/>
        <v>141491</v>
      </c>
      <c r="F48" s="196">
        <f t="shared" si="4"/>
        <v>185941</v>
      </c>
      <c r="G48" s="196">
        <f t="shared" si="4"/>
        <v>230391</v>
      </c>
      <c r="H48" s="196">
        <f t="shared" si="4"/>
        <v>274841</v>
      </c>
      <c r="I48" s="196">
        <f t="shared" si="4"/>
        <v>319291</v>
      </c>
      <c r="J48" s="196">
        <f t="shared" si="4"/>
        <v>363741</v>
      </c>
      <c r="K48" s="196">
        <f t="shared" si="4"/>
        <v>408191</v>
      </c>
      <c r="L48" s="196">
        <f t="shared" si="4"/>
        <v>452641</v>
      </c>
      <c r="M48" s="196">
        <f t="shared" si="4"/>
        <v>497091</v>
      </c>
      <c r="N48" s="196">
        <f t="shared" si="4"/>
        <v>585991</v>
      </c>
      <c r="O48" s="196">
        <f t="shared" si="4"/>
        <v>674891</v>
      </c>
      <c r="P48" s="197">
        <f t="shared" si="4"/>
        <v>852691</v>
      </c>
      <c r="U48" s="456">
        <v>35592</v>
      </c>
      <c r="V48" s="346">
        <v>6</v>
      </c>
      <c r="W48" s="346">
        <v>50</v>
      </c>
      <c r="X48" s="346">
        <v>200</v>
      </c>
    </row>
    <row r="49" spans="1:24" ht="13.5">
      <c r="A49" s="199" t="s">
        <v>428</v>
      </c>
      <c r="B49" s="198">
        <v>300</v>
      </c>
      <c r="C49" s="196">
        <f t="shared" si="4"/>
        <v>57666</v>
      </c>
      <c r="D49" s="196">
        <f t="shared" si="4"/>
        <v>106491</v>
      </c>
      <c r="E49" s="196">
        <f t="shared" si="4"/>
        <v>155316</v>
      </c>
      <c r="F49" s="196">
        <f t="shared" si="4"/>
        <v>204141</v>
      </c>
      <c r="G49" s="196">
        <f t="shared" si="4"/>
        <v>252966</v>
      </c>
      <c r="H49" s="196">
        <f t="shared" si="4"/>
        <v>301791</v>
      </c>
      <c r="I49" s="196">
        <f t="shared" si="4"/>
        <v>350616</v>
      </c>
      <c r="J49" s="196">
        <f t="shared" si="4"/>
        <v>399441</v>
      </c>
      <c r="K49" s="196">
        <f t="shared" si="4"/>
        <v>448266</v>
      </c>
      <c r="L49" s="196">
        <f t="shared" si="4"/>
        <v>497091</v>
      </c>
      <c r="M49" s="196">
        <f t="shared" si="4"/>
        <v>545916</v>
      </c>
      <c r="N49" s="196">
        <f t="shared" si="4"/>
        <v>643566</v>
      </c>
      <c r="O49" s="196">
        <f t="shared" si="4"/>
        <v>741216</v>
      </c>
      <c r="P49" s="197">
        <f t="shared" si="4"/>
        <v>936516</v>
      </c>
      <c r="U49" s="456">
        <v>35703</v>
      </c>
      <c r="V49" s="346">
        <v>9</v>
      </c>
      <c r="W49" s="346">
        <v>65</v>
      </c>
      <c r="X49" s="346">
        <v>125</v>
      </c>
    </row>
    <row r="50" spans="1:24" ht="15">
      <c r="A50" s="199" t="s">
        <v>429</v>
      </c>
      <c r="B50" s="198">
        <v>350</v>
      </c>
      <c r="C50" s="196">
        <f t="shared" si="4"/>
        <v>67816</v>
      </c>
      <c r="D50" s="196">
        <f t="shared" si="4"/>
        <v>125391</v>
      </c>
      <c r="E50" s="196">
        <f t="shared" si="4"/>
        <v>182966</v>
      </c>
      <c r="F50" s="196">
        <f t="shared" si="4"/>
        <v>240541</v>
      </c>
      <c r="G50" s="196">
        <f t="shared" si="4"/>
        <v>298116</v>
      </c>
      <c r="H50" s="196">
        <f t="shared" si="4"/>
        <v>355691</v>
      </c>
      <c r="I50" s="196">
        <f t="shared" si="4"/>
        <v>413266</v>
      </c>
      <c r="J50" s="196">
        <f t="shared" si="4"/>
        <v>470841</v>
      </c>
      <c r="K50" s="196">
        <f t="shared" si="4"/>
        <v>528416</v>
      </c>
      <c r="L50" s="196">
        <f t="shared" si="4"/>
        <v>585991</v>
      </c>
      <c r="M50" s="196">
        <f t="shared" si="4"/>
        <v>643566</v>
      </c>
      <c r="N50" s="196">
        <f t="shared" si="4"/>
        <v>758716</v>
      </c>
      <c r="O50" s="196">
        <f t="shared" si="4"/>
        <v>873866</v>
      </c>
      <c r="P50" s="197">
        <f t="shared" si="4"/>
        <v>1104166</v>
      </c>
      <c r="U50" s="456">
        <v>36500</v>
      </c>
      <c r="V50" s="346">
        <v>5</v>
      </c>
      <c r="W50" s="346">
        <v>100</v>
      </c>
      <c r="X50" s="346">
        <v>100</v>
      </c>
    </row>
    <row r="51" spans="1:24" ht="13.5">
      <c r="A51" s="199" t="s">
        <v>424</v>
      </c>
      <c r="B51" s="198">
        <v>400</v>
      </c>
      <c r="C51" s="196">
        <f t="shared" si="4"/>
        <v>77966</v>
      </c>
      <c r="D51" s="196">
        <f t="shared" si="4"/>
        <v>144291</v>
      </c>
      <c r="E51" s="196">
        <f t="shared" si="4"/>
        <v>210616</v>
      </c>
      <c r="F51" s="196">
        <f t="shared" si="4"/>
        <v>276941</v>
      </c>
      <c r="G51" s="196">
        <f t="shared" si="4"/>
        <v>343266</v>
      </c>
      <c r="H51" s="196">
        <f t="shared" si="4"/>
        <v>409591</v>
      </c>
      <c r="I51" s="196">
        <f t="shared" si="4"/>
        <v>475916</v>
      </c>
      <c r="J51" s="196">
        <f t="shared" si="4"/>
        <v>542241</v>
      </c>
      <c r="K51" s="196">
        <f t="shared" si="4"/>
        <v>608566</v>
      </c>
      <c r="L51" s="196">
        <f t="shared" si="4"/>
        <v>674891</v>
      </c>
      <c r="M51" s="196">
        <f t="shared" si="4"/>
        <v>741216</v>
      </c>
      <c r="N51" s="196">
        <f t="shared" si="4"/>
        <v>873866</v>
      </c>
      <c r="O51" s="196">
        <f t="shared" si="4"/>
        <v>1006516</v>
      </c>
      <c r="P51" s="197">
        <f t="shared" si="4"/>
        <v>1271816</v>
      </c>
      <c r="U51" s="456">
        <v>37125</v>
      </c>
      <c r="V51" s="346">
        <v>5</v>
      </c>
      <c r="W51" s="346">
        <v>50</v>
      </c>
      <c r="X51" s="346">
        <v>225</v>
      </c>
    </row>
    <row r="52" spans="1:24" ht="13.5" thickBot="1">
      <c r="A52" s="201"/>
      <c r="B52" s="202">
        <v>500</v>
      </c>
      <c r="C52" s="203">
        <f t="shared" si="4"/>
        <v>98266</v>
      </c>
      <c r="D52" s="203">
        <f t="shared" si="4"/>
        <v>182091</v>
      </c>
      <c r="E52" s="203">
        <f t="shared" si="4"/>
        <v>265916</v>
      </c>
      <c r="F52" s="203">
        <f t="shared" si="4"/>
        <v>349741</v>
      </c>
      <c r="G52" s="203">
        <f t="shared" si="4"/>
        <v>433566</v>
      </c>
      <c r="H52" s="203">
        <f t="shared" si="4"/>
        <v>517391</v>
      </c>
      <c r="I52" s="203">
        <f t="shared" si="4"/>
        <v>601216</v>
      </c>
      <c r="J52" s="203">
        <f t="shared" si="4"/>
        <v>685041</v>
      </c>
      <c r="K52" s="203">
        <f t="shared" si="4"/>
        <v>768866</v>
      </c>
      <c r="L52" s="203">
        <f t="shared" si="4"/>
        <v>852691</v>
      </c>
      <c r="M52" s="203">
        <f t="shared" si="4"/>
        <v>936516</v>
      </c>
      <c r="N52" s="203">
        <f t="shared" si="4"/>
        <v>1104166</v>
      </c>
      <c r="O52" s="203">
        <f t="shared" si="4"/>
        <v>1271816</v>
      </c>
      <c r="P52" s="204">
        <f t="shared" si="4"/>
        <v>1607116</v>
      </c>
      <c r="U52" s="456">
        <v>37242</v>
      </c>
      <c r="V52" s="346">
        <v>6</v>
      </c>
      <c r="W52" s="346">
        <v>75</v>
      </c>
      <c r="X52" s="346">
        <v>125</v>
      </c>
    </row>
    <row r="53" spans="1:24" ht="13.5" thickBot="1">
      <c r="A53" s="46"/>
      <c r="B53" s="205"/>
      <c r="C53" s="46"/>
      <c r="D53" s="46"/>
      <c r="E53" s="46"/>
      <c r="F53" s="46"/>
      <c r="G53" s="46"/>
      <c r="H53" s="46"/>
      <c r="I53" s="46"/>
      <c r="J53" s="46"/>
      <c r="K53" s="46"/>
      <c r="L53" s="46"/>
      <c r="M53" s="46"/>
      <c r="N53" s="46"/>
      <c r="O53" s="46"/>
      <c r="P53" s="46"/>
      <c r="U53" s="456">
        <v>37366</v>
      </c>
      <c r="V53" s="346">
        <v>7</v>
      </c>
      <c r="W53" s="346">
        <v>50</v>
      </c>
      <c r="X53" s="346">
        <v>200</v>
      </c>
    </row>
    <row r="54" spans="1:24" ht="14.25">
      <c r="A54" s="182"/>
      <c r="B54" s="183">
        <v>8</v>
      </c>
      <c r="C54" s="184" t="s">
        <v>417</v>
      </c>
      <c r="D54" s="185"/>
      <c r="E54" s="185"/>
      <c r="F54" s="185"/>
      <c r="G54" s="186" t="s">
        <v>418</v>
      </c>
      <c r="H54" s="185"/>
      <c r="I54" s="185"/>
      <c r="J54" s="185"/>
      <c r="K54" s="185"/>
      <c r="L54" s="185"/>
      <c r="M54" s="185"/>
      <c r="N54" s="187">
        <v>3</v>
      </c>
      <c r="O54" s="187" t="s">
        <v>419</v>
      </c>
      <c r="P54" s="188"/>
      <c r="U54" s="456">
        <v>37824</v>
      </c>
      <c r="V54" s="346">
        <v>8</v>
      </c>
      <c r="W54" s="346">
        <v>60</v>
      </c>
      <c r="X54" s="346">
        <v>150</v>
      </c>
    </row>
    <row r="55" spans="1:24" ht="12.75">
      <c r="A55" s="189"/>
      <c r="B55" s="190"/>
      <c r="C55" s="191">
        <v>60</v>
      </c>
      <c r="D55" s="192">
        <v>75</v>
      </c>
      <c r="E55" s="192">
        <v>100</v>
      </c>
      <c r="F55" s="192">
        <v>125</v>
      </c>
      <c r="G55" s="192">
        <v>150</v>
      </c>
      <c r="H55" s="192">
        <v>175</v>
      </c>
      <c r="I55" s="192">
        <v>200</v>
      </c>
      <c r="J55" s="192">
        <v>225</v>
      </c>
      <c r="K55" s="192">
        <v>250</v>
      </c>
      <c r="L55" s="192">
        <v>275</v>
      </c>
      <c r="M55" s="192">
        <v>300</v>
      </c>
      <c r="N55" s="192">
        <v>350</v>
      </c>
      <c r="O55" s="192">
        <v>400</v>
      </c>
      <c r="P55" s="193">
        <v>500</v>
      </c>
      <c r="U55" s="456">
        <v>40341</v>
      </c>
      <c r="V55" s="346">
        <v>7</v>
      </c>
      <c r="W55" s="346">
        <v>75</v>
      </c>
      <c r="X55" s="346">
        <v>125</v>
      </c>
    </row>
    <row r="56" spans="1:24" ht="12.75">
      <c r="A56" s="194"/>
      <c r="B56" s="195">
        <v>60</v>
      </c>
      <c r="C56" s="196">
        <f>($B56*C$55*$B$54)-($N$54*$B$54^2*($B56+C$55))+(4*$N$54^2*$B$54^3/3)</f>
        <v>11904</v>
      </c>
      <c r="D56" s="196">
        <f aca="true" t="shared" si="5" ref="D56:P56">($B56*D$55*$B$54)-($N$54*$B$54^2*($B56+D$55))+(4*$N$54^2*$B$54^3/3)</f>
        <v>16224</v>
      </c>
      <c r="E56" s="196">
        <f t="shared" si="5"/>
        <v>23424</v>
      </c>
      <c r="F56" s="196">
        <f t="shared" si="5"/>
        <v>30624</v>
      </c>
      <c r="G56" s="196">
        <f t="shared" si="5"/>
        <v>37824</v>
      </c>
      <c r="H56" s="196">
        <f t="shared" si="5"/>
        <v>45024</v>
      </c>
      <c r="I56" s="196">
        <f t="shared" si="5"/>
        <v>52224</v>
      </c>
      <c r="J56" s="196">
        <f t="shared" si="5"/>
        <v>59424</v>
      </c>
      <c r="K56" s="196">
        <f t="shared" si="5"/>
        <v>66624</v>
      </c>
      <c r="L56" s="196">
        <f t="shared" si="5"/>
        <v>73824</v>
      </c>
      <c r="M56" s="196">
        <f t="shared" si="5"/>
        <v>81024</v>
      </c>
      <c r="N56" s="196">
        <f t="shared" si="5"/>
        <v>95424</v>
      </c>
      <c r="O56" s="196">
        <f t="shared" si="5"/>
        <v>109824</v>
      </c>
      <c r="P56" s="197">
        <f t="shared" si="5"/>
        <v>138624</v>
      </c>
      <c r="U56" s="456">
        <v>40392</v>
      </c>
      <c r="V56" s="346">
        <v>6</v>
      </c>
      <c r="W56" s="346">
        <v>50</v>
      </c>
      <c r="X56" s="346">
        <v>225</v>
      </c>
    </row>
    <row r="57" spans="1:24" ht="15.75">
      <c r="A57" s="194" t="s">
        <v>420</v>
      </c>
      <c r="B57" s="198">
        <v>75</v>
      </c>
      <c r="C57" s="196">
        <f aca="true" t="shared" si="6" ref="C57:P69">($B57*C$55*$B$54)-($N$54*$B$54^2*($B57+C$55))+(4*$N$54^2*$B$54^3/3)</f>
        <v>16224</v>
      </c>
      <c r="D57" s="196">
        <f t="shared" si="6"/>
        <v>22344</v>
      </c>
      <c r="E57" s="196">
        <f t="shared" si="6"/>
        <v>32544</v>
      </c>
      <c r="F57" s="196">
        <f t="shared" si="6"/>
        <v>42744</v>
      </c>
      <c r="G57" s="196">
        <f t="shared" si="6"/>
        <v>52944</v>
      </c>
      <c r="H57" s="196">
        <f t="shared" si="6"/>
        <v>63144</v>
      </c>
      <c r="I57" s="196">
        <f t="shared" si="6"/>
        <v>73344</v>
      </c>
      <c r="J57" s="196">
        <f t="shared" si="6"/>
        <v>83544</v>
      </c>
      <c r="K57" s="196">
        <f t="shared" si="6"/>
        <v>93744</v>
      </c>
      <c r="L57" s="196">
        <f t="shared" si="6"/>
        <v>103944</v>
      </c>
      <c r="M57" s="196">
        <f t="shared" si="6"/>
        <v>114144</v>
      </c>
      <c r="N57" s="196">
        <f t="shared" si="6"/>
        <v>134544</v>
      </c>
      <c r="O57" s="196">
        <f t="shared" si="6"/>
        <v>154944</v>
      </c>
      <c r="P57" s="197">
        <f t="shared" si="6"/>
        <v>195744</v>
      </c>
      <c r="U57" s="456">
        <v>40875</v>
      </c>
      <c r="V57" s="346">
        <v>5</v>
      </c>
      <c r="W57" s="346">
        <v>75</v>
      </c>
      <c r="X57" s="346">
        <v>150</v>
      </c>
    </row>
    <row r="58" spans="1:24" ht="13.5">
      <c r="A58" s="194" t="s">
        <v>421</v>
      </c>
      <c r="B58" s="198">
        <v>100</v>
      </c>
      <c r="C58" s="196">
        <f t="shared" si="6"/>
        <v>23424</v>
      </c>
      <c r="D58" s="196">
        <f t="shared" si="6"/>
        <v>32544</v>
      </c>
      <c r="E58" s="196">
        <f t="shared" si="6"/>
        <v>47744</v>
      </c>
      <c r="F58" s="196">
        <f t="shared" si="6"/>
        <v>62944</v>
      </c>
      <c r="G58" s="196">
        <f t="shared" si="6"/>
        <v>78144</v>
      </c>
      <c r="H58" s="196">
        <f t="shared" si="6"/>
        <v>93344</v>
      </c>
      <c r="I58" s="196">
        <f t="shared" si="6"/>
        <v>108544</v>
      </c>
      <c r="J58" s="196">
        <f t="shared" si="6"/>
        <v>123744</v>
      </c>
      <c r="K58" s="196">
        <f t="shared" si="6"/>
        <v>138944</v>
      </c>
      <c r="L58" s="196">
        <f t="shared" si="6"/>
        <v>154144</v>
      </c>
      <c r="M58" s="196">
        <f t="shared" si="6"/>
        <v>169344</v>
      </c>
      <c r="N58" s="196">
        <f t="shared" si="6"/>
        <v>199744</v>
      </c>
      <c r="O58" s="196">
        <f t="shared" si="6"/>
        <v>230144</v>
      </c>
      <c r="P58" s="197">
        <f t="shared" si="6"/>
        <v>290944</v>
      </c>
      <c r="U58" s="456">
        <v>40992</v>
      </c>
      <c r="V58" s="346">
        <v>6</v>
      </c>
      <c r="W58" s="346">
        <v>100</v>
      </c>
      <c r="X58" s="346">
        <v>100</v>
      </c>
    </row>
    <row r="59" spans="1:24" ht="12.75">
      <c r="A59" s="194" t="s">
        <v>422</v>
      </c>
      <c r="B59" s="198">
        <v>125</v>
      </c>
      <c r="C59" s="196">
        <f t="shared" si="6"/>
        <v>30624</v>
      </c>
      <c r="D59" s="196">
        <f t="shared" si="6"/>
        <v>42744</v>
      </c>
      <c r="E59" s="196">
        <f t="shared" si="6"/>
        <v>62944</v>
      </c>
      <c r="F59" s="196">
        <f t="shared" si="6"/>
        <v>83144</v>
      </c>
      <c r="G59" s="196">
        <f t="shared" si="6"/>
        <v>103344</v>
      </c>
      <c r="H59" s="196">
        <f t="shared" si="6"/>
        <v>123544</v>
      </c>
      <c r="I59" s="196">
        <f t="shared" si="6"/>
        <v>143744</v>
      </c>
      <c r="J59" s="196">
        <f t="shared" si="6"/>
        <v>163944</v>
      </c>
      <c r="K59" s="196">
        <f t="shared" si="6"/>
        <v>184144</v>
      </c>
      <c r="L59" s="196">
        <f t="shared" si="6"/>
        <v>204344</v>
      </c>
      <c r="M59" s="196">
        <f t="shared" si="6"/>
        <v>224544</v>
      </c>
      <c r="N59" s="196">
        <f t="shared" si="6"/>
        <v>264944</v>
      </c>
      <c r="O59" s="196">
        <f t="shared" si="6"/>
        <v>305344</v>
      </c>
      <c r="P59" s="197">
        <f t="shared" si="6"/>
        <v>386144</v>
      </c>
      <c r="U59" s="456">
        <v>41000</v>
      </c>
      <c r="V59" s="346">
        <v>10</v>
      </c>
      <c r="W59" s="346">
        <v>70</v>
      </c>
      <c r="X59" s="346">
        <v>125</v>
      </c>
    </row>
    <row r="60" spans="1:24" ht="14.25">
      <c r="A60" s="194" t="s">
        <v>423</v>
      </c>
      <c r="B60" s="198">
        <v>150</v>
      </c>
      <c r="C60" s="196">
        <f t="shared" si="6"/>
        <v>37824</v>
      </c>
      <c r="D60" s="196">
        <f t="shared" si="6"/>
        <v>52944</v>
      </c>
      <c r="E60" s="196">
        <f t="shared" si="6"/>
        <v>78144</v>
      </c>
      <c r="F60" s="196">
        <f t="shared" si="6"/>
        <v>103344</v>
      </c>
      <c r="G60" s="196">
        <f t="shared" si="6"/>
        <v>128544</v>
      </c>
      <c r="H60" s="196">
        <f t="shared" si="6"/>
        <v>153744</v>
      </c>
      <c r="I60" s="196">
        <f t="shared" si="6"/>
        <v>178944</v>
      </c>
      <c r="J60" s="196">
        <f t="shared" si="6"/>
        <v>204144</v>
      </c>
      <c r="K60" s="196">
        <f t="shared" si="6"/>
        <v>229344</v>
      </c>
      <c r="L60" s="196">
        <f t="shared" si="6"/>
        <v>254544</v>
      </c>
      <c r="M60" s="196">
        <f t="shared" si="6"/>
        <v>279744</v>
      </c>
      <c r="N60" s="196">
        <f t="shared" si="6"/>
        <v>330144</v>
      </c>
      <c r="O60" s="196">
        <f t="shared" si="6"/>
        <v>380544</v>
      </c>
      <c r="P60" s="197">
        <f t="shared" si="6"/>
        <v>481344</v>
      </c>
      <c r="U60" s="456">
        <v>41500</v>
      </c>
      <c r="V60" s="346">
        <v>5</v>
      </c>
      <c r="W60" s="346">
        <v>50</v>
      </c>
      <c r="X60" s="346">
        <v>250</v>
      </c>
    </row>
    <row r="61" spans="1:24" ht="13.5">
      <c r="A61" s="194" t="s">
        <v>424</v>
      </c>
      <c r="B61" s="198">
        <v>175</v>
      </c>
      <c r="C61" s="196">
        <f t="shared" si="6"/>
        <v>45024</v>
      </c>
      <c r="D61" s="196">
        <f t="shared" si="6"/>
        <v>63144</v>
      </c>
      <c r="E61" s="196">
        <f t="shared" si="6"/>
        <v>93344</v>
      </c>
      <c r="F61" s="196">
        <f t="shared" si="6"/>
        <v>123544</v>
      </c>
      <c r="G61" s="196">
        <f t="shared" si="6"/>
        <v>153744</v>
      </c>
      <c r="H61" s="196">
        <f t="shared" si="6"/>
        <v>183944</v>
      </c>
      <c r="I61" s="196">
        <f t="shared" si="6"/>
        <v>214144</v>
      </c>
      <c r="J61" s="196">
        <f t="shared" si="6"/>
        <v>244344</v>
      </c>
      <c r="K61" s="196">
        <f t="shared" si="6"/>
        <v>274544</v>
      </c>
      <c r="L61" s="196">
        <f t="shared" si="6"/>
        <v>304744</v>
      </c>
      <c r="M61" s="196">
        <f t="shared" si="6"/>
        <v>334944</v>
      </c>
      <c r="N61" s="196">
        <f t="shared" si="6"/>
        <v>395344</v>
      </c>
      <c r="O61" s="196">
        <f t="shared" si="6"/>
        <v>455744</v>
      </c>
      <c r="P61" s="197">
        <f t="shared" si="6"/>
        <v>576544</v>
      </c>
      <c r="U61" s="456">
        <v>42441</v>
      </c>
      <c r="V61" s="346">
        <v>7</v>
      </c>
      <c r="W61" s="346">
        <v>50</v>
      </c>
      <c r="X61" s="346">
        <v>225</v>
      </c>
    </row>
    <row r="62" spans="1:24" ht="14.25">
      <c r="A62" s="194" t="s">
        <v>425</v>
      </c>
      <c r="B62" s="198">
        <v>200</v>
      </c>
      <c r="C62" s="196">
        <f t="shared" si="6"/>
        <v>52224</v>
      </c>
      <c r="D62" s="196">
        <f t="shared" si="6"/>
        <v>73344</v>
      </c>
      <c r="E62" s="196">
        <f t="shared" si="6"/>
        <v>108544</v>
      </c>
      <c r="F62" s="196">
        <f t="shared" si="6"/>
        <v>143744</v>
      </c>
      <c r="G62" s="196">
        <f t="shared" si="6"/>
        <v>178944</v>
      </c>
      <c r="H62" s="196">
        <f t="shared" si="6"/>
        <v>214144</v>
      </c>
      <c r="I62" s="196">
        <f t="shared" si="6"/>
        <v>249344</v>
      </c>
      <c r="J62" s="196">
        <f t="shared" si="6"/>
        <v>284544</v>
      </c>
      <c r="K62" s="196">
        <f t="shared" si="6"/>
        <v>319744</v>
      </c>
      <c r="L62" s="196">
        <f t="shared" si="6"/>
        <v>354944</v>
      </c>
      <c r="M62" s="196">
        <f t="shared" si="6"/>
        <v>390144</v>
      </c>
      <c r="N62" s="196">
        <f t="shared" si="6"/>
        <v>460544</v>
      </c>
      <c r="O62" s="196">
        <f t="shared" si="6"/>
        <v>530944</v>
      </c>
      <c r="P62" s="197">
        <f t="shared" si="6"/>
        <v>671744</v>
      </c>
      <c r="U62" s="456">
        <v>42744</v>
      </c>
      <c r="V62" s="346">
        <v>8</v>
      </c>
      <c r="W62" s="346">
        <v>75</v>
      </c>
      <c r="X62" s="346">
        <v>125</v>
      </c>
    </row>
    <row r="63" spans="1:24" ht="12.75">
      <c r="A63" s="194" t="s">
        <v>426</v>
      </c>
      <c r="B63" s="198">
        <v>225</v>
      </c>
      <c r="C63" s="196">
        <f t="shared" si="6"/>
        <v>59424</v>
      </c>
      <c r="D63" s="196">
        <f t="shared" si="6"/>
        <v>83544</v>
      </c>
      <c r="E63" s="196">
        <f t="shared" si="6"/>
        <v>123744</v>
      </c>
      <c r="F63" s="196">
        <f t="shared" si="6"/>
        <v>163944</v>
      </c>
      <c r="G63" s="196">
        <f t="shared" si="6"/>
        <v>204144</v>
      </c>
      <c r="H63" s="196">
        <f t="shared" si="6"/>
        <v>244344</v>
      </c>
      <c r="I63" s="196">
        <f t="shared" si="6"/>
        <v>284544</v>
      </c>
      <c r="J63" s="196">
        <f t="shared" si="6"/>
        <v>324744</v>
      </c>
      <c r="K63" s="196">
        <f t="shared" si="6"/>
        <v>364944</v>
      </c>
      <c r="L63" s="196">
        <f t="shared" si="6"/>
        <v>405144</v>
      </c>
      <c r="M63" s="196">
        <f t="shared" si="6"/>
        <v>445344</v>
      </c>
      <c r="N63" s="196">
        <f t="shared" si="6"/>
        <v>525744</v>
      </c>
      <c r="O63" s="196">
        <f t="shared" si="6"/>
        <v>606144</v>
      </c>
      <c r="P63" s="197">
        <f t="shared" si="6"/>
        <v>766944</v>
      </c>
      <c r="U63" s="456">
        <v>42816</v>
      </c>
      <c r="V63" s="346">
        <v>12</v>
      </c>
      <c r="W63" s="346">
        <v>85</v>
      </c>
      <c r="X63" s="346">
        <v>100</v>
      </c>
    </row>
    <row r="64" spans="1:24" ht="16.5">
      <c r="A64" s="199" t="s">
        <v>427</v>
      </c>
      <c r="B64" s="198">
        <v>250</v>
      </c>
      <c r="C64" s="196">
        <f t="shared" si="6"/>
        <v>66624</v>
      </c>
      <c r="D64" s="196">
        <f t="shared" si="6"/>
        <v>93744</v>
      </c>
      <c r="E64" s="196">
        <f t="shared" si="6"/>
        <v>138944</v>
      </c>
      <c r="F64" s="196">
        <f t="shared" si="6"/>
        <v>184144</v>
      </c>
      <c r="G64" s="196">
        <f t="shared" si="6"/>
        <v>229344</v>
      </c>
      <c r="H64" s="196">
        <f t="shared" si="6"/>
        <v>274544</v>
      </c>
      <c r="I64" s="196">
        <f t="shared" si="6"/>
        <v>319744</v>
      </c>
      <c r="J64" s="196">
        <f t="shared" si="6"/>
        <v>364944</v>
      </c>
      <c r="K64" s="196">
        <f t="shared" si="6"/>
        <v>410144</v>
      </c>
      <c r="L64" s="196">
        <f t="shared" si="6"/>
        <v>455344</v>
      </c>
      <c r="M64" s="196">
        <f t="shared" si="6"/>
        <v>500544</v>
      </c>
      <c r="N64" s="196">
        <f t="shared" si="6"/>
        <v>590944</v>
      </c>
      <c r="O64" s="196">
        <f t="shared" si="6"/>
        <v>681344</v>
      </c>
      <c r="P64" s="197">
        <f t="shared" si="6"/>
        <v>862144</v>
      </c>
      <c r="U64" s="456">
        <v>44253</v>
      </c>
      <c r="V64" s="346">
        <v>9</v>
      </c>
      <c r="W64" s="346">
        <v>65</v>
      </c>
      <c r="X64" s="346">
        <v>150</v>
      </c>
    </row>
    <row r="65" spans="1:24" ht="12.75">
      <c r="A65" s="200"/>
      <c r="B65" s="198">
        <v>275</v>
      </c>
      <c r="C65" s="196">
        <f t="shared" si="6"/>
        <v>73824</v>
      </c>
      <c r="D65" s="196">
        <f t="shared" si="6"/>
        <v>103944</v>
      </c>
      <c r="E65" s="196">
        <f t="shared" si="6"/>
        <v>154144</v>
      </c>
      <c r="F65" s="196">
        <f t="shared" si="6"/>
        <v>204344</v>
      </c>
      <c r="G65" s="196">
        <f t="shared" si="6"/>
        <v>254544</v>
      </c>
      <c r="H65" s="196">
        <f t="shared" si="6"/>
        <v>304744</v>
      </c>
      <c r="I65" s="196">
        <f t="shared" si="6"/>
        <v>354944</v>
      </c>
      <c r="J65" s="196">
        <f t="shared" si="6"/>
        <v>405144</v>
      </c>
      <c r="K65" s="196">
        <f t="shared" si="6"/>
        <v>455344</v>
      </c>
      <c r="L65" s="196">
        <f t="shared" si="6"/>
        <v>505544</v>
      </c>
      <c r="M65" s="196">
        <f t="shared" si="6"/>
        <v>555744</v>
      </c>
      <c r="N65" s="196">
        <f t="shared" si="6"/>
        <v>656144</v>
      </c>
      <c r="O65" s="196">
        <f t="shared" si="6"/>
        <v>756544</v>
      </c>
      <c r="P65" s="197">
        <f t="shared" si="6"/>
        <v>957344</v>
      </c>
      <c r="U65" s="456">
        <v>44523</v>
      </c>
      <c r="V65" s="346">
        <v>9</v>
      </c>
      <c r="W65" s="346">
        <v>75</v>
      </c>
      <c r="X65" s="346">
        <v>125</v>
      </c>
    </row>
    <row r="66" spans="1:24" ht="13.5">
      <c r="A66" s="199" t="s">
        <v>428</v>
      </c>
      <c r="B66" s="198">
        <v>300</v>
      </c>
      <c r="C66" s="196">
        <f t="shared" si="6"/>
        <v>81024</v>
      </c>
      <c r="D66" s="196">
        <f t="shared" si="6"/>
        <v>114144</v>
      </c>
      <c r="E66" s="196">
        <f t="shared" si="6"/>
        <v>169344</v>
      </c>
      <c r="F66" s="196">
        <f t="shared" si="6"/>
        <v>224544</v>
      </c>
      <c r="G66" s="196">
        <f t="shared" si="6"/>
        <v>279744</v>
      </c>
      <c r="H66" s="196">
        <f t="shared" si="6"/>
        <v>334944</v>
      </c>
      <c r="I66" s="196">
        <f t="shared" si="6"/>
        <v>390144</v>
      </c>
      <c r="J66" s="196">
        <f t="shared" si="6"/>
        <v>445344</v>
      </c>
      <c r="K66" s="196">
        <f t="shared" si="6"/>
        <v>500544</v>
      </c>
      <c r="L66" s="196">
        <f t="shared" si="6"/>
        <v>555744</v>
      </c>
      <c r="M66" s="196">
        <f t="shared" si="6"/>
        <v>610944</v>
      </c>
      <c r="N66" s="196">
        <f t="shared" si="6"/>
        <v>721344</v>
      </c>
      <c r="O66" s="196">
        <f t="shared" si="6"/>
        <v>831744</v>
      </c>
      <c r="P66" s="197">
        <f t="shared" si="6"/>
        <v>1052544</v>
      </c>
      <c r="U66" s="456">
        <v>44716</v>
      </c>
      <c r="V66" s="346">
        <v>7</v>
      </c>
      <c r="W66" s="346">
        <v>100</v>
      </c>
      <c r="X66" s="346">
        <v>100</v>
      </c>
    </row>
    <row r="67" spans="1:24" ht="15">
      <c r="A67" s="199" t="s">
        <v>429</v>
      </c>
      <c r="B67" s="198">
        <v>350</v>
      </c>
      <c r="C67" s="196">
        <f t="shared" si="6"/>
        <v>95424</v>
      </c>
      <c r="D67" s="196">
        <f t="shared" si="6"/>
        <v>134544</v>
      </c>
      <c r="E67" s="196">
        <f t="shared" si="6"/>
        <v>199744</v>
      </c>
      <c r="F67" s="196">
        <f t="shared" si="6"/>
        <v>264944</v>
      </c>
      <c r="G67" s="196">
        <f t="shared" si="6"/>
        <v>330144</v>
      </c>
      <c r="H67" s="196">
        <f t="shared" si="6"/>
        <v>395344</v>
      </c>
      <c r="I67" s="196">
        <f t="shared" si="6"/>
        <v>460544</v>
      </c>
      <c r="J67" s="196">
        <f t="shared" si="6"/>
        <v>525744</v>
      </c>
      <c r="K67" s="196">
        <f t="shared" si="6"/>
        <v>590944</v>
      </c>
      <c r="L67" s="196">
        <f t="shared" si="6"/>
        <v>656144</v>
      </c>
      <c r="M67" s="196">
        <f t="shared" si="6"/>
        <v>721344</v>
      </c>
      <c r="N67" s="196">
        <f t="shared" si="6"/>
        <v>851744</v>
      </c>
      <c r="O67" s="196">
        <f t="shared" si="6"/>
        <v>982144</v>
      </c>
      <c r="P67" s="197">
        <f t="shared" si="6"/>
        <v>1242944</v>
      </c>
      <c r="U67" s="456">
        <v>45024</v>
      </c>
      <c r="V67" s="346">
        <v>8</v>
      </c>
      <c r="W67" s="346">
        <v>60</v>
      </c>
      <c r="X67" s="346">
        <v>175</v>
      </c>
    </row>
    <row r="68" spans="1:24" ht="13.5">
      <c r="A68" s="199" t="s">
        <v>424</v>
      </c>
      <c r="B68" s="198">
        <v>400</v>
      </c>
      <c r="C68" s="196">
        <f t="shared" si="6"/>
        <v>109824</v>
      </c>
      <c r="D68" s="196">
        <f t="shared" si="6"/>
        <v>154944</v>
      </c>
      <c r="E68" s="196">
        <f t="shared" si="6"/>
        <v>230144</v>
      </c>
      <c r="F68" s="196">
        <f t="shared" si="6"/>
        <v>305344</v>
      </c>
      <c r="G68" s="196">
        <f t="shared" si="6"/>
        <v>380544</v>
      </c>
      <c r="H68" s="196">
        <f t="shared" si="6"/>
        <v>455744</v>
      </c>
      <c r="I68" s="196">
        <f t="shared" si="6"/>
        <v>530944</v>
      </c>
      <c r="J68" s="196">
        <f t="shared" si="6"/>
        <v>606144</v>
      </c>
      <c r="K68" s="196">
        <f t="shared" si="6"/>
        <v>681344</v>
      </c>
      <c r="L68" s="196">
        <f t="shared" si="6"/>
        <v>756544</v>
      </c>
      <c r="M68" s="196">
        <f t="shared" si="6"/>
        <v>831744</v>
      </c>
      <c r="N68" s="196">
        <f t="shared" si="6"/>
        <v>982144</v>
      </c>
      <c r="O68" s="196">
        <f t="shared" si="6"/>
        <v>1132544</v>
      </c>
      <c r="P68" s="197">
        <f t="shared" si="6"/>
        <v>1433344</v>
      </c>
      <c r="U68" s="456">
        <v>45192</v>
      </c>
      <c r="V68" s="346">
        <v>6</v>
      </c>
      <c r="W68" s="346">
        <v>50</v>
      </c>
      <c r="X68" s="346">
        <v>250</v>
      </c>
    </row>
    <row r="69" spans="1:24" ht="13.5" thickBot="1">
      <c r="A69" s="201"/>
      <c r="B69" s="202">
        <v>500</v>
      </c>
      <c r="C69" s="203">
        <f t="shared" si="6"/>
        <v>138624</v>
      </c>
      <c r="D69" s="203">
        <f t="shared" si="6"/>
        <v>195744</v>
      </c>
      <c r="E69" s="203">
        <f t="shared" si="6"/>
        <v>290944</v>
      </c>
      <c r="F69" s="203">
        <f t="shared" si="6"/>
        <v>386144</v>
      </c>
      <c r="G69" s="203">
        <f t="shared" si="6"/>
        <v>481344</v>
      </c>
      <c r="H69" s="203">
        <f t="shared" si="6"/>
        <v>576544</v>
      </c>
      <c r="I69" s="203">
        <f t="shared" si="6"/>
        <v>671744</v>
      </c>
      <c r="J69" s="203">
        <f t="shared" si="6"/>
        <v>766944</v>
      </c>
      <c r="K69" s="203">
        <f t="shared" si="6"/>
        <v>862144</v>
      </c>
      <c r="L69" s="203">
        <f t="shared" si="6"/>
        <v>957344</v>
      </c>
      <c r="M69" s="203">
        <f t="shared" si="6"/>
        <v>1052544</v>
      </c>
      <c r="N69" s="203">
        <f t="shared" si="6"/>
        <v>1242944</v>
      </c>
      <c r="O69" s="203">
        <f t="shared" si="6"/>
        <v>1433344</v>
      </c>
      <c r="P69" s="204">
        <f t="shared" si="6"/>
        <v>1814144</v>
      </c>
      <c r="U69" s="456">
        <v>45750</v>
      </c>
      <c r="V69" s="346">
        <v>10</v>
      </c>
      <c r="W69" s="346">
        <v>75</v>
      </c>
      <c r="X69" s="346">
        <v>125</v>
      </c>
    </row>
    <row r="70" spans="1:24" ht="12.75">
      <c r="A70" s="206"/>
      <c r="B70" s="207"/>
      <c r="C70" s="209"/>
      <c r="D70" s="209"/>
      <c r="E70" s="209"/>
      <c r="F70" s="209"/>
      <c r="G70" s="209"/>
      <c r="H70" s="209"/>
      <c r="I70" s="209"/>
      <c r="J70" s="209"/>
      <c r="K70" s="209"/>
      <c r="L70" s="209"/>
      <c r="M70" s="209"/>
      <c r="N70" s="209"/>
      <c r="O70" s="209"/>
      <c r="P70" s="209"/>
      <c r="U70" s="456">
        <v>45792</v>
      </c>
      <c r="V70" s="346">
        <v>6</v>
      </c>
      <c r="W70" s="346">
        <v>75</v>
      </c>
      <c r="X70" s="346">
        <v>150</v>
      </c>
    </row>
    <row r="71" spans="1:24" ht="15.75" thickBot="1">
      <c r="A71" s="2107" t="s">
        <v>416</v>
      </c>
      <c r="B71" s="2107"/>
      <c r="C71" s="2107"/>
      <c r="D71" s="2107"/>
      <c r="E71" s="2107"/>
      <c r="F71" s="2107"/>
      <c r="G71" s="2107"/>
      <c r="H71" s="2107"/>
      <c r="I71" s="2107"/>
      <c r="J71" s="2107"/>
      <c r="K71" s="2107"/>
      <c r="L71" s="2107"/>
      <c r="M71" s="2107"/>
      <c r="N71" s="2107"/>
      <c r="O71" s="2107"/>
      <c r="P71" s="2107"/>
      <c r="U71" s="456">
        <v>45875</v>
      </c>
      <c r="V71" s="346">
        <v>5</v>
      </c>
      <c r="W71" s="346">
        <v>50</v>
      </c>
      <c r="X71" s="346">
        <v>275</v>
      </c>
    </row>
    <row r="72" spans="1:24" ht="14.25">
      <c r="A72" s="182"/>
      <c r="B72" s="183">
        <v>9</v>
      </c>
      <c r="C72" s="184" t="s">
        <v>417</v>
      </c>
      <c r="D72" s="185"/>
      <c r="E72" s="185"/>
      <c r="F72" s="185"/>
      <c r="G72" s="186" t="s">
        <v>418</v>
      </c>
      <c r="H72" s="185"/>
      <c r="I72" s="185"/>
      <c r="J72" s="185"/>
      <c r="K72" s="185"/>
      <c r="L72" s="185"/>
      <c r="M72" s="185"/>
      <c r="N72" s="187">
        <v>3</v>
      </c>
      <c r="O72" s="187" t="s">
        <v>419</v>
      </c>
      <c r="P72" s="188"/>
      <c r="U72" s="456">
        <v>46497</v>
      </c>
      <c r="V72" s="346">
        <v>11</v>
      </c>
      <c r="W72" s="346">
        <v>75</v>
      </c>
      <c r="X72" s="346">
        <v>125</v>
      </c>
    </row>
    <row r="73" spans="1:24" ht="12.75">
      <c r="A73" s="189"/>
      <c r="B73" s="190"/>
      <c r="C73" s="191">
        <v>65</v>
      </c>
      <c r="D73" s="192">
        <v>75</v>
      </c>
      <c r="E73" s="192">
        <v>100</v>
      </c>
      <c r="F73" s="192">
        <v>125</v>
      </c>
      <c r="G73" s="192">
        <v>150</v>
      </c>
      <c r="H73" s="192">
        <v>175</v>
      </c>
      <c r="I73" s="192">
        <v>200</v>
      </c>
      <c r="J73" s="192">
        <v>225</v>
      </c>
      <c r="K73" s="192">
        <v>250</v>
      </c>
      <c r="L73" s="192">
        <v>275</v>
      </c>
      <c r="M73" s="192">
        <v>300</v>
      </c>
      <c r="N73" s="192">
        <v>350</v>
      </c>
      <c r="O73" s="192">
        <v>400</v>
      </c>
      <c r="P73" s="193">
        <v>500</v>
      </c>
      <c r="U73" s="456">
        <v>47125</v>
      </c>
      <c r="V73" s="346">
        <v>5</v>
      </c>
      <c r="W73" s="346">
        <v>100</v>
      </c>
      <c r="X73" s="346">
        <v>125</v>
      </c>
    </row>
    <row r="74" spans="1:24" ht="12.75">
      <c r="A74" s="194"/>
      <c r="B74" s="195">
        <v>65</v>
      </c>
      <c r="C74" s="196">
        <f>($B74*C$73*$B$72)-($N$72*$B$72^2*($B74+C$73))+(4*$N$72^2*$B$72^3/3)</f>
        <v>15183</v>
      </c>
      <c r="D74" s="196">
        <f aca="true" t="shared" si="7" ref="D74:P74">($B74*D$73*$B$72)-($N$72*$B$72^2*($B74+D$73))+(4*$N$72^2*$B$72^3/3)</f>
        <v>18603</v>
      </c>
      <c r="E74" s="196">
        <f t="shared" si="7"/>
        <v>27153</v>
      </c>
      <c r="F74" s="196">
        <f t="shared" si="7"/>
        <v>35703</v>
      </c>
      <c r="G74" s="196">
        <f t="shared" si="7"/>
        <v>44253</v>
      </c>
      <c r="H74" s="196">
        <f t="shared" si="7"/>
        <v>52803</v>
      </c>
      <c r="I74" s="196">
        <f t="shared" si="7"/>
        <v>61353</v>
      </c>
      <c r="J74" s="196">
        <f t="shared" si="7"/>
        <v>69903</v>
      </c>
      <c r="K74" s="196">
        <f t="shared" si="7"/>
        <v>78453</v>
      </c>
      <c r="L74" s="196">
        <f t="shared" si="7"/>
        <v>87003</v>
      </c>
      <c r="M74" s="196">
        <f t="shared" si="7"/>
        <v>95553</v>
      </c>
      <c r="N74" s="196">
        <f t="shared" si="7"/>
        <v>112653</v>
      </c>
      <c r="O74" s="196">
        <f t="shared" si="7"/>
        <v>129753</v>
      </c>
      <c r="P74" s="197">
        <f t="shared" si="7"/>
        <v>163953</v>
      </c>
      <c r="U74" s="456">
        <v>47516</v>
      </c>
      <c r="V74" s="346">
        <v>7</v>
      </c>
      <c r="W74" s="346">
        <v>50</v>
      </c>
      <c r="X74" s="346">
        <v>250</v>
      </c>
    </row>
    <row r="75" spans="1:24" ht="15.75">
      <c r="A75" s="194" t="s">
        <v>420</v>
      </c>
      <c r="B75" s="198">
        <v>75</v>
      </c>
      <c r="C75" s="196">
        <f aca="true" t="shared" si="8" ref="C75:P87">($B75*C$73*$B$72)-($N$72*$B$72^2*($B75+C$73))+(4*$N$72^2*$B$72^3/3)</f>
        <v>18603</v>
      </c>
      <c r="D75" s="196">
        <f t="shared" si="8"/>
        <v>22923</v>
      </c>
      <c r="E75" s="196">
        <f t="shared" si="8"/>
        <v>33723</v>
      </c>
      <c r="F75" s="196">
        <f t="shared" si="8"/>
        <v>44523</v>
      </c>
      <c r="G75" s="196">
        <f t="shared" si="8"/>
        <v>55323</v>
      </c>
      <c r="H75" s="196">
        <f t="shared" si="8"/>
        <v>66123</v>
      </c>
      <c r="I75" s="196">
        <f t="shared" si="8"/>
        <v>76923</v>
      </c>
      <c r="J75" s="196">
        <f t="shared" si="8"/>
        <v>87723</v>
      </c>
      <c r="K75" s="196">
        <f t="shared" si="8"/>
        <v>98523</v>
      </c>
      <c r="L75" s="196">
        <f t="shared" si="8"/>
        <v>109323</v>
      </c>
      <c r="M75" s="196">
        <f t="shared" si="8"/>
        <v>120123</v>
      </c>
      <c r="N75" s="196">
        <f t="shared" si="8"/>
        <v>141723</v>
      </c>
      <c r="O75" s="196">
        <f t="shared" si="8"/>
        <v>163323</v>
      </c>
      <c r="P75" s="197">
        <f t="shared" si="8"/>
        <v>206523</v>
      </c>
      <c r="U75" s="456">
        <v>47744</v>
      </c>
      <c r="V75" s="346">
        <v>8</v>
      </c>
      <c r="W75" s="346">
        <v>100</v>
      </c>
      <c r="X75" s="346">
        <v>100</v>
      </c>
    </row>
    <row r="76" spans="1:24" ht="13.5">
      <c r="A76" s="194" t="s">
        <v>421</v>
      </c>
      <c r="B76" s="198">
        <v>100</v>
      </c>
      <c r="C76" s="196">
        <f t="shared" si="8"/>
        <v>27153</v>
      </c>
      <c r="D76" s="196">
        <f t="shared" si="8"/>
        <v>33723</v>
      </c>
      <c r="E76" s="196">
        <f t="shared" si="8"/>
        <v>50148</v>
      </c>
      <c r="F76" s="196">
        <f t="shared" si="8"/>
        <v>66573</v>
      </c>
      <c r="G76" s="196">
        <f t="shared" si="8"/>
        <v>82998</v>
      </c>
      <c r="H76" s="196">
        <f t="shared" si="8"/>
        <v>99423</v>
      </c>
      <c r="I76" s="196">
        <f t="shared" si="8"/>
        <v>115848</v>
      </c>
      <c r="J76" s="196">
        <f t="shared" si="8"/>
        <v>132273</v>
      </c>
      <c r="K76" s="196">
        <f t="shared" si="8"/>
        <v>148698</v>
      </c>
      <c r="L76" s="196">
        <f t="shared" si="8"/>
        <v>165123</v>
      </c>
      <c r="M76" s="196">
        <f t="shared" si="8"/>
        <v>181548</v>
      </c>
      <c r="N76" s="196">
        <f t="shared" si="8"/>
        <v>214398</v>
      </c>
      <c r="O76" s="196">
        <f t="shared" si="8"/>
        <v>247248</v>
      </c>
      <c r="P76" s="197">
        <f t="shared" si="8"/>
        <v>312948</v>
      </c>
      <c r="U76" s="456">
        <v>48375</v>
      </c>
      <c r="V76" s="346">
        <v>5</v>
      </c>
      <c r="W76" s="346">
        <v>75</v>
      </c>
      <c r="X76" s="346">
        <v>175</v>
      </c>
    </row>
    <row r="77" spans="1:24" ht="12.75">
      <c r="A77" s="194" t="s">
        <v>422</v>
      </c>
      <c r="B77" s="198">
        <v>125</v>
      </c>
      <c r="C77" s="196">
        <f t="shared" si="8"/>
        <v>35703</v>
      </c>
      <c r="D77" s="196">
        <f t="shared" si="8"/>
        <v>44523</v>
      </c>
      <c r="E77" s="196">
        <f t="shared" si="8"/>
        <v>66573</v>
      </c>
      <c r="F77" s="196">
        <f t="shared" si="8"/>
        <v>88623</v>
      </c>
      <c r="G77" s="196">
        <f t="shared" si="8"/>
        <v>110673</v>
      </c>
      <c r="H77" s="196">
        <f t="shared" si="8"/>
        <v>132723</v>
      </c>
      <c r="I77" s="196">
        <f t="shared" si="8"/>
        <v>154773</v>
      </c>
      <c r="J77" s="196">
        <f t="shared" si="8"/>
        <v>176823</v>
      </c>
      <c r="K77" s="196">
        <f t="shared" si="8"/>
        <v>198873</v>
      </c>
      <c r="L77" s="196">
        <f t="shared" si="8"/>
        <v>220923</v>
      </c>
      <c r="M77" s="196">
        <f t="shared" si="8"/>
        <v>242973</v>
      </c>
      <c r="N77" s="196">
        <f t="shared" si="8"/>
        <v>287073</v>
      </c>
      <c r="O77" s="196">
        <f t="shared" si="8"/>
        <v>331173</v>
      </c>
      <c r="P77" s="197">
        <f t="shared" si="8"/>
        <v>419373</v>
      </c>
      <c r="U77" s="456">
        <v>49791</v>
      </c>
      <c r="V77" s="346">
        <v>7</v>
      </c>
      <c r="W77" s="346">
        <v>75</v>
      </c>
      <c r="X77" s="346">
        <v>150</v>
      </c>
    </row>
    <row r="78" spans="1:24" ht="14.25">
      <c r="A78" s="194" t="s">
        <v>423</v>
      </c>
      <c r="B78" s="198">
        <v>150</v>
      </c>
      <c r="C78" s="196">
        <f t="shared" si="8"/>
        <v>44253</v>
      </c>
      <c r="D78" s="196">
        <f t="shared" si="8"/>
        <v>55323</v>
      </c>
      <c r="E78" s="196">
        <f t="shared" si="8"/>
        <v>82998</v>
      </c>
      <c r="F78" s="196">
        <f t="shared" si="8"/>
        <v>110673</v>
      </c>
      <c r="G78" s="196">
        <f t="shared" si="8"/>
        <v>138348</v>
      </c>
      <c r="H78" s="196">
        <f t="shared" si="8"/>
        <v>166023</v>
      </c>
      <c r="I78" s="196">
        <f t="shared" si="8"/>
        <v>193698</v>
      </c>
      <c r="J78" s="196">
        <f t="shared" si="8"/>
        <v>221373</v>
      </c>
      <c r="K78" s="196">
        <f t="shared" si="8"/>
        <v>249048</v>
      </c>
      <c r="L78" s="196">
        <f t="shared" si="8"/>
        <v>276723</v>
      </c>
      <c r="M78" s="196">
        <f t="shared" si="8"/>
        <v>304398</v>
      </c>
      <c r="N78" s="196">
        <f t="shared" si="8"/>
        <v>359748</v>
      </c>
      <c r="O78" s="196">
        <f t="shared" si="8"/>
        <v>415098</v>
      </c>
      <c r="P78" s="197">
        <f t="shared" si="8"/>
        <v>525798</v>
      </c>
      <c r="U78" s="456">
        <v>49992</v>
      </c>
      <c r="V78" s="346">
        <v>6</v>
      </c>
      <c r="W78" s="346">
        <v>50</v>
      </c>
      <c r="X78" s="346">
        <v>275</v>
      </c>
    </row>
    <row r="79" spans="1:24" ht="13.5">
      <c r="A79" s="194" t="s">
        <v>424</v>
      </c>
      <c r="B79" s="198">
        <v>175</v>
      </c>
      <c r="C79" s="196">
        <f t="shared" si="8"/>
        <v>52803</v>
      </c>
      <c r="D79" s="196">
        <f t="shared" si="8"/>
        <v>66123</v>
      </c>
      <c r="E79" s="196">
        <f t="shared" si="8"/>
        <v>99423</v>
      </c>
      <c r="F79" s="196">
        <f t="shared" si="8"/>
        <v>132723</v>
      </c>
      <c r="G79" s="196">
        <f t="shared" si="8"/>
        <v>166023</v>
      </c>
      <c r="H79" s="196">
        <f t="shared" si="8"/>
        <v>199323</v>
      </c>
      <c r="I79" s="196">
        <f t="shared" si="8"/>
        <v>232623</v>
      </c>
      <c r="J79" s="196">
        <f t="shared" si="8"/>
        <v>265923</v>
      </c>
      <c r="K79" s="196">
        <f t="shared" si="8"/>
        <v>299223</v>
      </c>
      <c r="L79" s="196">
        <f t="shared" si="8"/>
        <v>332523</v>
      </c>
      <c r="M79" s="196">
        <f t="shared" si="8"/>
        <v>365823</v>
      </c>
      <c r="N79" s="196">
        <f t="shared" si="8"/>
        <v>432423</v>
      </c>
      <c r="O79" s="196">
        <f t="shared" si="8"/>
        <v>499023</v>
      </c>
      <c r="P79" s="197">
        <f t="shared" si="8"/>
        <v>632223</v>
      </c>
      <c r="U79" s="456">
        <v>50148</v>
      </c>
      <c r="V79" s="346">
        <v>9</v>
      </c>
      <c r="W79" s="346">
        <v>100</v>
      </c>
      <c r="X79" s="346">
        <v>100</v>
      </c>
    </row>
    <row r="80" spans="1:24" ht="14.25">
      <c r="A80" s="194" t="s">
        <v>425</v>
      </c>
      <c r="B80" s="198">
        <v>200</v>
      </c>
      <c r="C80" s="196">
        <f t="shared" si="8"/>
        <v>61353</v>
      </c>
      <c r="D80" s="196">
        <f t="shared" si="8"/>
        <v>76923</v>
      </c>
      <c r="E80" s="196">
        <f t="shared" si="8"/>
        <v>115848</v>
      </c>
      <c r="F80" s="196">
        <f t="shared" si="8"/>
        <v>154773</v>
      </c>
      <c r="G80" s="196">
        <f t="shared" si="8"/>
        <v>193698</v>
      </c>
      <c r="H80" s="196">
        <f t="shared" si="8"/>
        <v>232623</v>
      </c>
      <c r="I80" s="196">
        <f t="shared" si="8"/>
        <v>271548</v>
      </c>
      <c r="J80" s="196">
        <f t="shared" si="8"/>
        <v>310473</v>
      </c>
      <c r="K80" s="196">
        <f t="shared" si="8"/>
        <v>349398</v>
      </c>
      <c r="L80" s="196">
        <f t="shared" si="8"/>
        <v>388323</v>
      </c>
      <c r="M80" s="196">
        <f t="shared" si="8"/>
        <v>427248</v>
      </c>
      <c r="N80" s="196">
        <f t="shared" si="8"/>
        <v>505098</v>
      </c>
      <c r="O80" s="196">
        <f t="shared" si="8"/>
        <v>582948</v>
      </c>
      <c r="P80" s="197">
        <f t="shared" si="8"/>
        <v>738648</v>
      </c>
      <c r="U80" s="456">
        <v>50250</v>
      </c>
      <c r="V80" s="346">
        <v>5</v>
      </c>
      <c r="W80" s="346">
        <v>50</v>
      </c>
      <c r="X80" s="346">
        <v>300</v>
      </c>
    </row>
    <row r="81" spans="1:24" ht="12.75">
      <c r="A81" s="194" t="s">
        <v>426</v>
      </c>
      <c r="B81" s="198">
        <v>225</v>
      </c>
      <c r="C81" s="196">
        <f t="shared" si="8"/>
        <v>69903</v>
      </c>
      <c r="D81" s="196">
        <f t="shared" si="8"/>
        <v>87723</v>
      </c>
      <c r="E81" s="196">
        <f t="shared" si="8"/>
        <v>132273</v>
      </c>
      <c r="F81" s="196">
        <f t="shared" si="8"/>
        <v>176823</v>
      </c>
      <c r="G81" s="196">
        <f t="shared" si="8"/>
        <v>221373</v>
      </c>
      <c r="H81" s="196">
        <f t="shared" si="8"/>
        <v>265923</v>
      </c>
      <c r="I81" s="196">
        <f t="shared" si="8"/>
        <v>310473</v>
      </c>
      <c r="J81" s="196">
        <f t="shared" si="8"/>
        <v>355023</v>
      </c>
      <c r="K81" s="196">
        <f t="shared" si="8"/>
        <v>399573</v>
      </c>
      <c r="L81" s="196">
        <f t="shared" si="8"/>
        <v>444123</v>
      </c>
      <c r="M81" s="196">
        <f t="shared" si="8"/>
        <v>488673</v>
      </c>
      <c r="N81" s="196">
        <f t="shared" si="8"/>
        <v>577773</v>
      </c>
      <c r="O81" s="196">
        <f t="shared" si="8"/>
        <v>666873</v>
      </c>
      <c r="P81" s="197">
        <f t="shared" si="8"/>
        <v>845073</v>
      </c>
      <c r="U81" s="456">
        <v>51000</v>
      </c>
      <c r="V81" s="346">
        <v>10</v>
      </c>
      <c r="W81" s="346">
        <v>70</v>
      </c>
      <c r="X81" s="346">
        <v>150</v>
      </c>
    </row>
    <row r="82" spans="1:24" ht="16.5">
      <c r="A82" s="199" t="s">
        <v>427</v>
      </c>
      <c r="B82" s="198">
        <v>250</v>
      </c>
      <c r="C82" s="196">
        <f t="shared" si="8"/>
        <v>78453</v>
      </c>
      <c r="D82" s="196">
        <f t="shared" si="8"/>
        <v>98523</v>
      </c>
      <c r="E82" s="196">
        <f t="shared" si="8"/>
        <v>148698</v>
      </c>
      <c r="F82" s="196">
        <f t="shared" si="8"/>
        <v>198873</v>
      </c>
      <c r="G82" s="196">
        <f t="shared" si="8"/>
        <v>249048</v>
      </c>
      <c r="H82" s="196">
        <f t="shared" si="8"/>
        <v>299223</v>
      </c>
      <c r="I82" s="196">
        <f t="shared" si="8"/>
        <v>349398</v>
      </c>
      <c r="J82" s="196">
        <f t="shared" si="8"/>
        <v>399573</v>
      </c>
      <c r="K82" s="196">
        <f t="shared" si="8"/>
        <v>449748</v>
      </c>
      <c r="L82" s="196">
        <f t="shared" si="8"/>
        <v>499923</v>
      </c>
      <c r="M82" s="196">
        <f t="shared" si="8"/>
        <v>550098</v>
      </c>
      <c r="N82" s="196">
        <f t="shared" si="8"/>
        <v>650448</v>
      </c>
      <c r="O82" s="196">
        <f t="shared" si="8"/>
        <v>750798</v>
      </c>
      <c r="P82" s="197">
        <f t="shared" si="8"/>
        <v>951498</v>
      </c>
      <c r="U82" s="456">
        <v>52000</v>
      </c>
      <c r="V82" s="346">
        <v>10</v>
      </c>
      <c r="W82" s="346">
        <v>100</v>
      </c>
      <c r="X82" s="346">
        <v>100</v>
      </c>
    </row>
    <row r="83" spans="1:24" ht="12.75">
      <c r="A83" s="200"/>
      <c r="B83" s="198">
        <v>275</v>
      </c>
      <c r="C83" s="196">
        <f t="shared" si="8"/>
        <v>87003</v>
      </c>
      <c r="D83" s="196">
        <f t="shared" si="8"/>
        <v>109323</v>
      </c>
      <c r="E83" s="196">
        <f t="shared" si="8"/>
        <v>165123</v>
      </c>
      <c r="F83" s="196">
        <f t="shared" si="8"/>
        <v>220923</v>
      </c>
      <c r="G83" s="196">
        <f t="shared" si="8"/>
        <v>276723</v>
      </c>
      <c r="H83" s="196">
        <f t="shared" si="8"/>
        <v>332523</v>
      </c>
      <c r="I83" s="196">
        <f t="shared" si="8"/>
        <v>388323</v>
      </c>
      <c r="J83" s="196">
        <f t="shared" si="8"/>
        <v>444123</v>
      </c>
      <c r="K83" s="196">
        <f t="shared" si="8"/>
        <v>499923</v>
      </c>
      <c r="L83" s="196">
        <f t="shared" si="8"/>
        <v>555723</v>
      </c>
      <c r="M83" s="196">
        <f t="shared" si="8"/>
        <v>611523</v>
      </c>
      <c r="N83" s="196">
        <f t="shared" si="8"/>
        <v>723123</v>
      </c>
      <c r="O83" s="196">
        <f t="shared" si="8"/>
        <v>834723</v>
      </c>
      <c r="P83" s="197">
        <f t="shared" si="8"/>
        <v>1057923</v>
      </c>
      <c r="U83" s="456">
        <v>52224</v>
      </c>
      <c r="V83" s="346">
        <v>8</v>
      </c>
      <c r="W83" s="346">
        <v>60</v>
      </c>
      <c r="X83" s="346">
        <v>200</v>
      </c>
    </row>
    <row r="84" spans="1:24" ht="13.5">
      <c r="A84" s="199" t="s">
        <v>428</v>
      </c>
      <c r="B84" s="198">
        <v>300</v>
      </c>
      <c r="C84" s="196">
        <f t="shared" si="8"/>
        <v>95553</v>
      </c>
      <c r="D84" s="196">
        <f t="shared" si="8"/>
        <v>120123</v>
      </c>
      <c r="E84" s="196">
        <f t="shared" si="8"/>
        <v>181548</v>
      </c>
      <c r="F84" s="196">
        <f t="shared" si="8"/>
        <v>242973</v>
      </c>
      <c r="G84" s="196">
        <f t="shared" si="8"/>
        <v>304398</v>
      </c>
      <c r="H84" s="196">
        <f t="shared" si="8"/>
        <v>365823</v>
      </c>
      <c r="I84" s="196">
        <f t="shared" si="8"/>
        <v>427248</v>
      </c>
      <c r="J84" s="196">
        <f t="shared" si="8"/>
        <v>488673</v>
      </c>
      <c r="K84" s="196">
        <f t="shared" si="8"/>
        <v>550098</v>
      </c>
      <c r="L84" s="196">
        <f t="shared" si="8"/>
        <v>611523</v>
      </c>
      <c r="M84" s="196">
        <f t="shared" si="8"/>
        <v>672948</v>
      </c>
      <c r="N84" s="196">
        <f t="shared" si="8"/>
        <v>795798</v>
      </c>
      <c r="O84" s="196">
        <f t="shared" si="8"/>
        <v>918648</v>
      </c>
      <c r="P84" s="197">
        <f t="shared" si="8"/>
        <v>1164348</v>
      </c>
      <c r="U84" s="456">
        <v>52591</v>
      </c>
      <c r="V84" s="346">
        <v>7</v>
      </c>
      <c r="W84" s="346">
        <v>50</v>
      </c>
      <c r="X84" s="346">
        <v>275</v>
      </c>
    </row>
    <row r="85" spans="1:24" ht="15">
      <c r="A85" s="199" t="s">
        <v>429</v>
      </c>
      <c r="B85" s="198">
        <v>350</v>
      </c>
      <c r="C85" s="196">
        <f t="shared" si="8"/>
        <v>112653</v>
      </c>
      <c r="D85" s="196">
        <f t="shared" si="8"/>
        <v>141723</v>
      </c>
      <c r="E85" s="196">
        <f t="shared" si="8"/>
        <v>214398</v>
      </c>
      <c r="F85" s="196">
        <f t="shared" si="8"/>
        <v>287073</v>
      </c>
      <c r="G85" s="196">
        <f t="shared" si="8"/>
        <v>359748</v>
      </c>
      <c r="H85" s="196">
        <f t="shared" si="8"/>
        <v>432423</v>
      </c>
      <c r="I85" s="196">
        <f t="shared" si="8"/>
        <v>505098</v>
      </c>
      <c r="J85" s="196">
        <f t="shared" si="8"/>
        <v>577773</v>
      </c>
      <c r="K85" s="196">
        <f t="shared" si="8"/>
        <v>650448</v>
      </c>
      <c r="L85" s="196">
        <f t="shared" si="8"/>
        <v>723123</v>
      </c>
      <c r="M85" s="196">
        <f t="shared" si="8"/>
        <v>795798</v>
      </c>
      <c r="N85" s="196">
        <f t="shared" si="8"/>
        <v>941148</v>
      </c>
      <c r="O85" s="196">
        <f t="shared" si="8"/>
        <v>1086498</v>
      </c>
      <c r="P85" s="197">
        <f t="shared" si="8"/>
        <v>1377198</v>
      </c>
      <c r="U85" s="456">
        <v>52803</v>
      </c>
      <c r="V85" s="346">
        <v>9</v>
      </c>
      <c r="W85" s="346">
        <v>65</v>
      </c>
      <c r="X85" s="346">
        <v>175</v>
      </c>
    </row>
    <row r="86" spans="1:24" ht="13.5">
      <c r="A86" s="199" t="s">
        <v>424</v>
      </c>
      <c r="B86" s="198">
        <v>400</v>
      </c>
      <c r="C86" s="196">
        <f t="shared" si="8"/>
        <v>129753</v>
      </c>
      <c r="D86" s="196">
        <f t="shared" si="8"/>
        <v>163323</v>
      </c>
      <c r="E86" s="196">
        <f t="shared" si="8"/>
        <v>247248</v>
      </c>
      <c r="F86" s="196">
        <f t="shared" si="8"/>
        <v>331173</v>
      </c>
      <c r="G86" s="196">
        <f t="shared" si="8"/>
        <v>415098</v>
      </c>
      <c r="H86" s="196">
        <f t="shared" si="8"/>
        <v>499023</v>
      </c>
      <c r="I86" s="196">
        <f t="shared" si="8"/>
        <v>582948</v>
      </c>
      <c r="J86" s="196">
        <f t="shared" si="8"/>
        <v>666873</v>
      </c>
      <c r="K86" s="196">
        <f t="shared" si="8"/>
        <v>750798</v>
      </c>
      <c r="L86" s="196">
        <f t="shared" si="8"/>
        <v>834723</v>
      </c>
      <c r="M86" s="196">
        <f t="shared" si="8"/>
        <v>918648</v>
      </c>
      <c r="N86" s="196">
        <f t="shared" si="8"/>
        <v>1086498</v>
      </c>
      <c r="O86" s="196">
        <f t="shared" si="8"/>
        <v>1254348</v>
      </c>
      <c r="P86" s="197">
        <f t="shared" si="8"/>
        <v>1590048</v>
      </c>
      <c r="U86" s="456">
        <v>52944</v>
      </c>
      <c r="V86" s="346">
        <v>8</v>
      </c>
      <c r="W86" s="346">
        <v>75</v>
      </c>
      <c r="X86" s="346">
        <v>150</v>
      </c>
    </row>
    <row r="87" spans="1:24" ht="13.5" thickBot="1">
      <c r="A87" s="201"/>
      <c r="B87" s="202">
        <v>500</v>
      </c>
      <c r="C87" s="203">
        <f>($B87*C$73*$B$72)-($N$72*$B$72^2*($B87+C$73))+(4*$N$72^2*$B$72^3/3)</f>
        <v>163953</v>
      </c>
      <c r="D87" s="203">
        <f t="shared" si="8"/>
        <v>206523</v>
      </c>
      <c r="E87" s="203">
        <f t="shared" si="8"/>
        <v>312948</v>
      </c>
      <c r="F87" s="203">
        <f t="shared" si="8"/>
        <v>419373</v>
      </c>
      <c r="G87" s="203">
        <f t="shared" si="8"/>
        <v>525798</v>
      </c>
      <c r="H87" s="203">
        <f t="shared" si="8"/>
        <v>632223</v>
      </c>
      <c r="I87" s="203">
        <f t="shared" si="8"/>
        <v>738648</v>
      </c>
      <c r="J87" s="203">
        <f t="shared" si="8"/>
        <v>845073</v>
      </c>
      <c r="K87" s="203">
        <f t="shared" si="8"/>
        <v>951498</v>
      </c>
      <c r="L87" s="203">
        <f t="shared" si="8"/>
        <v>1057923</v>
      </c>
      <c r="M87" s="203">
        <f t="shared" si="8"/>
        <v>1164348</v>
      </c>
      <c r="N87" s="203">
        <f t="shared" si="8"/>
        <v>1377198</v>
      </c>
      <c r="O87" s="203">
        <f t="shared" si="8"/>
        <v>1590048</v>
      </c>
      <c r="P87" s="204">
        <f t="shared" si="8"/>
        <v>2015748</v>
      </c>
      <c r="U87" s="456">
        <v>53292</v>
      </c>
      <c r="V87" s="346">
        <v>6</v>
      </c>
      <c r="W87" s="346">
        <v>100</v>
      </c>
      <c r="X87" s="346">
        <v>125</v>
      </c>
    </row>
    <row r="88" spans="1:24" ht="13.5" thickBot="1">
      <c r="A88" s="46"/>
      <c r="B88" s="205"/>
      <c r="C88" s="46"/>
      <c r="D88" s="46"/>
      <c r="E88" s="46"/>
      <c r="F88" s="46"/>
      <c r="G88" s="46"/>
      <c r="H88" s="46"/>
      <c r="I88" s="46"/>
      <c r="J88" s="46"/>
      <c r="K88" s="46"/>
      <c r="L88" s="46"/>
      <c r="M88" s="46"/>
      <c r="N88" s="46"/>
      <c r="O88" s="46"/>
      <c r="P88" s="46"/>
      <c r="U88" s="456">
        <v>53372</v>
      </c>
      <c r="V88" s="346">
        <v>11</v>
      </c>
      <c r="W88" s="346">
        <v>100</v>
      </c>
      <c r="X88" s="346">
        <v>100</v>
      </c>
    </row>
    <row r="89" spans="1:24" ht="14.25">
      <c r="A89" s="182"/>
      <c r="B89" s="183">
        <v>10</v>
      </c>
      <c r="C89" s="184" t="s">
        <v>417</v>
      </c>
      <c r="D89" s="185"/>
      <c r="E89" s="185"/>
      <c r="F89" s="185"/>
      <c r="G89" s="186" t="s">
        <v>418</v>
      </c>
      <c r="H89" s="185"/>
      <c r="I89" s="185"/>
      <c r="J89" s="185"/>
      <c r="K89" s="185"/>
      <c r="L89" s="185"/>
      <c r="M89" s="185"/>
      <c r="N89" s="187">
        <v>3</v>
      </c>
      <c r="O89" s="187" t="s">
        <v>419</v>
      </c>
      <c r="P89" s="188"/>
      <c r="U89" s="456">
        <v>54336</v>
      </c>
      <c r="V89" s="346">
        <v>12</v>
      </c>
      <c r="W89" s="346">
        <v>100</v>
      </c>
      <c r="X89" s="346">
        <v>100</v>
      </c>
    </row>
    <row r="90" spans="1:24" ht="12.75">
      <c r="A90" s="189"/>
      <c r="B90" s="190"/>
      <c r="C90" s="191">
        <v>70</v>
      </c>
      <c r="D90" s="192">
        <v>75</v>
      </c>
      <c r="E90" s="192">
        <v>100</v>
      </c>
      <c r="F90" s="192">
        <v>125</v>
      </c>
      <c r="G90" s="192">
        <v>150</v>
      </c>
      <c r="H90" s="192">
        <v>175</v>
      </c>
      <c r="I90" s="192">
        <v>200</v>
      </c>
      <c r="J90" s="192">
        <v>225</v>
      </c>
      <c r="K90" s="192">
        <v>250</v>
      </c>
      <c r="L90" s="192">
        <v>275</v>
      </c>
      <c r="M90" s="192">
        <v>300</v>
      </c>
      <c r="N90" s="192">
        <v>350</v>
      </c>
      <c r="O90" s="192">
        <v>400</v>
      </c>
      <c r="P90" s="193">
        <v>500</v>
      </c>
      <c r="U90" s="456">
        <v>54342</v>
      </c>
      <c r="V90" s="346">
        <v>6</v>
      </c>
      <c r="W90" s="346">
        <v>75</v>
      </c>
      <c r="X90" s="346">
        <v>175</v>
      </c>
    </row>
    <row r="91" spans="1:24" ht="12.75">
      <c r="A91" s="194"/>
      <c r="B91" s="195">
        <v>70</v>
      </c>
      <c r="C91" s="196">
        <f>($B91*C$90*$B$89)-($N$89*$B$89^2*($B91+C$90))+(4*$N$89^2*$B$89^3/3)</f>
        <v>19000</v>
      </c>
      <c r="D91" s="196">
        <f aca="true" t="shared" si="9" ref="D91:P91">($B91*D$90*$B$89)-($N$89*$B$89^2*($B91+D$90))+(4*$N$89^2*$B$89^3/3)</f>
        <v>21000</v>
      </c>
      <c r="E91" s="196">
        <f t="shared" si="9"/>
        <v>31000</v>
      </c>
      <c r="F91" s="196">
        <f t="shared" si="9"/>
        <v>41000</v>
      </c>
      <c r="G91" s="196">
        <f t="shared" si="9"/>
        <v>51000</v>
      </c>
      <c r="H91" s="196">
        <f t="shared" si="9"/>
        <v>61000</v>
      </c>
      <c r="I91" s="196">
        <f t="shared" si="9"/>
        <v>71000</v>
      </c>
      <c r="J91" s="196">
        <f t="shared" si="9"/>
        <v>81000</v>
      </c>
      <c r="K91" s="196">
        <f t="shared" si="9"/>
        <v>91000</v>
      </c>
      <c r="L91" s="196">
        <f t="shared" si="9"/>
        <v>101000</v>
      </c>
      <c r="M91" s="196">
        <f t="shared" si="9"/>
        <v>111000</v>
      </c>
      <c r="N91" s="196">
        <f t="shared" si="9"/>
        <v>131000</v>
      </c>
      <c r="O91" s="196">
        <f t="shared" si="9"/>
        <v>151000</v>
      </c>
      <c r="P91" s="197">
        <f t="shared" si="9"/>
        <v>191000</v>
      </c>
      <c r="U91" s="456">
        <v>54792</v>
      </c>
      <c r="V91" s="346">
        <v>6</v>
      </c>
      <c r="W91" s="346">
        <v>50</v>
      </c>
      <c r="X91" s="346">
        <v>300</v>
      </c>
    </row>
    <row r="92" spans="1:24" ht="15.75">
      <c r="A92" s="194" t="s">
        <v>420</v>
      </c>
      <c r="B92" s="198">
        <v>75</v>
      </c>
      <c r="C92" s="196">
        <f aca="true" t="shared" si="10" ref="C92:P104">($B92*C$90*$B$89)-($N$89*$B$89^2*($B92+C$90))+(4*$N$89^2*$B$89^3/3)</f>
        <v>21000</v>
      </c>
      <c r="D92" s="196">
        <f t="shared" si="10"/>
        <v>23250</v>
      </c>
      <c r="E92" s="196">
        <f t="shared" si="10"/>
        <v>34500</v>
      </c>
      <c r="F92" s="196">
        <f t="shared" si="10"/>
        <v>45750</v>
      </c>
      <c r="G92" s="196">
        <f t="shared" si="10"/>
        <v>57000</v>
      </c>
      <c r="H92" s="196">
        <f t="shared" si="10"/>
        <v>68250</v>
      </c>
      <c r="I92" s="196">
        <f t="shared" si="10"/>
        <v>79500</v>
      </c>
      <c r="J92" s="196">
        <f t="shared" si="10"/>
        <v>90750</v>
      </c>
      <c r="K92" s="196">
        <f t="shared" si="10"/>
        <v>102000</v>
      </c>
      <c r="L92" s="196">
        <f t="shared" si="10"/>
        <v>113250</v>
      </c>
      <c r="M92" s="196">
        <f t="shared" si="10"/>
        <v>124500</v>
      </c>
      <c r="N92" s="196">
        <f t="shared" si="10"/>
        <v>147000</v>
      </c>
      <c r="O92" s="196">
        <f t="shared" si="10"/>
        <v>169500</v>
      </c>
      <c r="P92" s="197">
        <f t="shared" si="10"/>
        <v>214500</v>
      </c>
      <c r="U92" s="456">
        <v>55323</v>
      </c>
      <c r="V92" s="346">
        <v>9</v>
      </c>
      <c r="W92" s="346">
        <v>75</v>
      </c>
      <c r="X92" s="346">
        <v>150</v>
      </c>
    </row>
    <row r="93" spans="1:24" ht="13.5">
      <c r="A93" s="194" t="s">
        <v>421</v>
      </c>
      <c r="B93" s="198">
        <v>100</v>
      </c>
      <c r="C93" s="196">
        <f t="shared" si="10"/>
        <v>31000</v>
      </c>
      <c r="D93" s="196">
        <f t="shared" si="10"/>
        <v>34500</v>
      </c>
      <c r="E93" s="196">
        <f t="shared" si="10"/>
        <v>52000</v>
      </c>
      <c r="F93" s="196">
        <f t="shared" si="10"/>
        <v>69500</v>
      </c>
      <c r="G93" s="196">
        <f t="shared" si="10"/>
        <v>87000</v>
      </c>
      <c r="H93" s="196">
        <f t="shared" si="10"/>
        <v>104500</v>
      </c>
      <c r="I93" s="196">
        <f t="shared" si="10"/>
        <v>122000</v>
      </c>
      <c r="J93" s="196">
        <f t="shared" si="10"/>
        <v>139500</v>
      </c>
      <c r="K93" s="196">
        <f t="shared" si="10"/>
        <v>157000</v>
      </c>
      <c r="L93" s="196">
        <f t="shared" si="10"/>
        <v>174500</v>
      </c>
      <c r="M93" s="196">
        <f t="shared" si="10"/>
        <v>192000</v>
      </c>
      <c r="N93" s="196">
        <f t="shared" si="10"/>
        <v>227000</v>
      </c>
      <c r="O93" s="196">
        <f t="shared" si="10"/>
        <v>262000</v>
      </c>
      <c r="P93" s="197">
        <f t="shared" si="10"/>
        <v>332000</v>
      </c>
      <c r="U93" s="456">
        <v>55875</v>
      </c>
      <c r="V93" s="346">
        <v>5</v>
      </c>
      <c r="W93" s="346">
        <v>75</v>
      </c>
      <c r="X93" s="346">
        <v>200</v>
      </c>
    </row>
    <row r="94" spans="1:24" ht="12.75">
      <c r="A94" s="194" t="s">
        <v>422</v>
      </c>
      <c r="B94" s="198">
        <v>125</v>
      </c>
      <c r="C94" s="196">
        <f t="shared" si="10"/>
        <v>41000</v>
      </c>
      <c r="D94" s="196">
        <f t="shared" si="10"/>
        <v>45750</v>
      </c>
      <c r="E94" s="196">
        <f t="shared" si="10"/>
        <v>69500</v>
      </c>
      <c r="F94" s="196">
        <f t="shared" si="10"/>
        <v>93250</v>
      </c>
      <c r="G94" s="196">
        <f t="shared" si="10"/>
        <v>117000</v>
      </c>
      <c r="H94" s="196">
        <f t="shared" si="10"/>
        <v>140750</v>
      </c>
      <c r="I94" s="196">
        <f t="shared" si="10"/>
        <v>164500</v>
      </c>
      <c r="J94" s="196">
        <f t="shared" si="10"/>
        <v>188250</v>
      </c>
      <c r="K94" s="196">
        <f t="shared" si="10"/>
        <v>212000</v>
      </c>
      <c r="L94" s="196">
        <f t="shared" si="10"/>
        <v>235750</v>
      </c>
      <c r="M94" s="196">
        <f t="shared" si="10"/>
        <v>259500</v>
      </c>
      <c r="N94" s="196">
        <f t="shared" si="10"/>
        <v>307000</v>
      </c>
      <c r="O94" s="196">
        <f t="shared" si="10"/>
        <v>354500</v>
      </c>
      <c r="P94" s="197">
        <f t="shared" si="10"/>
        <v>449500</v>
      </c>
      <c r="U94" s="456">
        <v>57000</v>
      </c>
      <c r="V94" s="346">
        <v>10</v>
      </c>
      <c r="W94" s="346">
        <v>75</v>
      </c>
      <c r="X94" s="346">
        <v>150</v>
      </c>
    </row>
    <row r="95" spans="1:24" ht="14.25">
      <c r="A95" s="194" t="s">
        <v>423</v>
      </c>
      <c r="B95" s="198">
        <v>150</v>
      </c>
      <c r="C95" s="196">
        <f t="shared" si="10"/>
        <v>51000</v>
      </c>
      <c r="D95" s="196">
        <f t="shared" si="10"/>
        <v>57000</v>
      </c>
      <c r="E95" s="196">
        <f t="shared" si="10"/>
        <v>87000</v>
      </c>
      <c r="F95" s="196">
        <f t="shared" si="10"/>
        <v>117000</v>
      </c>
      <c r="G95" s="196">
        <f t="shared" si="10"/>
        <v>147000</v>
      </c>
      <c r="H95" s="196">
        <f t="shared" si="10"/>
        <v>177000</v>
      </c>
      <c r="I95" s="196">
        <f t="shared" si="10"/>
        <v>207000</v>
      </c>
      <c r="J95" s="196">
        <f t="shared" si="10"/>
        <v>237000</v>
      </c>
      <c r="K95" s="196">
        <f t="shared" si="10"/>
        <v>267000</v>
      </c>
      <c r="L95" s="196">
        <f t="shared" si="10"/>
        <v>297000</v>
      </c>
      <c r="M95" s="196">
        <f t="shared" si="10"/>
        <v>327000</v>
      </c>
      <c r="N95" s="196">
        <f t="shared" si="10"/>
        <v>387000</v>
      </c>
      <c r="O95" s="196">
        <f t="shared" si="10"/>
        <v>447000</v>
      </c>
      <c r="P95" s="197">
        <f t="shared" si="10"/>
        <v>567000</v>
      </c>
      <c r="U95" s="456">
        <v>57516</v>
      </c>
      <c r="V95" s="346">
        <v>12</v>
      </c>
      <c r="W95" s="346">
        <v>85</v>
      </c>
      <c r="X95" s="346">
        <v>125</v>
      </c>
    </row>
    <row r="96" spans="1:24" ht="13.5">
      <c r="A96" s="194" t="s">
        <v>424</v>
      </c>
      <c r="B96" s="198">
        <v>175</v>
      </c>
      <c r="C96" s="196">
        <f t="shared" si="10"/>
        <v>61000</v>
      </c>
      <c r="D96" s="196">
        <f t="shared" si="10"/>
        <v>68250</v>
      </c>
      <c r="E96" s="196">
        <f t="shared" si="10"/>
        <v>104500</v>
      </c>
      <c r="F96" s="196">
        <f t="shared" si="10"/>
        <v>140750</v>
      </c>
      <c r="G96" s="196">
        <f t="shared" si="10"/>
        <v>177000</v>
      </c>
      <c r="H96" s="196">
        <f t="shared" si="10"/>
        <v>213250</v>
      </c>
      <c r="I96" s="196">
        <f t="shared" si="10"/>
        <v>249500</v>
      </c>
      <c r="J96" s="196">
        <f t="shared" si="10"/>
        <v>285750</v>
      </c>
      <c r="K96" s="196">
        <f t="shared" si="10"/>
        <v>322000</v>
      </c>
      <c r="L96" s="196">
        <f t="shared" si="10"/>
        <v>358250</v>
      </c>
      <c r="M96" s="196">
        <f t="shared" si="10"/>
        <v>394500</v>
      </c>
      <c r="N96" s="196">
        <f t="shared" si="10"/>
        <v>467000</v>
      </c>
      <c r="O96" s="196">
        <f t="shared" si="10"/>
        <v>539500</v>
      </c>
      <c r="P96" s="197">
        <f t="shared" si="10"/>
        <v>684500</v>
      </c>
      <c r="U96" s="456">
        <v>57666</v>
      </c>
      <c r="V96" s="346">
        <v>7</v>
      </c>
      <c r="W96" s="346">
        <v>50</v>
      </c>
      <c r="X96" s="346">
        <v>300</v>
      </c>
    </row>
    <row r="97" spans="1:24" ht="14.25">
      <c r="A97" s="194" t="s">
        <v>425</v>
      </c>
      <c r="B97" s="198">
        <v>200</v>
      </c>
      <c r="C97" s="196">
        <f t="shared" si="10"/>
        <v>71000</v>
      </c>
      <c r="D97" s="196">
        <f t="shared" si="10"/>
        <v>79500</v>
      </c>
      <c r="E97" s="196">
        <f t="shared" si="10"/>
        <v>122000</v>
      </c>
      <c r="F97" s="196">
        <f t="shared" si="10"/>
        <v>164500</v>
      </c>
      <c r="G97" s="196">
        <f t="shared" si="10"/>
        <v>207000</v>
      </c>
      <c r="H97" s="196">
        <f t="shared" si="10"/>
        <v>249500</v>
      </c>
      <c r="I97" s="196">
        <f t="shared" si="10"/>
        <v>292000</v>
      </c>
      <c r="J97" s="196">
        <f t="shared" si="10"/>
        <v>334500</v>
      </c>
      <c r="K97" s="196">
        <f t="shared" si="10"/>
        <v>377000</v>
      </c>
      <c r="L97" s="196">
        <f t="shared" si="10"/>
        <v>419500</v>
      </c>
      <c r="M97" s="196">
        <f t="shared" si="10"/>
        <v>462000</v>
      </c>
      <c r="N97" s="196">
        <f t="shared" si="10"/>
        <v>547000</v>
      </c>
      <c r="O97" s="196">
        <f t="shared" si="10"/>
        <v>632000</v>
      </c>
      <c r="P97" s="197">
        <f t="shared" si="10"/>
        <v>802000</v>
      </c>
      <c r="U97" s="456">
        <v>57750</v>
      </c>
      <c r="V97" s="346">
        <v>5</v>
      </c>
      <c r="W97" s="346">
        <v>100</v>
      </c>
      <c r="X97" s="346">
        <v>150</v>
      </c>
    </row>
    <row r="98" spans="1:24" ht="12.75">
      <c r="A98" s="194" t="s">
        <v>426</v>
      </c>
      <c r="B98" s="198">
        <v>225</v>
      </c>
      <c r="C98" s="196">
        <f t="shared" si="10"/>
        <v>81000</v>
      </c>
      <c r="D98" s="196">
        <f t="shared" si="10"/>
        <v>90750</v>
      </c>
      <c r="E98" s="196">
        <f t="shared" si="10"/>
        <v>139500</v>
      </c>
      <c r="F98" s="196">
        <f t="shared" si="10"/>
        <v>188250</v>
      </c>
      <c r="G98" s="196">
        <f t="shared" si="10"/>
        <v>237000</v>
      </c>
      <c r="H98" s="196">
        <f t="shared" si="10"/>
        <v>285750</v>
      </c>
      <c r="I98" s="196">
        <f t="shared" si="10"/>
        <v>334500</v>
      </c>
      <c r="J98" s="196">
        <f t="shared" si="10"/>
        <v>383250</v>
      </c>
      <c r="K98" s="196">
        <f t="shared" si="10"/>
        <v>432000</v>
      </c>
      <c r="L98" s="196">
        <f t="shared" si="10"/>
        <v>480750</v>
      </c>
      <c r="M98" s="196">
        <f t="shared" si="10"/>
        <v>529500</v>
      </c>
      <c r="N98" s="196">
        <f t="shared" si="10"/>
        <v>627000</v>
      </c>
      <c r="O98" s="196">
        <f t="shared" si="10"/>
        <v>724500</v>
      </c>
      <c r="P98" s="197">
        <f t="shared" si="10"/>
        <v>919500</v>
      </c>
      <c r="U98" s="456">
        <v>58057</v>
      </c>
      <c r="V98" s="346">
        <v>11</v>
      </c>
      <c r="W98" s="346">
        <v>75</v>
      </c>
      <c r="X98" s="346">
        <v>150</v>
      </c>
    </row>
    <row r="99" spans="1:24" ht="16.5">
      <c r="A99" s="199" t="s">
        <v>427</v>
      </c>
      <c r="B99" s="198">
        <v>250</v>
      </c>
      <c r="C99" s="196">
        <f t="shared" si="10"/>
        <v>91000</v>
      </c>
      <c r="D99" s="196">
        <f t="shared" si="10"/>
        <v>102000</v>
      </c>
      <c r="E99" s="196">
        <f t="shared" si="10"/>
        <v>157000</v>
      </c>
      <c r="F99" s="196">
        <f t="shared" si="10"/>
        <v>212000</v>
      </c>
      <c r="G99" s="196">
        <f t="shared" si="10"/>
        <v>267000</v>
      </c>
      <c r="H99" s="196">
        <f t="shared" si="10"/>
        <v>322000</v>
      </c>
      <c r="I99" s="196">
        <f t="shared" si="10"/>
        <v>377000</v>
      </c>
      <c r="J99" s="196">
        <f t="shared" si="10"/>
        <v>432000</v>
      </c>
      <c r="K99" s="196">
        <f t="shared" si="10"/>
        <v>487000</v>
      </c>
      <c r="L99" s="196">
        <f t="shared" si="10"/>
        <v>542000</v>
      </c>
      <c r="M99" s="196">
        <f t="shared" si="10"/>
        <v>597000</v>
      </c>
      <c r="N99" s="196">
        <f t="shared" si="10"/>
        <v>707000</v>
      </c>
      <c r="O99" s="196">
        <f t="shared" si="10"/>
        <v>817000</v>
      </c>
      <c r="P99" s="197">
        <f t="shared" si="10"/>
        <v>1037000</v>
      </c>
      <c r="U99" s="456">
        <v>58541</v>
      </c>
      <c r="V99" s="346">
        <v>7</v>
      </c>
      <c r="W99" s="346">
        <v>100</v>
      </c>
      <c r="X99" s="346">
        <v>125</v>
      </c>
    </row>
    <row r="100" spans="1:24" ht="12.75">
      <c r="A100" s="200"/>
      <c r="B100" s="198">
        <v>275</v>
      </c>
      <c r="C100" s="196">
        <f t="shared" si="10"/>
        <v>101000</v>
      </c>
      <c r="D100" s="196">
        <f t="shared" si="10"/>
        <v>113250</v>
      </c>
      <c r="E100" s="196">
        <f t="shared" si="10"/>
        <v>174500</v>
      </c>
      <c r="F100" s="196">
        <f t="shared" si="10"/>
        <v>235750</v>
      </c>
      <c r="G100" s="196">
        <f t="shared" si="10"/>
        <v>297000</v>
      </c>
      <c r="H100" s="196">
        <f t="shared" si="10"/>
        <v>358250</v>
      </c>
      <c r="I100" s="196">
        <f t="shared" si="10"/>
        <v>419500</v>
      </c>
      <c r="J100" s="196">
        <f t="shared" si="10"/>
        <v>480750</v>
      </c>
      <c r="K100" s="196">
        <f t="shared" si="10"/>
        <v>542000</v>
      </c>
      <c r="L100" s="196">
        <f t="shared" si="10"/>
        <v>603250</v>
      </c>
      <c r="M100" s="196">
        <f t="shared" si="10"/>
        <v>664500</v>
      </c>
      <c r="N100" s="196">
        <f t="shared" si="10"/>
        <v>787000</v>
      </c>
      <c r="O100" s="196">
        <f t="shared" si="10"/>
        <v>909500</v>
      </c>
      <c r="P100" s="197">
        <f t="shared" si="10"/>
        <v>1154500</v>
      </c>
      <c r="U100" s="456">
        <v>59000</v>
      </c>
      <c r="V100" s="346">
        <v>5</v>
      </c>
      <c r="W100" s="346">
        <v>50</v>
      </c>
      <c r="X100" s="346">
        <v>350</v>
      </c>
    </row>
    <row r="101" spans="1:24" ht="13.5">
      <c r="A101" s="199" t="s">
        <v>428</v>
      </c>
      <c r="B101" s="198">
        <v>300</v>
      </c>
      <c r="C101" s="196">
        <f t="shared" si="10"/>
        <v>111000</v>
      </c>
      <c r="D101" s="196">
        <f t="shared" si="10"/>
        <v>124500</v>
      </c>
      <c r="E101" s="196">
        <f t="shared" si="10"/>
        <v>192000</v>
      </c>
      <c r="F101" s="196">
        <f t="shared" si="10"/>
        <v>259500</v>
      </c>
      <c r="G101" s="196">
        <f t="shared" si="10"/>
        <v>327000</v>
      </c>
      <c r="H101" s="196">
        <f t="shared" si="10"/>
        <v>394500</v>
      </c>
      <c r="I101" s="196">
        <f t="shared" si="10"/>
        <v>462000</v>
      </c>
      <c r="J101" s="196">
        <f t="shared" si="10"/>
        <v>529500</v>
      </c>
      <c r="K101" s="196">
        <f t="shared" si="10"/>
        <v>597000</v>
      </c>
      <c r="L101" s="196">
        <f t="shared" si="10"/>
        <v>664500</v>
      </c>
      <c r="M101" s="196">
        <f t="shared" si="10"/>
        <v>732000</v>
      </c>
      <c r="N101" s="196">
        <f t="shared" si="10"/>
        <v>867000</v>
      </c>
      <c r="O101" s="196">
        <f t="shared" si="10"/>
        <v>1002000</v>
      </c>
      <c r="P101" s="197">
        <f t="shared" si="10"/>
        <v>1272000</v>
      </c>
      <c r="U101" s="456">
        <v>59241</v>
      </c>
      <c r="V101" s="346">
        <v>7</v>
      </c>
      <c r="W101" s="346">
        <v>75</v>
      </c>
      <c r="X101" s="346">
        <v>175</v>
      </c>
    </row>
    <row r="102" spans="1:24" ht="15">
      <c r="A102" s="199" t="s">
        <v>429</v>
      </c>
      <c r="B102" s="198">
        <v>350</v>
      </c>
      <c r="C102" s="196">
        <f t="shared" si="10"/>
        <v>131000</v>
      </c>
      <c r="D102" s="196">
        <f t="shared" si="10"/>
        <v>147000</v>
      </c>
      <c r="E102" s="196">
        <f t="shared" si="10"/>
        <v>227000</v>
      </c>
      <c r="F102" s="196">
        <f t="shared" si="10"/>
        <v>307000</v>
      </c>
      <c r="G102" s="196">
        <f t="shared" si="10"/>
        <v>387000</v>
      </c>
      <c r="H102" s="196">
        <f t="shared" si="10"/>
        <v>467000</v>
      </c>
      <c r="I102" s="196">
        <f t="shared" si="10"/>
        <v>547000</v>
      </c>
      <c r="J102" s="196">
        <f t="shared" si="10"/>
        <v>627000</v>
      </c>
      <c r="K102" s="196">
        <f t="shared" si="10"/>
        <v>707000</v>
      </c>
      <c r="L102" s="196">
        <f t="shared" si="10"/>
        <v>787000</v>
      </c>
      <c r="M102" s="196">
        <f t="shared" si="10"/>
        <v>867000</v>
      </c>
      <c r="N102" s="196">
        <f t="shared" si="10"/>
        <v>1027000</v>
      </c>
      <c r="O102" s="196">
        <f t="shared" si="10"/>
        <v>1187000</v>
      </c>
      <c r="P102" s="197">
        <f t="shared" si="10"/>
        <v>1507000</v>
      </c>
      <c r="U102" s="456">
        <v>59424</v>
      </c>
      <c r="V102" s="346">
        <v>8</v>
      </c>
      <c r="W102" s="346">
        <v>60</v>
      </c>
      <c r="X102" s="346">
        <v>225</v>
      </c>
    </row>
    <row r="103" spans="1:24" ht="13.5">
      <c r="A103" s="199" t="s">
        <v>424</v>
      </c>
      <c r="B103" s="198">
        <v>400</v>
      </c>
      <c r="C103" s="196">
        <f t="shared" si="10"/>
        <v>151000</v>
      </c>
      <c r="D103" s="196">
        <f t="shared" si="10"/>
        <v>169500</v>
      </c>
      <c r="E103" s="196">
        <f t="shared" si="10"/>
        <v>262000</v>
      </c>
      <c r="F103" s="196">
        <f t="shared" si="10"/>
        <v>354500</v>
      </c>
      <c r="G103" s="196">
        <f t="shared" si="10"/>
        <v>447000</v>
      </c>
      <c r="H103" s="196">
        <f t="shared" si="10"/>
        <v>539500</v>
      </c>
      <c r="I103" s="196">
        <f t="shared" si="10"/>
        <v>632000</v>
      </c>
      <c r="J103" s="196">
        <f t="shared" si="10"/>
        <v>724500</v>
      </c>
      <c r="K103" s="196">
        <f t="shared" si="10"/>
        <v>817000</v>
      </c>
      <c r="L103" s="196">
        <f t="shared" si="10"/>
        <v>909500</v>
      </c>
      <c r="M103" s="196">
        <f t="shared" si="10"/>
        <v>1002000</v>
      </c>
      <c r="N103" s="196">
        <f t="shared" si="10"/>
        <v>1187000</v>
      </c>
      <c r="O103" s="196">
        <f t="shared" si="10"/>
        <v>1372000</v>
      </c>
      <c r="P103" s="197">
        <f t="shared" si="10"/>
        <v>1742000</v>
      </c>
      <c r="U103" s="456">
        <v>60875</v>
      </c>
      <c r="V103" s="346">
        <v>5</v>
      </c>
      <c r="W103" s="346">
        <v>125</v>
      </c>
      <c r="X103" s="346">
        <v>125</v>
      </c>
    </row>
    <row r="104" spans="1:24" ht="13.5" thickBot="1">
      <c r="A104" s="201"/>
      <c r="B104" s="202">
        <v>500</v>
      </c>
      <c r="C104" s="203">
        <f t="shared" si="10"/>
        <v>191000</v>
      </c>
      <c r="D104" s="203">
        <f t="shared" si="10"/>
        <v>214500</v>
      </c>
      <c r="E104" s="203">
        <f t="shared" si="10"/>
        <v>332000</v>
      </c>
      <c r="F104" s="203">
        <f t="shared" si="10"/>
        <v>449500</v>
      </c>
      <c r="G104" s="203">
        <f t="shared" si="10"/>
        <v>567000</v>
      </c>
      <c r="H104" s="203">
        <f t="shared" si="10"/>
        <v>684500</v>
      </c>
      <c r="I104" s="203">
        <f t="shared" si="10"/>
        <v>802000</v>
      </c>
      <c r="J104" s="203">
        <f t="shared" si="10"/>
        <v>919500</v>
      </c>
      <c r="K104" s="203">
        <f t="shared" si="10"/>
        <v>1037000</v>
      </c>
      <c r="L104" s="203">
        <f t="shared" si="10"/>
        <v>1154500</v>
      </c>
      <c r="M104" s="203">
        <f t="shared" si="10"/>
        <v>1272000</v>
      </c>
      <c r="N104" s="203">
        <f t="shared" si="10"/>
        <v>1507000</v>
      </c>
      <c r="O104" s="203">
        <f t="shared" si="10"/>
        <v>1742000</v>
      </c>
      <c r="P104" s="204">
        <f t="shared" si="10"/>
        <v>2212000</v>
      </c>
      <c r="U104" s="456">
        <v>61000</v>
      </c>
      <c r="V104" s="346">
        <v>10</v>
      </c>
      <c r="W104" s="346">
        <v>70</v>
      </c>
      <c r="X104" s="346">
        <v>175</v>
      </c>
    </row>
    <row r="105" spans="1:24" ht="12.75">
      <c r="A105" s="206"/>
      <c r="B105" s="207"/>
      <c r="C105" s="209"/>
      <c r="D105" s="209"/>
      <c r="E105" s="209"/>
      <c r="F105" s="209"/>
      <c r="G105" s="209"/>
      <c r="H105" s="209"/>
      <c r="I105" s="209"/>
      <c r="J105" s="209"/>
      <c r="K105" s="209"/>
      <c r="L105" s="209"/>
      <c r="M105" s="209"/>
      <c r="N105" s="209"/>
      <c r="O105" s="209"/>
      <c r="P105" s="209"/>
      <c r="U105" s="456">
        <v>61353</v>
      </c>
      <c r="V105" s="346">
        <v>9</v>
      </c>
      <c r="W105" s="346">
        <v>65</v>
      </c>
      <c r="X105" s="346">
        <v>200</v>
      </c>
    </row>
    <row r="106" spans="1:24" ht="15.75" thickBot="1">
      <c r="A106" s="2108" t="s">
        <v>416</v>
      </c>
      <c r="B106" s="2108"/>
      <c r="C106" s="2108"/>
      <c r="D106" s="2108"/>
      <c r="E106" s="2108"/>
      <c r="F106" s="2108"/>
      <c r="G106" s="2108"/>
      <c r="H106" s="2108"/>
      <c r="I106" s="2108"/>
      <c r="J106" s="2108"/>
      <c r="K106" s="2108"/>
      <c r="L106" s="2108"/>
      <c r="M106" s="2108"/>
      <c r="N106" s="2108"/>
      <c r="O106" s="2108"/>
      <c r="P106" s="2108"/>
      <c r="U106" s="456">
        <v>62892</v>
      </c>
      <c r="V106" s="346">
        <v>6</v>
      </c>
      <c r="W106" s="346">
        <v>75</v>
      </c>
      <c r="X106" s="346">
        <v>200</v>
      </c>
    </row>
    <row r="107" spans="1:24" ht="14.25">
      <c r="A107" s="182"/>
      <c r="B107" s="183">
        <v>11</v>
      </c>
      <c r="C107" s="184" t="s">
        <v>417</v>
      </c>
      <c r="D107" s="185"/>
      <c r="E107" s="185"/>
      <c r="F107" s="185"/>
      <c r="G107" s="186" t="s">
        <v>418</v>
      </c>
      <c r="H107" s="185"/>
      <c r="I107" s="185"/>
      <c r="J107" s="185"/>
      <c r="K107" s="185"/>
      <c r="L107" s="185"/>
      <c r="M107" s="185"/>
      <c r="N107" s="187">
        <v>3</v>
      </c>
      <c r="O107" s="187" t="s">
        <v>419</v>
      </c>
      <c r="P107" s="188"/>
      <c r="U107" s="456">
        <v>62944</v>
      </c>
      <c r="V107" s="346">
        <v>8</v>
      </c>
      <c r="W107" s="346">
        <v>100</v>
      </c>
      <c r="X107" s="346">
        <v>125</v>
      </c>
    </row>
    <row r="108" spans="1:24" ht="12.75">
      <c r="A108" s="189"/>
      <c r="B108" s="190"/>
      <c r="C108" s="191">
        <v>75</v>
      </c>
      <c r="D108" s="192">
        <v>100</v>
      </c>
      <c r="E108" s="192">
        <v>125</v>
      </c>
      <c r="F108" s="192">
        <v>150</v>
      </c>
      <c r="G108" s="192">
        <v>175</v>
      </c>
      <c r="H108" s="192">
        <v>200</v>
      </c>
      <c r="I108" s="192">
        <v>225</v>
      </c>
      <c r="J108" s="192">
        <v>250</v>
      </c>
      <c r="K108" s="192">
        <v>275</v>
      </c>
      <c r="L108" s="192">
        <v>300</v>
      </c>
      <c r="M108" s="192">
        <v>350</v>
      </c>
      <c r="N108" s="192">
        <v>400</v>
      </c>
      <c r="O108" s="192">
        <v>450</v>
      </c>
      <c r="P108" s="193">
        <v>500</v>
      </c>
      <c r="U108" s="456">
        <v>63144</v>
      </c>
      <c r="V108" s="346">
        <v>8</v>
      </c>
      <c r="W108" s="346">
        <v>75</v>
      </c>
      <c r="X108" s="346">
        <v>175</v>
      </c>
    </row>
    <row r="109" spans="1:24" ht="12.75">
      <c r="A109" s="194"/>
      <c r="B109" s="195">
        <v>75</v>
      </c>
      <c r="C109" s="196">
        <f>($B109*C$108*$B$107)-($N$107*$B$107^2*($B109+C$108))+(4*$N$107^2*$B$107^3/3)</f>
        <v>23397</v>
      </c>
      <c r="D109" s="196">
        <f aca="true" t="shared" si="11" ref="D109:P109">($B109*D$108*$B$107)-($N$107*$B$107^2*($B109+D$108))+(4*$N$107^2*$B$107^3/3)</f>
        <v>34947</v>
      </c>
      <c r="E109" s="196">
        <f t="shared" si="11"/>
        <v>46497</v>
      </c>
      <c r="F109" s="196">
        <f t="shared" si="11"/>
        <v>58047</v>
      </c>
      <c r="G109" s="196">
        <f t="shared" si="11"/>
        <v>69597</v>
      </c>
      <c r="H109" s="196">
        <f t="shared" si="11"/>
        <v>81147</v>
      </c>
      <c r="I109" s="196">
        <f t="shared" si="11"/>
        <v>92697</v>
      </c>
      <c r="J109" s="196">
        <f t="shared" si="11"/>
        <v>104247</v>
      </c>
      <c r="K109" s="196">
        <f t="shared" si="11"/>
        <v>115797</v>
      </c>
      <c r="L109" s="196">
        <f t="shared" si="11"/>
        <v>127347</v>
      </c>
      <c r="M109" s="196">
        <f t="shared" si="11"/>
        <v>150447</v>
      </c>
      <c r="N109" s="196">
        <f t="shared" si="11"/>
        <v>173547</v>
      </c>
      <c r="O109" s="196">
        <f t="shared" si="11"/>
        <v>196647</v>
      </c>
      <c r="P109" s="197">
        <f t="shared" si="11"/>
        <v>219747</v>
      </c>
      <c r="U109" s="456">
        <v>63375</v>
      </c>
      <c r="V109" s="346">
        <v>5</v>
      </c>
      <c r="W109" s="346">
        <v>75</v>
      </c>
      <c r="X109" s="346">
        <v>225</v>
      </c>
    </row>
    <row r="110" spans="1:24" ht="15.75">
      <c r="A110" s="194" t="s">
        <v>420</v>
      </c>
      <c r="B110" s="198">
        <v>100</v>
      </c>
      <c r="C110" s="196">
        <f aca="true" t="shared" si="12" ref="C110:P122">($B110*C$108*$B$107)-($N$107*$B$107^2*($B110+C$108))+(4*$N$107^2*$B$107^3/3)</f>
        <v>34947</v>
      </c>
      <c r="D110" s="196">
        <f t="shared" si="12"/>
        <v>53372</v>
      </c>
      <c r="E110" s="196">
        <f t="shared" si="12"/>
        <v>71797</v>
      </c>
      <c r="F110" s="196">
        <f t="shared" si="12"/>
        <v>90222</v>
      </c>
      <c r="G110" s="196">
        <f t="shared" si="12"/>
        <v>108647</v>
      </c>
      <c r="H110" s="196">
        <f t="shared" si="12"/>
        <v>127072</v>
      </c>
      <c r="I110" s="196">
        <f t="shared" si="12"/>
        <v>145497</v>
      </c>
      <c r="J110" s="196">
        <f t="shared" si="12"/>
        <v>163922</v>
      </c>
      <c r="K110" s="196">
        <f t="shared" si="12"/>
        <v>182347</v>
      </c>
      <c r="L110" s="196">
        <f t="shared" si="12"/>
        <v>200772</v>
      </c>
      <c r="M110" s="196">
        <f t="shared" si="12"/>
        <v>237622</v>
      </c>
      <c r="N110" s="196">
        <f t="shared" si="12"/>
        <v>274472</v>
      </c>
      <c r="O110" s="196">
        <f t="shared" si="12"/>
        <v>311322</v>
      </c>
      <c r="P110" s="197">
        <f t="shared" si="12"/>
        <v>348172</v>
      </c>
      <c r="U110" s="456">
        <v>64392</v>
      </c>
      <c r="V110" s="346">
        <v>6</v>
      </c>
      <c r="W110" s="346">
        <v>50</v>
      </c>
      <c r="X110" s="346">
        <v>350</v>
      </c>
    </row>
    <row r="111" spans="1:24" ht="13.5">
      <c r="A111" s="194" t="s">
        <v>421</v>
      </c>
      <c r="B111" s="198">
        <v>125</v>
      </c>
      <c r="C111" s="196">
        <f t="shared" si="12"/>
        <v>46497</v>
      </c>
      <c r="D111" s="196">
        <f t="shared" si="12"/>
        <v>71797</v>
      </c>
      <c r="E111" s="196">
        <f t="shared" si="12"/>
        <v>97097</v>
      </c>
      <c r="F111" s="196">
        <f t="shared" si="12"/>
        <v>122397</v>
      </c>
      <c r="G111" s="196">
        <f t="shared" si="12"/>
        <v>147697</v>
      </c>
      <c r="H111" s="196">
        <f t="shared" si="12"/>
        <v>172997</v>
      </c>
      <c r="I111" s="196">
        <f t="shared" si="12"/>
        <v>198297</v>
      </c>
      <c r="J111" s="196">
        <f t="shared" si="12"/>
        <v>223597</v>
      </c>
      <c r="K111" s="196">
        <f t="shared" si="12"/>
        <v>248897</v>
      </c>
      <c r="L111" s="196">
        <f t="shared" si="12"/>
        <v>274197</v>
      </c>
      <c r="M111" s="196">
        <f t="shared" si="12"/>
        <v>324797</v>
      </c>
      <c r="N111" s="196">
        <f t="shared" si="12"/>
        <v>375397</v>
      </c>
      <c r="O111" s="196">
        <f t="shared" si="12"/>
        <v>425997</v>
      </c>
      <c r="P111" s="197">
        <f t="shared" si="12"/>
        <v>476597</v>
      </c>
      <c r="U111" s="456">
        <v>65592</v>
      </c>
      <c r="V111" s="346">
        <v>6</v>
      </c>
      <c r="W111" s="346">
        <v>100</v>
      </c>
      <c r="X111" s="346">
        <v>150</v>
      </c>
    </row>
    <row r="112" spans="1:24" ht="12.75">
      <c r="A112" s="194" t="s">
        <v>422</v>
      </c>
      <c r="B112" s="198">
        <v>150</v>
      </c>
      <c r="C112" s="196">
        <f t="shared" si="12"/>
        <v>58047</v>
      </c>
      <c r="D112" s="196">
        <f t="shared" si="12"/>
        <v>90222</v>
      </c>
      <c r="E112" s="196">
        <f t="shared" si="12"/>
        <v>122397</v>
      </c>
      <c r="F112" s="196">
        <f t="shared" si="12"/>
        <v>154572</v>
      </c>
      <c r="G112" s="196">
        <f t="shared" si="12"/>
        <v>186747</v>
      </c>
      <c r="H112" s="196">
        <f t="shared" si="12"/>
        <v>218922</v>
      </c>
      <c r="I112" s="196">
        <f t="shared" si="12"/>
        <v>251097</v>
      </c>
      <c r="J112" s="196">
        <f t="shared" si="12"/>
        <v>283272</v>
      </c>
      <c r="K112" s="196">
        <f t="shared" si="12"/>
        <v>315447</v>
      </c>
      <c r="L112" s="196">
        <f t="shared" si="12"/>
        <v>347622</v>
      </c>
      <c r="M112" s="196">
        <f t="shared" si="12"/>
        <v>411972</v>
      </c>
      <c r="N112" s="196">
        <f t="shared" si="12"/>
        <v>476322</v>
      </c>
      <c r="O112" s="196">
        <f t="shared" si="12"/>
        <v>540672</v>
      </c>
      <c r="P112" s="197">
        <f t="shared" si="12"/>
        <v>605022</v>
      </c>
      <c r="U112" s="456">
        <v>66123</v>
      </c>
      <c r="V112" s="346">
        <v>9</v>
      </c>
      <c r="W112" s="346">
        <v>75</v>
      </c>
      <c r="X112" s="346">
        <v>175</v>
      </c>
    </row>
    <row r="113" spans="1:24" ht="14.25">
      <c r="A113" s="194" t="s">
        <v>423</v>
      </c>
      <c r="B113" s="198">
        <v>175</v>
      </c>
      <c r="C113" s="196">
        <f t="shared" si="12"/>
        <v>69597</v>
      </c>
      <c r="D113" s="196">
        <f t="shared" si="12"/>
        <v>108647</v>
      </c>
      <c r="E113" s="196">
        <f t="shared" si="12"/>
        <v>147697</v>
      </c>
      <c r="F113" s="196">
        <f t="shared" si="12"/>
        <v>186747</v>
      </c>
      <c r="G113" s="196">
        <f t="shared" si="12"/>
        <v>225797</v>
      </c>
      <c r="H113" s="196">
        <f t="shared" si="12"/>
        <v>264847</v>
      </c>
      <c r="I113" s="196">
        <f t="shared" si="12"/>
        <v>303897</v>
      </c>
      <c r="J113" s="196">
        <f t="shared" si="12"/>
        <v>342947</v>
      </c>
      <c r="K113" s="196">
        <f t="shared" si="12"/>
        <v>381997</v>
      </c>
      <c r="L113" s="196">
        <f t="shared" si="12"/>
        <v>421047</v>
      </c>
      <c r="M113" s="196">
        <f t="shared" si="12"/>
        <v>499147</v>
      </c>
      <c r="N113" s="196">
        <f t="shared" si="12"/>
        <v>577247</v>
      </c>
      <c r="O113" s="196">
        <f t="shared" si="12"/>
        <v>655347</v>
      </c>
      <c r="P113" s="197">
        <f t="shared" si="12"/>
        <v>733447</v>
      </c>
      <c r="U113" s="456">
        <v>66573</v>
      </c>
      <c r="V113" s="346">
        <v>9</v>
      </c>
      <c r="W113" s="346">
        <v>100</v>
      </c>
      <c r="X113" s="346">
        <v>125</v>
      </c>
    </row>
    <row r="114" spans="1:24" ht="13.5">
      <c r="A114" s="194" t="s">
        <v>424</v>
      </c>
      <c r="B114" s="198">
        <v>200</v>
      </c>
      <c r="C114" s="196">
        <f t="shared" si="12"/>
        <v>81147</v>
      </c>
      <c r="D114" s="196">
        <f t="shared" si="12"/>
        <v>127072</v>
      </c>
      <c r="E114" s="196">
        <f t="shared" si="12"/>
        <v>172997</v>
      </c>
      <c r="F114" s="196">
        <f t="shared" si="12"/>
        <v>218922</v>
      </c>
      <c r="G114" s="196">
        <f t="shared" si="12"/>
        <v>264847</v>
      </c>
      <c r="H114" s="196">
        <f t="shared" si="12"/>
        <v>310772</v>
      </c>
      <c r="I114" s="196">
        <f t="shared" si="12"/>
        <v>356697</v>
      </c>
      <c r="J114" s="196">
        <f t="shared" si="12"/>
        <v>402622</v>
      </c>
      <c r="K114" s="196">
        <f t="shared" si="12"/>
        <v>448547</v>
      </c>
      <c r="L114" s="196">
        <f t="shared" si="12"/>
        <v>494472</v>
      </c>
      <c r="M114" s="196">
        <f t="shared" si="12"/>
        <v>586322</v>
      </c>
      <c r="N114" s="196">
        <f t="shared" si="12"/>
        <v>678172</v>
      </c>
      <c r="O114" s="196">
        <f t="shared" si="12"/>
        <v>770022</v>
      </c>
      <c r="P114" s="197">
        <f t="shared" si="12"/>
        <v>861872</v>
      </c>
      <c r="U114" s="456">
        <v>66624</v>
      </c>
      <c r="V114" s="346">
        <v>8</v>
      </c>
      <c r="W114" s="346">
        <v>60</v>
      </c>
      <c r="X114" s="346">
        <v>250</v>
      </c>
    </row>
    <row r="115" spans="1:24" ht="14.25">
      <c r="A115" s="194" t="s">
        <v>425</v>
      </c>
      <c r="B115" s="198">
        <v>225</v>
      </c>
      <c r="C115" s="196">
        <f t="shared" si="12"/>
        <v>92697</v>
      </c>
      <c r="D115" s="196">
        <f t="shared" si="12"/>
        <v>145497</v>
      </c>
      <c r="E115" s="196">
        <f t="shared" si="12"/>
        <v>198297</v>
      </c>
      <c r="F115" s="196">
        <f t="shared" si="12"/>
        <v>251097</v>
      </c>
      <c r="G115" s="196">
        <f t="shared" si="12"/>
        <v>303897</v>
      </c>
      <c r="H115" s="196">
        <f t="shared" si="12"/>
        <v>356697</v>
      </c>
      <c r="I115" s="196">
        <f t="shared" si="12"/>
        <v>409497</v>
      </c>
      <c r="J115" s="196">
        <f t="shared" si="12"/>
        <v>462297</v>
      </c>
      <c r="K115" s="196">
        <f t="shared" si="12"/>
        <v>515097</v>
      </c>
      <c r="L115" s="196">
        <f t="shared" si="12"/>
        <v>567897</v>
      </c>
      <c r="M115" s="196">
        <f t="shared" si="12"/>
        <v>673497</v>
      </c>
      <c r="N115" s="196">
        <f t="shared" si="12"/>
        <v>779097</v>
      </c>
      <c r="O115" s="196">
        <f t="shared" si="12"/>
        <v>884697</v>
      </c>
      <c r="P115" s="197">
        <f t="shared" si="12"/>
        <v>990297</v>
      </c>
      <c r="U115" s="456">
        <v>67750</v>
      </c>
      <c r="V115" s="346">
        <v>5</v>
      </c>
      <c r="W115" s="346">
        <v>50</v>
      </c>
      <c r="X115" s="346">
        <v>400</v>
      </c>
    </row>
    <row r="116" spans="1:24" ht="12.75">
      <c r="A116" s="194" t="s">
        <v>426</v>
      </c>
      <c r="B116" s="198">
        <v>250</v>
      </c>
      <c r="C116" s="196">
        <f t="shared" si="12"/>
        <v>104247</v>
      </c>
      <c r="D116" s="196">
        <f t="shared" si="12"/>
        <v>163922</v>
      </c>
      <c r="E116" s="196">
        <f t="shared" si="12"/>
        <v>223597</v>
      </c>
      <c r="F116" s="196">
        <f t="shared" si="12"/>
        <v>283272</v>
      </c>
      <c r="G116" s="196">
        <f t="shared" si="12"/>
        <v>342947</v>
      </c>
      <c r="H116" s="196">
        <f t="shared" si="12"/>
        <v>402622</v>
      </c>
      <c r="I116" s="196">
        <f t="shared" si="12"/>
        <v>462297</v>
      </c>
      <c r="J116" s="196">
        <f t="shared" si="12"/>
        <v>521972</v>
      </c>
      <c r="K116" s="196">
        <f t="shared" si="12"/>
        <v>581647</v>
      </c>
      <c r="L116" s="196">
        <f t="shared" si="12"/>
        <v>641322</v>
      </c>
      <c r="M116" s="196">
        <f t="shared" si="12"/>
        <v>760672</v>
      </c>
      <c r="N116" s="196">
        <f t="shared" si="12"/>
        <v>880022</v>
      </c>
      <c r="O116" s="196">
        <f t="shared" si="12"/>
        <v>999372</v>
      </c>
      <c r="P116" s="197">
        <f t="shared" si="12"/>
        <v>1118722</v>
      </c>
      <c r="U116" s="456">
        <v>67816</v>
      </c>
      <c r="V116" s="346">
        <v>7</v>
      </c>
      <c r="W116" s="346">
        <v>50</v>
      </c>
      <c r="X116" s="346">
        <v>350</v>
      </c>
    </row>
    <row r="117" spans="1:24" ht="16.5">
      <c r="A117" s="199" t="s">
        <v>427</v>
      </c>
      <c r="B117" s="198">
        <v>275</v>
      </c>
      <c r="C117" s="196">
        <f t="shared" si="12"/>
        <v>115797</v>
      </c>
      <c r="D117" s="196">
        <f t="shared" si="12"/>
        <v>182347</v>
      </c>
      <c r="E117" s="196">
        <f t="shared" si="12"/>
        <v>248897</v>
      </c>
      <c r="F117" s="196">
        <f t="shared" si="12"/>
        <v>315447</v>
      </c>
      <c r="G117" s="196">
        <f t="shared" si="12"/>
        <v>381997</v>
      </c>
      <c r="H117" s="196">
        <f t="shared" si="12"/>
        <v>448547</v>
      </c>
      <c r="I117" s="196">
        <f t="shared" si="12"/>
        <v>515097</v>
      </c>
      <c r="J117" s="196">
        <f t="shared" si="12"/>
        <v>581647</v>
      </c>
      <c r="K117" s="196">
        <f t="shared" si="12"/>
        <v>648197</v>
      </c>
      <c r="L117" s="196">
        <f t="shared" si="12"/>
        <v>714747</v>
      </c>
      <c r="M117" s="196">
        <f t="shared" si="12"/>
        <v>847847</v>
      </c>
      <c r="N117" s="196">
        <f t="shared" si="12"/>
        <v>980947</v>
      </c>
      <c r="O117" s="196">
        <f t="shared" si="12"/>
        <v>1114047</v>
      </c>
      <c r="P117" s="197">
        <f t="shared" si="12"/>
        <v>1247147</v>
      </c>
      <c r="U117" s="456">
        <v>68250</v>
      </c>
      <c r="V117" s="346">
        <v>10</v>
      </c>
      <c r="W117" s="346">
        <v>75</v>
      </c>
      <c r="X117" s="346">
        <v>175</v>
      </c>
    </row>
    <row r="118" spans="1:24" ht="12.75">
      <c r="A118" s="200"/>
      <c r="B118" s="198">
        <v>300</v>
      </c>
      <c r="C118" s="196">
        <f t="shared" si="12"/>
        <v>127347</v>
      </c>
      <c r="D118" s="196">
        <f t="shared" si="12"/>
        <v>200772</v>
      </c>
      <c r="E118" s="196">
        <f t="shared" si="12"/>
        <v>274197</v>
      </c>
      <c r="F118" s="196">
        <f t="shared" si="12"/>
        <v>347622</v>
      </c>
      <c r="G118" s="196">
        <f t="shared" si="12"/>
        <v>421047</v>
      </c>
      <c r="H118" s="196">
        <f t="shared" si="12"/>
        <v>494472</v>
      </c>
      <c r="I118" s="196">
        <f t="shared" si="12"/>
        <v>567897</v>
      </c>
      <c r="J118" s="196">
        <f t="shared" si="12"/>
        <v>641322</v>
      </c>
      <c r="K118" s="196">
        <f t="shared" si="12"/>
        <v>714747</v>
      </c>
      <c r="L118" s="196">
        <f t="shared" si="12"/>
        <v>788172</v>
      </c>
      <c r="M118" s="196">
        <f t="shared" si="12"/>
        <v>935022</v>
      </c>
      <c r="N118" s="196">
        <f t="shared" si="12"/>
        <v>1081872</v>
      </c>
      <c r="O118" s="196">
        <f t="shared" si="12"/>
        <v>1228722</v>
      </c>
      <c r="P118" s="197">
        <f t="shared" si="12"/>
        <v>1375572</v>
      </c>
      <c r="U118" s="456">
        <v>68375</v>
      </c>
      <c r="V118" s="346">
        <v>5</v>
      </c>
      <c r="W118" s="346">
        <v>100</v>
      </c>
      <c r="X118" s="346">
        <v>175</v>
      </c>
    </row>
    <row r="119" spans="1:24" ht="13.5">
      <c r="A119" s="199" t="s">
        <v>428</v>
      </c>
      <c r="B119" s="198">
        <v>350</v>
      </c>
      <c r="C119" s="196">
        <f t="shared" si="12"/>
        <v>150447</v>
      </c>
      <c r="D119" s="196">
        <f t="shared" si="12"/>
        <v>237622</v>
      </c>
      <c r="E119" s="196">
        <f t="shared" si="12"/>
        <v>324797</v>
      </c>
      <c r="F119" s="196">
        <f t="shared" si="12"/>
        <v>411972</v>
      </c>
      <c r="G119" s="196">
        <f t="shared" si="12"/>
        <v>499147</v>
      </c>
      <c r="H119" s="196">
        <f t="shared" si="12"/>
        <v>586322</v>
      </c>
      <c r="I119" s="196">
        <f t="shared" si="12"/>
        <v>673497</v>
      </c>
      <c r="J119" s="196">
        <f t="shared" si="12"/>
        <v>760672</v>
      </c>
      <c r="K119" s="196">
        <f t="shared" si="12"/>
        <v>847847</v>
      </c>
      <c r="L119" s="196">
        <f t="shared" si="12"/>
        <v>935022</v>
      </c>
      <c r="M119" s="196">
        <f t="shared" si="12"/>
        <v>1109372</v>
      </c>
      <c r="N119" s="196">
        <f t="shared" si="12"/>
        <v>1283722</v>
      </c>
      <c r="O119" s="196">
        <f t="shared" si="12"/>
        <v>1458072</v>
      </c>
      <c r="P119" s="197">
        <f t="shared" si="12"/>
        <v>1632422</v>
      </c>
      <c r="U119" s="456">
        <v>68691</v>
      </c>
      <c r="V119" s="346">
        <v>7</v>
      </c>
      <c r="W119" s="346">
        <v>75</v>
      </c>
      <c r="X119" s="346">
        <v>200</v>
      </c>
    </row>
    <row r="120" spans="1:24" ht="15">
      <c r="A120" s="199" t="s">
        <v>429</v>
      </c>
      <c r="B120" s="198">
        <v>400</v>
      </c>
      <c r="C120" s="196">
        <f t="shared" si="12"/>
        <v>173547</v>
      </c>
      <c r="D120" s="196">
        <f t="shared" si="12"/>
        <v>274472</v>
      </c>
      <c r="E120" s="196">
        <f t="shared" si="12"/>
        <v>375397</v>
      </c>
      <c r="F120" s="196">
        <f t="shared" si="12"/>
        <v>476322</v>
      </c>
      <c r="G120" s="196">
        <f t="shared" si="12"/>
        <v>577247</v>
      </c>
      <c r="H120" s="196">
        <f t="shared" si="12"/>
        <v>678172</v>
      </c>
      <c r="I120" s="196">
        <f t="shared" si="12"/>
        <v>779097</v>
      </c>
      <c r="J120" s="196">
        <f t="shared" si="12"/>
        <v>880022</v>
      </c>
      <c r="K120" s="196">
        <f t="shared" si="12"/>
        <v>980947</v>
      </c>
      <c r="L120" s="196">
        <f t="shared" si="12"/>
        <v>1081872</v>
      </c>
      <c r="M120" s="196">
        <f t="shared" si="12"/>
        <v>1283722</v>
      </c>
      <c r="N120" s="196">
        <f t="shared" si="12"/>
        <v>1485572</v>
      </c>
      <c r="O120" s="196">
        <f t="shared" si="12"/>
        <v>1687422</v>
      </c>
      <c r="P120" s="197">
        <f t="shared" si="12"/>
        <v>1889272</v>
      </c>
      <c r="U120" s="456">
        <v>69342</v>
      </c>
      <c r="V120" s="346">
        <v>6</v>
      </c>
      <c r="W120" s="346">
        <v>125</v>
      </c>
      <c r="X120" s="346">
        <v>125</v>
      </c>
    </row>
    <row r="121" spans="1:24" ht="13.5">
      <c r="A121" s="199" t="s">
        <v>424</v>
      </c>
      <c r="B121" s="198">
        <v>450</v>
      </c>
      <c r="C121" s="196">
        <f t="shared" si="12"/>
        <v>196647</v>
      </c>
      <c r="D121" s="196">
        <f t="shared" si="12"/>
        <v>311322</v>
      </c>
      <c r="E121" s="196">
        <f t="shared" si="12"/>
        <v>425997</v>
      </c>
      <c r="F121" s="196">
        <f t="shared" si="12"/>
        <v>540672</v>
      </c>
      <c r="G121" s="196">
        <f t="shared" si="12"/>
        <v>655347</v>
      </c>
      <c r="H121" s="196">
        <f t="shared" si="12"/>
        <v>770022</v>
      </c>
      <c r="I121" s="196">
        <f t="shared" si="12"/>
        <v>884697</v>
      </c>
      <c r="J121" s="196">
        <f t="shared" si="12"/>
        <v>999372</v>
      </c>
      <c r="K121" s="196">
        <f t="shared" si="12"/>
        <v>1114047</v>
      </c>
      <c r="L121" s="196">
        <f t="shared" si="12"/>
        <v>1228722</v>
      </c>
      <c r="M121" s="196">
        <f t="shared" si="12"/>
        <v>1458072</v>
      </c>
      <c r="N121" s="196">
        <f t="shared" si="12"/>
        <v>1687422</v>
      </c>
      <c r="O121" s="196">
        <f t="shared" si="12"/>
        <v>1916772</v>
      </c>
      <c r="P121" s="197">
        <f t="shared" si="12"/>
        <v>2146122</v>
      </c>
      <c r="U121" s="456">
        <v>69500</v>
      </c>
      <c r="V121" s="346">
        <v>10</v>
      </c>
      <c r="W121" s="346">
        <v>100</v>
      </c>
      <c r="X121" s="346">
        <v>125</v>
      </c>
    </row>
    <row r="122" spans="1:24" ht="13.5" thickBot="1">
      <c r="A122" s="201"/>
      <c r="B122" s="202">
        <v>500</v>
      </c>
      <c r="C122" s="203">
        <f t="shared" si="12"/>
        <v>219747</v>
      </c>
      <c r="D122" s="203">
        <f t="shared" si="12"/>
        <v>348172</v>
      </c>
      <c r="E122" s="203">
        <f t="shared" si="12"/>
        <v>476597</v>
      </c>
      <c r="F122" s="203">
        <f t="shared" si="12"/>
        <v>605022</v>
      </c>
      <c r="G122" s="203">
        <f t="shared" si="12"/>
        <v>733447</v>
      </c>
      <c r="H122" s="203">
        <f t="shared" si="12"/>
        <v>861872</v>
      </c>
      <c r="I122" s="203">
        <f t="shared" si="12"/>
        <v>990297</v>
      </c>
      <c r="J122" s="203">
        <f t="shared" si="12"/>
        <v>1118722</v>
      </c>
      <c r="K122" s="203">
        <f t="shared" si="12"/>
        <v>1247147</v>
      </c>
      <c r="L122" s="203">
        <f t="shared" si="12"/>
        <v>1375572</v>
      </c>
      <c r="M122" s="203">
        <f t="shared" si="12"/>
        <v>1632422</v>
      </c>
      <c r="N122" s="203">
        <f t="shared" si="12"/>
        <v>1889272</v>
      </c>
      <c r="O122" s="203">
        <f t="shared" si="12"/>
        <v>2146122</v>
      </c>
      <c r="P122" s="204">
        <f t="shared" si="12"/>
        <v>2402972</v>
      </c>
      <c r="U122" s="456">
        <v>69597</v>
      </c>
      <c r="V122" s="346">
        <v>11</v>
      </c>
      <c r="W122" s="346">
        <v>75</v>
      </c>
      <c r="X122" s="346">
        <v>175</v>
      </c>
    </row>
    <row r="123" spans="1:24" ht="13.5" thickBot="1">
      <c r="A123" s="46"/>
      <c r="B123" s="205"/>
      <c r="C123" s="46"/>
      <c r="D123" s="46"/>
      <c r="E123" s="46"/>
      <c r="F123" s="46"/>
      <c r="G123" s="46"/>
      <c r="H123" s="46"/>
      <c r="I123" s="46"/>
      <c r="J123" s="46"/>
      <c r="K123" s="46"/>
      <c r="L123" s="46"/>
      <c r="M123" s="46"/>
      <c r="N123" s="46"/>
      <c r="O123" s="46"/>
      <c r="P123" s="46"/>
      <c r="U123" s="456">
        <v>69903</v>
      </c>
      <c r="V123" s="346">
        <v>9</v>
      </c>
      <c r="W123" s="346">
        <v>65</v>
      </c>
      <c r="X123" s="346">
        <v>225</v>
      </c>
    </row>
    <row r="124" spans="1:24" ht="14.25">
      <c r="A124" s="182"/>
      <c r="B124" s="183">
        <v>12</v>
      </c>
      <c r="C124" s="184" t="s">
        <v>417</v>
      </c>
      <c r="D124" s="185"/>
      <c r="E124" s="185"/>
      <c r="F124" s="185"/>
      <c r="G124" s="186" t="s">
        <v>418</v>
      </c>
      <c r="H124" s="185"/>
      <c r="I124" s="185"/>
      <c r="J124" s="185"/>
      <c r="K124" s="185"/>
      <c r="L124" s="185"/>
      <c r="M124" s="185"/>
      <c r="N124" s="187">
        <v>3</v>
      </c>
      <c r="O124" s="187" t="s">
        <v>419</v>
      </c>
      <c r="P124" s="188"/>
      <c r="U124" s="456">
        <v>70875</v>
      </c>
      <c r="V124" s="346">
        <v>5</v>
      </c>
      <c r="W124" s="346">
        <v>75</v>
      </c>
      <c r="X124" s="346">
        <v>250</v>
      </c>
    </row>
    <row r="125" spans="1:24" ht="12.75">
      <c r="A125" s="189"/>
      <c r="B125" s="190"/>
      <c r="C125" s="191">
        <v>85</v>
      </c>
      <c r="D125" s="192">
        <v>100</v>
      </c>
      <c r="E125" s="192">
        <v>125</v>
      </c>
      <c r="F125" s="192">
        <v>150</v>
      </c>
      <c r="G125" s="192">
        <v>175</v>
      </c>
      <c r="H125" s="192">
        <v>200</v>
      </c>
      <c r="I125" s="192">
        <v>225</v>
      </c>
      <c r="J125" s="192">
        <v>250</v>
      </c>
      <c r="K125" s="192">
        <v>275</v>
      </c>
      <c r="L125" s="192">
        <v>300</v>
      </c>
      <c r="M125" s="192">
        <v>350</v>
      </c>
      <c r="N125" s="192">
        <v>400</v>
      </c>
      <c r="O125" s="192">
        <v>450</v>
      </c>
      <c r="P125" s="193">
        <v>500</v>
      </c>
      <c r="U125" s="456">
        <v>71000</v>
      </c>
      <c r="V125" s="346">
        <v>10</v>
      </c>
      <c r="W125" s="346">
        <v>70</v>
      </c>
      <c r="X125" s="346">
        <v>200</v>
      </c>
    </row>
    <row r="126" spans="1:24" ht="12.75">
      <c r="A126" s="194"/>
      <c r="B126" s="195">
        <v>85</v>
      </c>
      <c r="C126" s="196">
        <f>($B126*C$125*$B$124)-($N$124*$B$124^2*($B126+C$125))+(4*$N$124^2*$B$124^3/3)</f>
        <v>33996</v>
      </c>
      <c r="D126" s="196">
        <f aca="true" t="shared" si="13" ref="C126:P139">($B126*D$125*$B$124)-($N$124*$B$124^2*($B126+D$125))+(4*$N$124^2*$B$124^3/3)</f>
        <v>42816</v>
      </c>
      <c r="E126" s="196">
        <f t="shared" si="13"/>
        <v>57516</v>
      </c>
      <c r="F126" s="196">
        <f t="shared" si="13"/>
        <v>72216</v>
      </c>
      <c r="G126" s="196">
        <f t="shared" si="13"/>
        <v>86916</v>
      </c>
      <c r="H126" s="196">
        <f t="shared" si="13"/>
        <v>101616</v>
      </c>
      <c r="I126" s="196">
        <f t="shared" si="13"/>
        <v>116316</v>
      </c>
      <c r="J126" s="196">
        <f t="shared" si="13"/>
        <v>131016</v>
      </c>
      <c r="K126" s="196">
        <f t="shared" si="13"/>
        <v>145716</v>
      </c>
      <c r="L126" s="196">
        <f t="shared" si="13"/>
        <v>160416</v>
      </c>
      <c r="M126" s="196">
        <f t="shared" si="13"/>
        <v>189816</v>
      </c>
      <c r="N126" s="196">
        <f t="shared" si="13"/>
        <v>219216</v>
      </c>
      <c r="O126" s="196">
        <f t="shared" si="13"/>
        <v>248616</v>
      </c>
      <c r="P126" s="197">
        <f t="shared" si="13"/>
        <v>278016</v>
      </c>
      <c r="U126" s="456">
        <v>71442</v>
      </c>
      <c r="V126" s="346">
        <v>6</v>
      </c>
      <c r="W126" s="346">
        <v>75</v>
      </c>
      <c r="X126" s="346">
        <v>225</v>
      </c>
    </row>
    <row r="127" spans="1:24" ht="15.75">
      <c r="A127" s="194" t="s">
        <v>420</v>
      </c>
      <c r="B127" s="198">
        <v>100</v>
      </c>
      <c r="C127" s="196">
        <f>($B127*C$125*$B$124)-($N$124*$B$124^2*($B127+C$125))+(4*$N$124^2*$B$124^3/3)</f>
        <v>42816</v>
      </c>
      <c r="D127" s="196">
        <f t="shared" si="13"/>
        <v>54336</v>
      </c>
      <c r="E127" s="196">
        <f t="shared" si="13"/>
        <v>73536</v>
      </c>
      <c r="F127" s="196">
        <f t="shared" si="13"/>
        <v>92736</v>
      </c>
      <c r="G127" s="196">
        <f t="shared" si="13"/>
        <v>111936</v>
      </c>
      <c r="H127" s="196">
        <f t="shared" si="13"/>
        <v>131136</v>
      </c>
      <c r="I127" s="196">
        <f t="shared" si="13"/>
        <v>150336</v>
      </c>
      <c r="J127" s="196">
        <f t="shared" si="13"/>
        <v>169536</v>
      </c>
      <c r="K127" s="196">
        <f t="shared" si="13"/>
        <v>188736</v>
      </c>
      <c r="L127" s="196">
        <f t="shared" si="13"/>
        <v>207936</v>
      </c>
      <c r="M127" s="196">
        <f t="shared" si="13"/>
        <v>246336</v>
      </c>
      <c r="N127" s="196">
        <f t="shared" si="13"/>
        <v>284736</v>
      </c>
      <c r="O127" s="196">
        <f t="shared" si="13"/>
        <v>323136</v>
      </c>
      <c r="P127" s="197">
        <f t="shared" si="13"/>
        <v>361536</v>
      </c>
      <c r="U127" s="456">
        <v>71797</v>
      </c>
      <c r="V127" s="346">
        <v>11</v>
      </c>
      <c r="W127" s="346">
        <v>100</v>
      </c>
      <c r="X127" s="346">
        <v>125</v>
      </c>
    </row>
    <row r="128" spans="1:24" ht="13.5">
      <c r="A128" s="194" t="s">
        <v>421</v>
      </c>
      <c r="B128" s="198">
        <v>125</v>
      </c>
      <c r="C128" s="196">
        <f t="shared" si="13"/>
        <v>57516</v>
      </c>
      <c r="D128" s="196">
        <f t="shared" si="13"/>
        <v>73536</v>
      </c>
      <c r="E128" s="196">
        <f t="shared" si="13"/>
        <v>100236</v>
      </c>
      <c r="F128" s="196">
        <f t="shared" si="13"/>
        <v>126936</v>
      </c>
      <c r="G128" s="196">
        <f t="shared" si="13"/>
        <v>153636</v>
      </c>
      <c r="H128" s="196">
        <f t="shared" si="13"/>
        <v>180336</v>
      </c>
      <c r="I128" s="196">
        <f t="shared" si="13"/>
        <v>207036</v>
      </c>
      <c r="J128" s="196">
        <f t="shared" si="13"/>
        <v>233736</v>
      </c>
      <c r="K128" s="196">
        <f t="shared" si="13"/>
        <v>260436</v>
      </c>
      <c r="L128" s="196">
        <f t="shared" si="13"/>
        <v>287136</v>
      </c>
      <c r="M128" s="196">
        <f t="shared" si="13"/>
        <v>340536</v>
      </c>
      <c r="N128" s="196">
        <f t="shared" si="13"/>
        <v>393936</v>
      </c>
      <c r="O128" s="196">
        <f t="shared" si="13"/>
        <v>447336</v>
      </c>
      <c r="P128" s="197">
        <f t="shared" si="13"/>
        <v>500736</v>
      </c>
      <c r="U128" s="456">
        <v>72216</v>
      </c>
      <c r="V128" s="346">
        <v>12</v>
      </c>
      <c r="W128" s="346">
        <v>85</v>
      </c>
      <c r="X128" s="346">
        <v>150</v>
      </c>
    </row>
    <row r="129" spans="1:24" ht="12.75">
      <c r="A129" s="194" t="s">
        <v>422</v>
      </c>
      <c r="B129" s="198">
        <v>150</v>
      </c>
      <c r="C129" s="196">
        <f t="shared" si="13"/>
        <v>72216</v>
      </c>
      <c r="D129" s="196">
        <f t="shared" si="13"/>
        <v>92736</v>
      </c>
      <c r="E129" s="196">
        <f t="shared" si="13"/>
        <v>126936</v>
      </c>
      <c r="F129" s="196">
        <f t="shared" si="13"/>
        <v>161136</v>
      </c>
      <c r="G129" s="196">
        <f t="shared" si="13"/>
        <v>195336</v>
      </c>
      <c r="H129" s="196">
        <f t="shared" si="13"/>
        <v>229536</v>
      </c>
      <c r="I129" s="196">
        <f t="shared" si="13"/>
        <v>263736</v>
      </c>
      <c r="J129" s="196">
        <f t="shared" si="13"/>
        <v>297936</v>
      </c>
      <c r="K129" s="196">
        <f t="shared" si="13"/>
        <v>332136</v>
      </c>
      <c r="L129" s="196">
        <f t="shared" si="13"/>
        <v>366336</v>
      </c>
      <c r="M129" s="196">
        <f t="shared" si="13"/>
        <v>434736</v>
      </c>
      <c r="N129" s="196">
        <f t="shared" si="13"/>
        <v>503136</v>
      </c>
      <c r="O129" s="196">
        <f t="shared" si="13"/>
        <v>571536</v>
      </c>
      <c r="P129" s="197">
        <f t="shared" si="13"/>
        <v>639936</v>
      </c>
      <c r="U129" s="456">
        <v>72366</v>
      </c>
      <c r="V129" s="346">
        <v>7</v>
      </c>
      <c r="W129" s="346">
        <v>100</v>
      </c>
      <c r="X129" s="346">
        <v>150</v>
      </c>
    </row>
    <row r="130" spans="1:24" ht="14.25">
      <c r="A130" s="194" t="s">
        <v>423</v>
      </c>
      <c r="B130" s="198">
        <v>175</v>
      </c>
      <c r="C130" s="196">
        <f t="shared" si="13"/>
        <v>86916</v>
      </c>
      <c r="D130" s="196">
        <f t="shared" si="13"/>
        <v>111936</v>
      </c>
      <c r="E130" s="196">
        <f t="shared" si="13"/>
        <v>153636</v>
      </c>
      <c r="F130" s="196">
        <f t="shared" si="13"/>
        <v>195336</v>
      </c>
      <c r="G130" s="196">
        <f t="shared" si="13"/>
        <v>237036</v>
      </c>
      <c r="H130" s="196">
        <f t="shared" si="13"/>
        <v>278736</v>
      </c>
      <c r="I130" s="196">
        <f t="shared" si="13"/>
        <v>320436</v>
      </c>
      <c r="J130" s="196">
        <f t="shared" si="13"/>
        <v>362136</v>
      </c>
      <c r="K130" s="196">
        <f t="shared" si="13"/>
        <v>403836</v>
      </c>
      <c r="L130" s="196">
        <f t="shared" si="13"/>
        <v>445536</v>
      </c>
      <c r="M130" s="196">
        <f t="shared" si="13"/>
        <v>528936</v>
      </c>
      <c r="N130" s="196">
        <f t="shared" si="13"/>
        <v>612336</v>
      </c>
      <c r="O130" s="196">
        <f t="shared" si="13"/>
        <v>695736</v>
      </c>
      <c r="P130" s="197">
        <f t="shared" si="13"/>
        <v>779136</v>
      </c>
      <c r="U130" s="456">
        <v>73344</v>
      </c>
      <c r="V130" s="346">
        <v>8</v>
      </c>
      <c r="W130" s="346">
        <v>75</v>
      </c>
      <c r="X130" s="346">
        <v>200</v>
      </c>
    </row>
    <row r="131" spans="1:24" ht="13.5">
      <c r="A131" s="194" t="s">
        <v>424</v>
      </c>
      <c r="B131" s="198">
        <v>200</v>
      </c>
      <c r="C131" s="196">
        <f t="shared" si="13"/>
        <v>101616</v>
      </c>
      <c r="D131" s="196">
        <f t="shared" si="13"/>
        <v>131136</v>
      </c>
      <c r="E131" s="196">
        <f t="shared" si="13"/>
        <v>180336</v>
      </c>
      <c r="F131" s="196">
        <f t="shared" si="13"/>
        <v>229536</v>
      </c>
      <c r="G131" s="196">
        <f t="shared" si="13"/>
        <v>278736</v>
      </c>
      <c r="H131" s="196">
        <f t="shared" si="13"/>
        <v>327936</v>
      </c>
      <c r="I131" s="196">
        <f t="shared" si="13"/>
        <v>377136</v>
      </c>
      <c r="J131" s="196">
        <f t="shared" si="13"/>
        <v>426336</v>
      </c>
      <c r="K131" s="196">
        <f t="shared" si="13"/>
        <v>475536</v>
      </c>
      <c r="L131" s="196">
        <f t="shared" si="13"/>
        <v>524736</v>
      </c>
      <c r="M131" s="196">
        <f t="shared" si="13"/>
        <v>623136</v>
      </c>
      <c r="N131" s="196">
        <f t="shared" si="13"/>
        <v>721536</v>
      </c>
      <c r="O131" s="196">
        <f t="shared" si="13"/>
        <v>819936</v>
      </c>
      <c r="P131" s="197">
        <f t="shared" si="13"/>
        <v>918336</v>
      </c>
      <c r="U131" s="456">
        <v>73536</v>
      </c>
      <c r="V131" s="346">
        <v>12</v>
      </c>
      <c r="W131" s="346">
        <v>100</v>
      </c>
      <c r="X131" s="346">
        <v>125</v>
      </c>
    </row>
    <row r="132" spans="1:24" ht="14.25">
      <c r="A132" s="194" t="s">
        <v>425</v>
      </c>
      <c r="B132" s="198">
        <v>225</v>
      </c>
      <c r="C132" s="196">
        <f t="shared" si="13"/>
        <v>116316</v>
      </c>
      <c r="D132" s="196">
        <f t="shared" si="13"/>
        <v>150336</v>
      </c>
      <c r="E132" s="196">
        <f t="shared" si="13"/>
        <v>207036</v>
      </c>
      <c r="F132" s="196">
        <f t="shared" si="13"/>
        <v>263736</v>
      </c>
      <c r="G132" s="196">
        <f t="shared" si="13"/>
        <v>320436</v>
      </c>
      <c r="H132" s="196">
        <f t="shared" si="13"/>
        <v>377136</v>
      </c>
      <c r="I132" s="196">
        <f t="shared" si="13"/>
        <v>433836</v>
      </c>
      <c r="J132" s="196">
        <f t="shared" si="13"/>
        <v>490536</v>
      </c>
      <c r="K132" s="196">
        <f t="shared" si="13"/>
        <v>547236</v>
      </c>
      <c r="L132" s="196">
        <f t="shared" si="13"/>
        <v>603936</v>
      </c>
      <c r="M132" s="196">
        <f t="shared" si="13"/>
        <v>717336</v>
      </c>
      <c r="N132" s="196">
        <f t="shared" si="13"/>
        <v>830736</v>
      </c>
      <c r="O132" s="196">
        <f t="shared" si="13"/>
        <v>944136</v>
      </c>
      <c r="P132" s="197">
        <f t="shared" si="13"/>
        <v>1057536</v>
      </c>
      <c r="U132" s="456">
        <v>73824</v>
      </c>
      <c r="V132" s="346">
        <v>8</v>
      </c>
      <c r="W132" s="346">
        <v>60</v>
      </c>
      <c r="X132" s="346">
        <v>275</v>
      </c>
    </row>
    <row r="133" spans="1:24" ht="12.75">
      <c r="A133" s="194" t="s">
        <v>426</v>
      </c>
      <c r="B133" s="198">
        <v>250</v>
      </c>
      <c r="C133" s="196">
        <f t="shared" si="13"/>
        <v>131016</v>
      </c>
      <c r="D133" s="196">
        <f t="shared" si="13"/>
        <v>169536</v>
      </c>
      <c r="E133" s="196">
        <f t="shared" si="13"/>
        <v>233736</v>
      </c>
      <c r="F133" s="196">
        <f t="shared" si="13"/>
        <v>297936</v>
      </c>
      <c r="G133" s="196">
        <f t="shared" si="13"/>
        <v>362136</v>
      </c>
      <c r="H133" s="196">
        <f t="shared" si="13"/>
        <v>426336</v>
      </c>
      <c r="I133" s="196">
        <f t="shared" si="13"/>
        <v>490536</v>
      </c>
      <c r="J133" s="196">
        <f t="shared" si="13"/>
        <v>554736</v>
      </c>
      <c r="K133" s="196">
        <f t="shared" si="13"/>
        <v>618936</v>
      </c>
      <c r="L133" s="196">
        <f t="shared" si="13"/>
        <v>683136</v>
      </c>
      <c r="M133" s="196">
        <f t="shared" si="13"/>
        <v>811536</v>
      </c>
      <c r="N133" s="196">
        <f t="shared" si="13"/>
        <v>939936</v>
      </c>
      <c r="O133" s="196">
        <f t="shared" si="13"/>
        <v>1068336</v>
      </c>
      <c r="P133" s="197">
        <f t="shared" si="13"/>
        <v>1196736</v>
      </c>
      <c r="U133" s="456">
        <v>73992</v>
      </c>
      <c r="V133" s="346">
        <v>6</v>
      </c>
      <c r="W133" s="346">
        <v>50</v>
      </c>
      <c r="X133" s="346">
        <v>400</v>
      </c>
    </row>
    <row r="134" spans="1:24" ht="16.5">
      <c r="A134" s="199" t="s">
        <v>427</v>
      </c>
      <c r="B134" s="198">
        <v>275</v>
      </c>
      <c r="C134" s="196">
        <f t="shared" si="13"/>
        <v>145716</v>
      </c>
      <c r="D134" s="196">
        <f t="shared" si="13"/>
        <v>188736</v>
      </c>
      <c r="E134" s="196">
        <f t="shared" si="13"/>
        <v>260436</v>
      </c>
      <c r="F134" s="196">
        <f t="shared" si="13"/>
        <v>332136</v>
      </c>
      <c r="G134" s="196">
        <f t="shared" si="13"/>
        <v>403836</v>
      </c>
      <c r="H134" s="196">
        <f t="shared" si="13"/>
        <v>475536</v>
      </c>
      <c r="I134" s="196">
        <f t="shared" si="13"/>
        <v>547236</v>
      </c>
      <c r="J134" s="196">
        <f t="shared" si="13"/>
        <v>618936</v>
      </c>
      <c r="K134" s="196">
        <f t="shared" si="13"/>
        <v>690636</v>
      </c>
      <c r="L134" s="196">
        <f t="shared" si="13"/>
        <v>762336</v>
      </c>
      <c r="M134" s="196">
        <f t="shared" si="13"/>
        <v>905736</v>
      </c>
      <c r="N134" s="196">
        <f t="shared" si="13"/>
        <v>1049136</v>
      </c>
      <c r="O134" s="196">
        <f t="shared" si="13"/>
        <v>1192536</v>
      </c>
      <c r="P134" s="197">
        <f t="shared" si="13"/>
        <v>1335936</v>
      </c>
      <c r="U134" s="456">
        <v>74625</v>
      </c>
      <c r="V134" s="346">
        <v>5</v>
      </c>
      <c r="W134" s="346">
        <v>125</v>
      </c>
      <c r="X134" s="346">
        <v>150</v>
      </c>
    </row>
    <row r="135" spans="1:24" ht="12.75">
      <c r="A135" s="200"/>
      <c r="B135" s="198">
        <v>300</v>
      </c>
      <c r="C135" s="196">
        <f t="shared" si="13"/>
        <v>160416</v>
      </c>
      <c r="D135" s="196">
        <f t="shared" si="13"/>
        <v>207936</v>
      </c>
      <c r="E135" s="196">
        <f t="shared" si="13"/>
        <v>287136</v>
      </c>
      <c r="F135" s="196">
        <f t="shared" si="13"/>
        <v>366336</v>
      </c>
      <c r="G135" s="196">
        <f t="shared" si="13"/>
        <v>445536</v>
      </c>
      <c r="H135" s="196">
        <f t="shared" si="13"/>
        <v>524736</v>
      </c>
      <c r="I135" s="196">
        <f t="shared" si="13"/>
        <v>603936</v>
      </c>
      <c r="J135" s="196">
        <f t="shared" si="13"/>
        <v>683136</v>
      </c>
      <c r="K135" s="196">
        <f t="shared" si="13"/>
        <v>762336</v>
      </c>
      <c r="L135" s="196">
        <f t="shared" si="13"/>
        <v>841536</v>
      </c>
      <c r="M135" s="196">
        <f t="shared" si="13"/>
        <v>999936</v>
      </c>
      <c r="N135" s="196">
        <f t="shared" si="13"/>
        <v>1158336</v>
      </c>
      <c r="O135" s="196">
        <f t="shared" si="13"/>
        <v>1316736</v>
      </c>
      <c r="P135" s="197">
        <f t="shared" si="13"/>
        <v>1475136</v>
      </c>
      <c r="U135" s="456">
        <v>76741</v>
      </c>
      <c r="V135" s="346">
        <v>7</v>
      </c>
      <c r="W135" s="346">
        <v>125</v>
      </c>
      <c r="X135" s="346">
        <v>125</v>
      </c>
    </row>
    <row r="136" spans="1:24" ht="13.5">
      <c r="A136" s="199" t="s">
        <v>428</v>
      </c>
      <c r="B136" s="198">
        <v>350</v>
      </c>
      <c r="C136" s="196">
        <f t="shared" si="13"/>
        <v>189816</v>
      </c>
      <c r="D136" s="196">
        <f t="shared" si="13"/>
        <v>246336</v>
      </c>
      <c r="E136" s="196">
        <f t="shared" si="13"/>
        <v>340536</v>
      </c>
      <c r="F136" s="196">
        <f t="shared" si="13"/>
        <v>434736</v>
      </c>
      <c r="G136" s="196">
        <f t="shared" si="13"/>
        <v>528936</v>
      </c>
      <c r="H136" s="196">
        <f t="shared" si="13"/>
        <v>623136</v>
      </c>
      <c r="I136" s="196">
        <f t="shared" si="13"/>
        <v>717336</v>
      </c>
      <c r="J136" s="196">
        <f t="shared" si="13"/>
        <v>811536</v>
      </c>
      <c r="K136" s="196">
        <f t="shared" si="13"/>
        <v>905736</v>
      </c>
      <c r="L136" s="196">
        <f t="shared" si="13"/>
        <v>999936</v>
      </c>
      <c r="M136" s="196">
        <f t="shared" si="13"/>
        <v>1188336</v>
      </c>
      <c r="N136" s="196">
        <f t="shared" si="13"/>
        <v>1376736</v>
      </c>
      <c r="O136" s="196">
        <f t="shared" si="13"/>
        <v>1565136</v>
      </c>
      <c r="P136" s="197">
        <f t="shared" si="13"/>
        <v>1753536</v>
      </c>
      <c r="U136" s="456">
        <v>76923</v>
      </c>
      <c r="V136" s="346">
        <v>9</v>
      </c>
      <c r="W136" s="346">
        <v>75</v>
      </c>
      <c r="X136" s="346">
        <v>200</v>
      </c>
    </row>
    <row r="137" spans="1:24" ht="15">
      <c r="A137" s="199" t="s">
        <v>429</v>
      </c>
      <c r="B137" s="198">
        <v>400</v>
      </c>
      <c r="C137" s="196">
        <f t="shared" si="13"/>
        <v>219216</v>
      </c>
      <c r="D137" s="196">
        <f t="shared" si="13"/>
        <v>284736</v>
      </c>
      <c r="E137" s="196">
        <f t="shared" si="13"/>
        <v>393936</v>
      </c>
      <c r="F137" s="196">
        <f t="shared" si="13"/>
        <v>503136</v>
      </c>
      <c r="G137" s="196">
        <f t="shared" si="13"/>
        <v>612336</v>
      </c>
      <c r="H137" s="196">
        <f t="shared" si="13"/>
        <v>721536</v>
      </c>
      <c r="I137" s="196">
        <f t="shared" si="13"/>
        <v>830736</v>
      </c>
      <c r="J137" s="196">
        <f t="shared" si="13"/>
        <v>939936</v>
      </c>
      <c r="K137" s="196">
        <f t="shared" si="13"/>
        <v>1049136</v>
      </c>
      <c r="L137" s="196">
        <f t="shared" si="13"/>
        <v>1158336</v>
      </c>
      <c r="M137" s="196">
        <f t="shared" si="13"/>
        <v>1376736</v>
      </c>
      <c r="N137" s="196">
        <f t="shared" si="13"/>
        <v>1595136</v>
      </c>
      <c r="O137" s="196">
        <f t="shared" si="13"/>
        <v>1813536</v>
      </c>
      <c r="P137" s="197">
        <f t="shared" si="13"/>
        <v>2031936</v>
      </c>
      <c r="U137" s="456">
        <v>77892</v>
      </c>
      <c r="V137" s="346">
        <v>6</v>
      </c>
      <c r="W137" s="346">
        <v>100</v>
      </c>
      <c r="X137" s="346">
        <v>175</v>
      </c>
    </row>
    <row r="138" spans="1:24" ht="13.5">
      <c r="A138" s="199" t="s">
        <v>424</v>
      </c>
      <c r="B138" s="198">
        <v>450</v>
      </c>
      <c r="C138" s="196">
        <f t="shared" si="13"/>
        <v>248616</v>
      </c>
      <c r="D138" s="196">
        <f t="shared" si="13"/>
        <v>323136</v>
      </c>
      <c r="E138" s="196">
        <f t="shared" si="13"/>
        <v>447336</v>
      </c>
      <c r="F138" s="196">
        <f t="shared" si="13"/>
        <v>571536</v>
      </c>
      <c r="G138" s="196">
        <f t="shared" si="13"/>
        <v>695736</v>
      </c>
      <c r="H138" s="196">
        <f t="shared" si="13"/>
        <v>819936</v>
      </c>
      <c r="I138" s="196">
        <f t="shared" si="13"/>
        <v>944136</v>
      </c>
      <c r="J138" s="196">
        <f t="shared" si="13"/>
        <v>1068336</v>
      </c>
      <c r="K138" s="196">
        <f t="shared" si="13"/>
        <v>1192536</v>
      </c>
      <c r="L138" s="196">
        <f t="shared" si="13"/>
        <v>1316736</v>
      </c>
      <c r="M138" s="196">
        <f t="shared" si="13"/>
        <v>1565136</v>
      </c>
      <c r="N138" s="196">
        <f t="shared" si="13"/>
        <v>1813536</v>
      </c>
      <c r="O138" s="196">
        <f t="shared" si="13"/>
        <v>2061936</v>
      </c>
      <c r="P138" s="197">
        <f t="shared" si="13"/>
        <v>2310336</v>
      </c>
      <c r="U138" s="456">
        <v>77966</v>
      </c>
      <c r="V138" s="346">
        <v>7</v>
      </c>
      <c r="W138" s="346">
        <v>50</v>
      </c>
      <c r="X138" s="346">
        <v>400</v>
      </c>
    </row>
    <row r="139" spans="1:24" ht="13.5" thickBot="1">
      <c r="A139" s="201"/>
      <c r="B139" s="202">
        <v>500</v>
      </c>
      <c r="C139" s="203">
        <f t="shared" si="13"/>
        <v>278016</v>
      </c>
      <c r="D139" s="203">
        <f t="shared" si="13"/>
        <v>361536</v>
      </c>
      <c r="E139" s="203">
        <f t="shared" si="13"/>
        <v>500736</v>
      </c>
      <c r="F139" s="203">
        <f t="shared" si="13"/>
        <v>639936</v>
      </c>
      <c r="G139" s="203">
        <f t="shared" si="13"/>
        <v>779136</v>
      </c>
      <c r="H139" s="203">
        <f t="shared" si="13"/>
        <v>918336</v>
      </c>
      <c r="I139" s="203">
        <f t="shared" si="13"/>
        <v>1057536</v>
      </c>
      <c r="J139" s="203">
        <f t="shared" si="13"/>
        <v>1196736</v>
      </c>
      <c r="K139" s="203">
        <f t="shared" si="13"/>
        <v>1335936</v>
      </c>
      <c r="L139" s="203">
        <f t="shared" si="13"/>
        <v>1475136</v>
      </c>
      <c r="M139" s="203">
        <f t="shared" si="13"/>
        <v>1753536</v>
      </c>
      <c r="N139" s="203">
        <f t="shared" si="13"/>
        <v>2031936</v>
      </c>
      <c r="O139" s="203">
        <f t="shared" si="13"/>
        <v>2310336</v>
      </c>
      <c r="P139" s="204">
        <f t="shared" si="13"/>
        <v>2588736</v>
      </c>
      <c r="U139" s="456">
        <v>78141</v>
      </c>
      <c r="V139" s="346">
        <v>7</v>
      </c>
      <c r="W139" s="346">
        <v>75</v>
      </c>
      <c r="X139" s="346">
        <v>225</v>
      </c>
    </row>
    <row r="140" spans="1:24" ht="12.75">
      <c r="A140" s="46"/>
      <c r="B140" s="205"/>
      <c r="C140" s="46"/>
      <c r="D140" s="46"/>
      <c r="E140" s="46"/>
      <c r="F140" s="46"/>
      <c r="G140" s="46"/>
      <c r="H140" s="46"/>
      <c r="I140" s="46"/>
      <c r="J140" s="46"/>
      <c r="K140" s="46"/>
      <c r="L140" s="46"/>
      <c r="M140" s="46"/>
      <c r="N140" s="46"/>
      <c r="O140" s="46"/>
      <c r="P140" s="46"/>
      <c r="U140" s="456">
        <v>78144</v>
      </c>
      <c r="V140" s="346">
        <v>8</v>
      </c>
      <c r="W140" s="346">
        <v>100</v>
      </c>
      <c r="X140" s="346">
        <v>150</v>
      </c>
    </row>
    <row r="141" spans="21:24" ht="12.75">
      <c r="U141" s="456">
        <v>78375</v>
      </c>
      <c r="V141" s="346">
        <v>5</v>
      </c>
      <c r="W141" s="346">
        <v>75</v>
      </c>
      <c r="X141" s="346">
        <v>275</v>
      </c>
    </row>
    <row r="142" spans="21:24" ht="12.75">
      <c r="U142" s="456">
        <v>78453</v>
      </c>
      <c r="V142" s="346">
        <v>9</v>
      </c>
      <c r="W142" s="346">
        <v>65</v>
      </c>
      <c r="X142" s="346">
        <v>250</v>
      </c>
    </row>
    <row r="143" spans="3:24" ht="12.75">
      <c r="C143" s="455" t="s">
        <v>562</v>
      </c>
      <c r="D143" s="455" t="s">
        <v>563</v>
      </c>
      <c r="E143" s="455" t="s">
        <v>560</v>
      </c>
      <c r="U143" s="456">
        <v>79000</v>
      </c>
      <c r="V143" s="346">
        <v>5</v>
      </c>
      <c r="W143" s="346">
        <v>100</v>
      </c>
      <c r="X143" s="346">
        <v>200</v>
      </c>
    </row>
    <row r="144" spans="21:24" ht="12.75">
      <c r="U144" s="456">
        <v>79500</v>
      </c>
      <c r="V144" s="346">
        <v>10</v>
      </c>
      <c r="W144" s="346">
        <v>75</v>
      </c>
      <c r="X144" s="346">
        <v>200</v>
      </c>
    </row>
    <row r="145" spans="21:24" ht="12.75">
      <c r="U145" s="456">
        <v>79992</v>
      </c>
      <c r="V145" s="346">
        <v>6</v>
      </c>
      <c r="W145" s="346">
        <v>75</v>
      </c>
      <c r="X145" s="346">
        <v>250</v>
      </c>
    </row>
    <row r="146" spans="21:24" ht="12.75">
      <c r="U146" s="456">
        <v>81000</v>
      </c>
      <c r="V146" s="346">
        <v>10</v>
      </c>
      <c r="W146" s="346">
        <v>70</v>
      </c>
      <c r="X146" s="346">
        <v>225</v>
      </c>
    </row>
    <row r="147" spans="21:24" ht="12.75">
      <c r="U147" s="456">
        <v>81024</v>
      </c>
      <c r="V147" s="346">
        <v>8</v>
      </c>
      <c r="W147" s="346">
        <v>60</v>
      </c>
      <c r="X147" s="346">
        <v>300</v>
      </c>
    </row>
    <row r="148" spans="21:24" ht="12.75">
      <c r="U148" s="456">
        <v>81147</v>
      </c>
      <c r="V148" s="346">
        <v>11</v>
      </c>
      <c r="W148" s="346">
        <v>75</v>
      </c>
      <c r="X148" s="346">
        <v>200</v>
      </c>
    </row>
    <row r="149" spans="21:24" ht="12.75">
      <c r="U149" s="456">
        <v>82998</v>
      </c>
      <c r="V149" s="346">
        <v>9</v>
      </c>
      <c r="W149" s="346">
        <v>100</v>
      </c>
      <c r="X149" s="346">
        <v>150</v>
      </c>
    </row>
    <row r="150" spans="21:24" ht="12.75">
      <c r="U150" s="456">
        <v>83144</v>
      </c>
      <c r="V150" s="346">
        <v>8</v>
      </c>
      <c r="W150" s="346">
        <v>125</v>
      </c>
      <c r="X150" s="346">
        <v>125</v>
      </c>
    </row>
    <row r="151" spans="21:24" ht="12.75">
      <c r="U151" s="456">
        <v>83544</v>
      </c>
      <c r="V151" s="346">
        <v>8</v>
      </c>
      <c r="W151" s="346">
        <v>75</v>
      </c>
      <c r="X151" s="346">
        <v>225</v>
      </c>
    </row>
    <row r="152" spans="21:24" ht="12.75">
      <c r="U152" s="456">
        <v>85250</v>
      </c>
      <c r="V152" s="346">
        <v>5</v>
      </c>
      <c r="W152" s="346">
        <v>50</v>
      </c>
      <c r="X152" s="346">
        <v>500</v>
      </c>
    </row>
    <row r="153" spans="21:24" ht="12.75">
      <c r="U153" s="456">
        <v>85392</v>
      </c>
      <c r="V153" s="346">
        <v>6</v>
      </c>
      <c r="W153" s="346">
        <v>125</v>
      </c>
      <c r="X153" s="346">
        <v>150</v>
      </c>
    </row>
    <row r="154" spans="21:24" ht="12.75">
      <c r="U154" s="456">
        <v>85875</v>
      </c>
      <c r="V154" s="346">
        <v>5</v>
      </c>
      <c r="W154" s="346">
        <v>75</v>
      </c>
      <c r="X154" s="346">
        <v>300</v>
      </c>
    </row>
    <row r="155" spans="21:24" ht="12.75">
      <c r="U155" s="456">
        <v>86191</v>
      </c>
      <c r="V155" s="346">
        <v>7</v>
      </c>
      <c r="W155" s="346">
        <v>100</v>
      </c>
      <c r="X155" s="346">
        <v>175</v>
      </c>
    </row>
    <row r="156" spans="21:24" ht="12.75">
      <c r="U156" s="456">
        <v>86916</v>
      </c>
      <c r="V156" s="346">
        <v>12</v>
      </c>
      <c r="W156" s="346">
        <v>85</v>
      </c>
      <c r="X156" s="346">
        <v>175</v>
      </c>
    </row>
    <row r="157" spans="21:24" ht="12.75">
      <c r="U157" s="456">
        <v>87000</v>
      </c>
      <c r="V157" s="346">
        <v>10</v>
      </c>
      <c r="W157" s="346">
        <v>100</v>
      </c>
      <c r="X157" s="346">
        <v>150</v>
      </c>
    </row>
    <row r="158" spans="21:24" ht="12.75">
      <c r="U158" s="456">
        <v>87003</v>
      </c>
      <c r="V158" s="346">
        <v>9</v>
      </c>
      <c r="W158" s="346">
        <v>65</v>
      </c>
      <c r="X158" s="346">
        <v>275</v>
      </c>
    </row>
    <row r="159" spans="21:24" ht="12.75">
      <c r="U159" s="456">
        <v>87591</v>
      </c>
      <c r="V159" s="346">
        <v>7</v>
      </c>
      <c r="W159" s="346">
        <v>75</v>
      </c>
      <c r="X159" s="346">
        <v>250</v>
      </c>
    </row>
    <row r="160" spans="21:24" ht="12.75">
      <c r="U160" s="456">
        <v>87723</v>
      </c>
      <c r="V160" s="346">
        <v>9</v>
      </c>
      <c r="W160" s="346">
        <v>75</v>
      </c>
      <c r="X160" s="346">
        <v>225</v>
      </c>
    </row>
    <row r="161" spans="21:24" ht="12.75">
      <c r="U161" s="456">
        <v>88375</v>
      </c>
      <c r="V161" s="346">
        <v>5</v>
      </c>
      <c r="W161" s="346">
        <v>125</v>
      </c>
      <c r="X161" s="346">
        <v>175</v>
      </c>
    </row>
    <row r="162" spans="21:24" ht="12.75">
      <c r="U162" s="456">
        <v>88542</v>
      </c>
      <c r="V162" s="346">
        <v>6</v>
      </c>
      <c r="W162" s="346">
        <v>75</v>
      </c>
      <c r="X162" s="346">
        <v>275</v>
      </c>
    </row>
    <row r="163" spans="21:24" ht="12.75">
      <c r="U163" s="456">
        <v>88623</v>
      </c>
      <c r="V163" s="346">
        <v>9</v>
      </c>
      <c r="W163" s="346">
        <v>125</v>
      </c>
      <c r="X163" s="346">
        <v>125</v>
      </c>
    </row>
    <row r="164" spans="21:24" ht="12.75">
      <c r="U164" s="456">
        <v>89625</v>
      </c>
      <c r="V164" s="346">
        <v>5</v>
      </c>
      <c r="W164" s="346">
        <v>100</v>
      </c>
      <c r="X164" s="346">
        <v>225</v>
      </c>
    </row>
    <row r="165" spans="21:24" ht="12.75">
      <c r="U165" s="456">
        <v>90192</v>
      </c>
      <c r="V165" s="346">
        <v>6</v>
      </c>
      <c r="W165" s="346">
        <v>100</v>
      </c>
      <c r="X165" s="346">
        <v>200</v>
      </c>
    </row>
    <row r="166" spans="21:24" ht="12.75">
      <c r="U166" s="456">
        <v>90222</v>
      </c>
      <c r="V166" s="346">
        <v>11</v>
      </c>
      <c r="W166" s="346">
        <v>100</v>
      </c>
      <c r="X166" s="346">
        <v>150</v>
      </c>
    </row>
    <row r="167" spans="21:24" ht="12.75">
      <c r="U167" s="456">
        <v>91000</v>
      </c>
      <c r="V167" s="346">
        <v>10</v>
      </c>
      <c r="W167" s="346">
        <v>70</v>
      </c>
      <c r="X167" s="346">
        <v>250</v>
      </c>
    </row>
    <row r="168" spans="21:24" ht="12.75">
      <c r="U168" s="456">
        <v>91500</v>
      </c>
      <c r="V168" s="346">
        <v>5</v>
      </c>
      <c r="W168" s="346">
        <v>150</v>
      </c>
      <c r="X168" s="346">
        <v>150</v>
      </c>
    </row>
    <row r="169" spans="21:24" ht="12.75">
      <c r="U169" s="456">
        <v>92697</v>
      </c>
      <c r="V169" s="346">
        <v>11</v>
      </c>
      <c r="W169" s="346">
        <v>75</v>
      </c>
      <c r="X169" s="346">
        <v>225</v>
      </c>
    </row>
    <row r="170" spans="21:24" ht="12.75">
      <c r="U170" s="456">
        <v>92736</v>
      </c>
      <c r="V170" s="346">
        <v>12</v>
      </c>
      <c r="W170" s="346">
        <v>100</v>
      </c>
      <c r="X170" s="346">
        <v>150</v>
      </c>
    </row>
    <row r="171" spans="21:24" ht="12.75">
      <c r="U171" s="456">
        <v>93192</v>
      </c>
      <c r="V171" s="346">
        <v>6</v>
      </c>
      <c r="W171" s="346">
        <v>50</v>
      </c>
      <c r="X171" s="346">
        <v>500</v>
      </c>
    </row>
    <row r="172" spans="21:24" ht="12.75">
      <c r="U172" s="456">
        <v>93250</v>
      </c>
      <c r="V172" s="346">
        <v>10</v>
      </c>
      <c r="W172" s="346">
        <v>125</v>
      </c>
      <c r="X172" s="346">
        <v>125</v>
      </c>
    </row>
    <row r="173" spans="21:24" ht="12.75">
      <c r="U173" s="456">
        <v>93344</v>
      </c>
      <c r="V173" s="346">
        <v>8</v>
      </c>
      <c r="W173" s="346">
        <v>100</v>
      </c>
      <c r="X173" s="346">
        <v>175</v>
      </c>
    </row>
    <row r="174" spans="21:24" ht="12.75">
      <c r="U174" s="456">
        <v>93744</v>
      </c>
      <c r="V174" s="346">
        <v>8</v>
      </c>
      <c r="W174" s="346">
        <v>75</v>
      </c>
      <c r="X174" s="346">
        <v>250</v>
      </c>
    </row>
    <row r="175" spans="21:24" ht="12.75">
      <c r="U175" s="456">
        <v>94941</v>
      </c>
      <c r="V175" s="346">
        <v>7</v>
      </c>
      <c r="W175" s="346">
        <v>125</v>
      </c>
      <c r="X175" s="346">
        <v>150</v>
      </c>
    </row>
    <row r="176" spans="21:24" ht="12.75">
      <c r="U176" s="456">
        <v>95424</v>
      </c>
      <c r="V176" s="346">
        <v>8</v>
      </c>
      <c r="W176" s="346">
        <v>60</v>
      </c>
      <c r="X176" s="346">
        <v>350</v>
      </c>
    </row>
    <row r="177" spans="21:24" ht="12.75">
      <c r="U177" s="456">
        <v>95553</v>
      </c>
      <c r="V177" s="346">
        <v>9</v>
      </c>
      <c r="W177" s="346">
        <v>65</v>
      </c>
      <c r="X177" s="346">
        <v>300</v>
      </c>
    </row>
    <row r="178" spans="21:24" ht="12.75">
      <c r="U178" s="456">
        <v>97041</v>
      </c>
      <c r="V178" s="346">
        <v>7</v>
      </c>
      <c r="W178" s="346">
        <v>75</v>
      </c>
      <c r="X178" s="346">
        <v>275</v>
      </c>
    </row>
    <row r="179" spans="21:24" ht="12.75">
      <c r="U179" s="456">
        <v>97092</v>
      </c>
      <c r="V179" s="346">
        <v>6</v>
      </c>
      <c r="W179" s="346">
        <v>75</v>
      </c>
      <c r="X179" s="346">
        <v>300</v>
      </c>
    </row>
    <row r="180" spans="21:24" ht="12.75">
      <c r="U180" s="456">
        <v>97097</v>
      </c>
      <c r="V180" s="346">
        <v>11</v>
      </c>
      <c r="W180" s="346">
        <v>125</v>
      </c>
      <c r="X180" s="346">
        <v>125</v>
      </c>
    </row>
    <row r="181" spans="21:24" ht="12.75">
      <c r="U181" s="456">
        <v>98266</v>
      </c>
      <c r="V181" s="346">
        <v>7</v>
      </c>
      <c r="W181" s="346">
        <v>50</v>
      </c>
      <c r="X181" s="346">
        <v>500</v>
      </c>
    </row>
    <row r="182" spans="21:24" ht="12.75">
      <c r="U182" s="456">
        <v>98523</v>
      </c>
      <c r="V182" s="346">
        <v>9</v>
      </c>
      <c r="W182" s="346">
        <v>75</v>
      </c>
      <c r="X182" s="346">
        <v>250</v>
      </c>
    </row>
    <row r="183" spans="21:24" ht="12.75">
      <c r="U183" s="456">
        <v>99423</v>
      </c>
      <c r="V183" s="346">
        <v>9</v>
      </c>
      <c r="W183" s="346">
        <v>100</v>
      </c>
      <c r="X183" s="346">
        <v>175</v>
      </c>
    </row>
    <row r="184" spans="21:24" ht="12.75">
      <c r="U184" s="456">
        <v>100016</v>
      </c>
      <c r="V184" s="346">
        <v>7</v>
      </c>
      <c r="W184" s="346">
        <v>100</v>
      </c>
      <c r="X184" s="346">
        <v>200</v>
      </c>
    </row>
    <row r="185" spans="21:24" ht="12.75">
      <c r="U185" s="456">
        <v>100236</v>
      </c>
      <c r="V185" s="346">
        <v>12</v>
      </c>
      <c r="W185" s="346">
        <v>125</v>
      </c>
      <c r="X185" s="346">
        <v>125</v>
      </c>
    </row>
    <row r="186" spans="21:24" ht="12.75">
      <c r="U186" s="456">
        <v>100250</v>
      </c>
      <c r="V186" s="346">
        <v>5</v>
      </c>
      <c r="W186" s="346">
        <v>100</v>
      </c>
      <c r="X186" s="346">
        <v>250</v>
      </c>
    </row>
    <row r="187" spans="21:24" ht="12.75">
      <c r="U187" s="456">
        <v>100875</v>
      </c>
      <c r="V187" s="346">
        <v>5</v>
      </c>
      <c r="W187" s="346">
        <v>75</v>
      </c>
      <c r="X187" s="346">
        <v>350</v>
      </c>
    </row>
    <row r="188" spans="21:24" ht="12.75">
      <c r="U188" s="456">
        <v>101000</v>
      </c>
      <c r="V188" s="346">
        <v>10</v>
      </c>
      <c r="W188" s="346">
        <v>70</v>
      </c>
      <c r="X188" s="346">
        <v>275</v>
      </c>
    </row>
    <row r="189" spans="21:24" ht="12.75">
      <c r="U189" s="456">
        <v>101442</v>
      </c>
      <c r="V189" s="346">
        <v>6</v>
      </c>
      <c r="W189" s="346">
        <v>125</v>
      </c>
      <c r="X189" s="346">
        <v>175</v>
      </c>
    </row>
    <row r="190" spans="21:24" ht="12.75">
      <c r="U190" s="456">
        <v>101616</v>
      </c>
      <c r="V190" s="346">
        <v>12</v>
      </c>
      <c r="W190" s="346">
        <v>85</v>
      </c>
      <c r="X190" s="346">
        <v>200</v>
      </c>
    </row>
    <row r="191" spans="21:24" ht="12.75">
      <c r="U191" s="456">
        <v>102000</v>
      </c>
      <c r="V191" s="346">
        <v>10</v>
      </c>
      <c r="W191" s="346">
        <v>75</v>
      </c>
      <c r="X191" s="346">
        <v>250</v>
      </c>
    </row>
    <row r="192" spans="21:24" ht="12.75">
      <c r="U192" s="456">
        <v>102125</v>
      </c>
      <c r="V192" s="346">
        <v>5</v>
      </c>
      <c r="W192" s="346">
        <v>125</v>
      </c>
      <c r="X192" s="346">
        <v>200</v>
      </c>
    </row>
    <row r="193" spans="21:24" ht="12.75">
      <c r="U193" s="456">
        <v>102492</v>
      </c>
      <c r="V193" s="346">
        <v>6</v>
      </c>
      <c r="W193" s="346">
        <v>100</v>
      </c>
      <c r="X193" s="346">
        <v>225</v>
      </c>
    </row>
    <row r="194" spans="21:24" ht="12.75">
      <c r="U194" s="456">
        <v>103344</v>
      </c>
      <c r="V194" s="346">
        <v>8</v>
      </c>
      <c r="W194" s="346">
        <v>125</v>
      </c>
      <c r="X194" s="346">
        <v>150</v>
      </c>
    </row>
    <row r="195" spans="21:24" ht="12.75">
      <c r="U195" s="456">
        <v>103944</v>
      </c>
      <c r="V195" s="346">
        <v>8</v>
      </c>
      <c r="W195" s="346">
        <v>75</v>
      </c>
      <c r="X195" s="346">
        <v>275</v>
      </c>
    </row>
    <row r="196" spans="21:24" ht="12.75">
      <c r="U196" s="456">
        <v>104247</v>
      </c>
      <c r="V196" s="346">
        <v>11</v>
      </c>
      <c r="W196" s="346">
        <v>75</v>
      </c>
      <c r="X196" s="346">
        <v>250</v>
      </c>
    </row>
    <row r="197" spans="21:24" ht="12.75">
      <c r="U197" s="456">
        <v>104500</v>
      </c>
      <c r="V197" s="346">
        <v>10</v>
      </c>
      <c r="W197" s="346">
        <v>100</v>
      </c>
      <c r="X197" s="346">
        <v>175</v>
      </c>
    </row>
    <row r="198" spans="21:24" ht="12.75">
      <c r="U198" s="456">
        <v>105192</v>
      </c>
      <c r="V198" s="346">
        <v>6</v>
      </c>
      <c r="W198" s="346">
        <v>150</v>
      </c>
      <c r="X198" s="346">
        <v>150</v>
      </c>
    </row>
    <row r="199" spans="21:24" ht="12.75">
      <c r="U199" s="456">
        <v>106491</v>
      </c>
      <c r="V199" s="346">
        <v>7</v>
      </c>
      <c r="W199" s="346">
        <v>75</v>
      </c>
      <c r="X199" s="346">
        <v>300</v>
      </c>
    </row>
    <row r="200" spans="21:24" ht="12.75">
      <c r="U200" s="456">
        <v>108375</v>
      </c>
      <c r="V200" s="346">
        <v>5</v>
      </c>
      <c r="W200" s="346">
        <v>150</v>
      </c>
      <c r="X200" s="346">
        <v>175</v>
      </c>
    </row>
    <row r="201" spans="21:24" ht="12.75">
      <c r="U201" s="456">
        <v>108544</v>
      </c>
      <c r="V201" s="346">
        <v>8</v>
      </c>
      <c r="W201" s="346">
        <v>100</v>
      </c>
      <c r="X201" s="346">
        <v>200</v>
      </c>
    </row>
    <row r="202" spans="21:24" ht="12.75">
      <c r="U202" s="456">
        <v>108647</v>
      </c>
      <c r="V202" s="346">
        <v>11</v>
      </c>
      <c r="W202" s="346">
        <v>100</v>
      </c>
      <c r="X202" s="346">
        <v>175</v>
      </c>
    </row>
    <row r="203" spans="21:24" ht="12.75">
      <c r="U203" s="456">
        <v>109323</v>
      </c>
      <c r="V203" s="346">
        <v>9</v>
      </c>
      <c r="W203" s="346">
        <v>75</v>
      </c>
      <c r="X203" s="346">
        <v>275</v>
      </c>
    </row>
    <row r="204" spans="21:24" ht="12.75">
      <c r="U204" s="456">
        <v>109824</v>
      </c>
      <c r="V204" s="346">
        <v>8</v>
      </c>
      <c r="W204" s="346">
        <v>60</v>
      </c>
      <c r="X204" s="346">
        <v>400</v>
      </c>
    </row>
    <row r="205" spans="21:24" ht="12.75">
      <c r="U205" s="456">
        <v>110673</v>
      </c>
      <c r="V205" s="346">
        <v>9</v>
      </c>
      <c r="W205" s="346">
        <v>125</v>
      </c>
      <c r="X205" s="346">
        <v>150</v>
      </c>
    </row>
    <row r="206" spans="21:24" ht="12.75">
      <c r="U206" s="456">
        <v>110875</v>
      </c>
      <c r="V206" s="346">
        <v>5</v>
      </c>
      <c r="W206" s="346">
        <v>100</v>
      </c>
      <c r="X206" s="346">
        <v>275</v>
      </c>
    </row>
    <row r="207" spans="21:24" ht="12.75">
      <c r="U207" s="456">
        <v>111000</v>
      </c>
      <c r="V207" s="346">
        <v>10</v>
      </c>
      <c r="W207" s="346">
        <v>70</v>
      </c>
      <c r="X207" s="346">
        <v>300</v>
      </c>
    </row>
    <row r="208" spans="21:24" ht="12.75">
      <c r="U208" s="456">
        <v>111936</v>
      </c>
      <c r="V208" s="346">
        <v>12</v>
      </c>
      <c r="W208" s="346">
        <v>100</v>
      </c>
      <c r="X208" s="346">
        <v>175</v>
      </c>
    </row>
    <row r="209" spans="21:24" ht="12.75">
      <c r="U209" s="456">
        <v>112653</v>
      </c>
      <c r="V209" s="346">
        <v>9</v>
      </c>
      <c r="W209" s="346">
        <v>65</v>
      </c>
      <c r="X209" s="346">
        <v>350</v>
      </c>
    </row>
    <row r="210" spans="21:24" ht="12.75">
      <c r="U210" s="456">
        <v>113141</v>
      </c>
      <c r="V210" s="346">
        <v>7</v>
      </c>
      <c r="W210" s="346">
        <v>125</v>
      </c>
      <c r="X210" s="346">
        <v>175</v>
      </c>
    </row>
    <row r="211" spans="21:24" ht="12.75">
      <c r="U211" s="456">
        <v>113250</v>
      </c>
      <c r="V211" s="346">
        <v>10</v>
      </c>
      <c r="W211" s="346">
        <v>75</v>
      </c>
      <c r="X211" s="346">
        <v>275</v>
      </c>
    </row>
    <row r="212" spans="21:24" ht="12.75">
      <c r="U212" s="456">
        <v>113841</v>
      </c>
      <c r="V212" s="346">
        <v>7</v>
      </c>
      <c r="W212" s="346">
        <v>100</v>
      </c>
      <c r="X212" s="346">
        <v>225</v>
      </c>
    </row>
    <row r="213" spans="21:24" ht="12.75">
      <c r="U213" s="456">
        <v>114144</v>
      </c>
      <c r="V213" s="346">
        <v>8</v>
      </c>
      <c r="W213" s="346">
        <v>75</v>
      </c>
      <c r="X213" s="346">
        <v>300</v>
      </c>
    </row>
    <row r="214" spans="21:24" ht="12.75">
      <c r="U214" s="456">
        <v>114192</v>
      </c>
      <c r="V214" s="346">
        <v>6</v>
      </c>
      <c r="W214" s="346">
        <v>75</v>
      </c>
      <c r="X214" s="346">
        <v>350</v>
      </c>
    </row>
    <row r="215" spans="21:24" ht="12.75">
      <c r="U215" s="456">
        <v>114792</v>
      </c>
      <c r="V215" s="346">
        <v>6</v>
      </c>
      <c r="W215" s="346">
        <v>100</v>
      </c>
      <c r="X215" s="346">
        <v>250</v>
      </c>
    </row>
    <row r="216" spans="21:24" ht="12.75">
      <c r="U216" s="456">
        <v>115797</v>
      </c>
      <c r="V216" s="346">
        <v>11</v>
      </c>
      <c r="W216" s="346">
        <v>75</v>
      </c>
      <c r="X216" s="346">
        <v>275</v>
      </c>
    </row>
    <row r="217" spans="21:24" ht="12.75">
      <c r="U217" s="456">
        <v>115848</v>
      </c>
      <c r="V217" s="346">
        <v>9</v>
      </c>
      <c r="W217" s="346">
        <v>100</v>
      </c>
      <c r="X217" s="346">
        <v>200</v>
      </c>
    </row>
    <row r="218" spans="21:24" ht="12.75">
      <c r="U218" s="456">
        <v>115875</v>
      </c>
      <c r="V218" s="346">
        <v>5</v>
      </c>
      <c r="W218" s="346">
        <v>75</v>
      </c>
      <c r="X218" s="346">
        <v>400</v>
      </c>
    </row>
    <row r="219" spans="21:24" ht="12.75">
      <c r="U219" s="456">
        <v>115875</v>
      </c>
      <c r="V219" s="346">
        <v>5</v>
      </c>
      <c r="W219" s="346">
        <v>125</v>
      </c>
      <c r="X219" s="346">
        <v>225</v>
      </c>
    </row>
    <row r="220" spans="21:24" ht="12.75">
      <c r="U220" s="456">
        <v>116316</v>
      </c>
      <c r="V220" s="346">
        <v>12</v>
      </c>
      <c r="W220" s="346">
        <v>85</v>
      </c>
      <c r="X220" s="346">
        <v>225</v>
      </c>
    </row>
    <row r="221" spans="21:24" ht="12.75">
      <c r="U221" s="456">
        <v>117000</v>
      </c>
      <c r="V221" s="346">
        <v>10</v>
      </c>
      <c r="W221" s="346">
        <v>125</v>
      </c>
      <c r="X221" s="346">
        <v>150</v>
      </c>
    </row>
    <row r="222" spans="21:24" ht="12.75">
      <c r="U222" s="456">
        <v>117492</v>
      </c>
      <c r="V222" s="346">
        <v>6</v>
      </c>
      <c r="W222" s="346">
        <v>125</v>
      </c>
      <c r="X222" s="346">
        <v>200</v>
      </c>
    </row>
    <row r="223" spans="21:24" ht="12.75">
      <c r="U223" s="456">
        <v>117516</v>
      </c>
      <c r="V223" s="346">
        <v>7</v>
      </c>
      <c r="W223" s="346">
        <v>150</v>
      </c>
      <c r="X223" s="346">
        <v>150</v>
      </c>
    </row>
    <row r="224" spans="21:24" ht="12.75">
      <c r="U224" s="456">
        <v>120123</v>
      </c>
      <c r="V224" s="346">
        <v>9</v>
      </c>
      <c r="W224" s="346">
        <v>75</v>
      </c>
      <c r="X224" s="346">
        <v>300</v>
      </c>
    </row>
    <row r="225" spans="21:24" ht="12.75">
      <c r="U225" s="456">
        <v>121500</v>
      </c>
      <c r="V225" s="346">
        <v>5</v>
      </c>
      <c r="W225" s="346">
        <v>100</v>
      </c>
      <c r="X225" s="346">
        <v>300</v>
      </c>
    </row>
    <row r="226" spans="21:24" ht="12.75">
      <c r="U226" s="456">
        <v>122000</v>
      </c>
      <c r="V226" s="346">
        <v>10</v>
      </c>
      <c r="W226" s="346">
        <v>100</v>
      </c>
      <c r="X226" s="346">
        <v>200</v>
      </c>
    </row>
    <row r="227" spans="21:24" ht="12.75">
      <c r="U227" s="456">
        <v>122397</v>
      </c>
      <c r="V227" s="346">
        <v>11</v>
      </c>
      <c r="W227" s="346">
        <v>125</v>
      </c>
      <c r="X227" s="346">
        <v>150</v>
      </c>
    </row>
    <row r="228" spans="21:24" ht="12.75">
      <c r="U228" s="456">
        <v>123544</v>
      </c>
      <c r="V228" s="346">
        <v>8</v>
      </c>
      <c r="W228" s="346">
        <v>125</v>
      </c>
      <c r="X228" s="346">
        <v>175</v>
      </c>
    </row>
    <row r="229" spans="21:24" ht="12.75">
      <c r="U229" s="456">
        <v>123744</v>
      </c>
      <c r="V229" s="346">
        <v>8</v>
      </c>
      <c r="W229" s="346">
        <v>100</v>
      </c>
      <c r="X229" s="346">
        <v>225</v>
      </c>
    </row>
    <row r="230" spans="21:24" ht="12.75">
      <c r="U230" s="456">
        <v>124500</v>
      </c>
      <c r="V230" s="346">
        <v>10</v>
      </c>
      <c r="W230" s="346">
        <v>75</v>
      </c>
      <c r="X230" s="346">
        <v>300</v>
      </c>
    </row>
    <row r="231" spans="21:24" ht="12.75">
      <c r="U231" s="456">
        <v>124992</v>
      </c>
      <c r="V231" s="346">
        <v>6</v>
      </c>
      <c r="W231" s="346">
        <v>150</v>
      </c>
      <c r="X231" s="346">
        <v>175</v>
      </c>
    </row>
    <row r="232" spans="21:24" ht="12.75">
      <c r="U232" s="456">
        <v>125250</v>
      </c>
      <c r="V232" s="346">
        <v>5</v>
      </c>
      <c r="W232" s="346">
        <v>150</v>
      </c>
      <c r="X232" s="346">
        <v>200</v>
      </c>
    </row>
    <row r="233" spans="21:24" ht="12.75">
      <c r="U233" s="456">
        <v>125391</v>
      </c>
      <c r="V233" s="346">
        <v>7</v>
      </c>
      <c r="W233" s="346">
        <v>75</v>
      </c>
      <c r="X233" s="346">
        <v>350</v>
      </c>
    </row>
    <row r="234" spans="21:24" ht="12.75">
      <c r="U234" s="456">
        <v>126936</v>
      </c>
      <c r="V234" s="346">
        <v>12</v>
      </c>
      <c r="W234" s="346">
        <v>125</v>
      </c>
      <c r="X234" s="346">
        <v>150</v>
      </c>
    </row>
    <row r="235" spans="21:24" ht="12.75">
      <c r="U235" s="456">
        <v>127072</v>
      </c>
      <c r="V235" s="346">
        <v>11</v>
      </c>
      <c r="W235" s="346">
        <v>100</v>
      </c>
      <c r="X235" s="346">
        <v>200</v>
      </c>
    </row>
    <row r="236" spans="21:24" ht="12.75">
      <c r="U236" s="456">
        <v>127092</v>
      </c>
      <c r="V236" s="346">
        <v>6</v>
      </c>
      <c r="W236" s="346">
        <v>100</v>
      </c>
      <c r="X236" s="346">
        <v>275</v>
      </c>
    </row>
    <row r="237" spans="21:24" ht="12.75">
      <c r="U237" s="456">
        <v>127347</v>
      </c>
      <c r="V237" s="346">
        <v>11</v>
      </c>
      <c r="W237" s="346">
        <v>75</v>
      </c>
      <c r="X237" s="346">
        <v>300</v>
      </c>
    </row>
    <row r="238" spans="21:24" ht="12.75">
      <c r="U238" s="456">
        <v>127666</v>
      </c>
      <c r="V238" s="346">
        <v>7</v>
      </c>
      <c r="W238" s="346">
        <v>100</v>
      </c>
      <c r="X238" s="346">
        <v>250</v>
      </c>
    </row>
    <row r="239" spans="21:24" ht="12.75">
      <c r="U239" s="456">
        <v>128375</v>
      </c>
      <c r="V239" s="346">
        <v>5</v>
      </c>
      <c r="W239" s="346">
        <v>175</v>
      </c>
      <c r="X239" s="346">
        <v>175</v>
      </c>
    </row>
    <row r="240" spans="21:24" ht="12.75">
      <c r="U240" s="456">
        <v>128544</v>
      </c>
      <c r="V240" s="346">
        <v>8</v>
      </c>
      <c r="W240" s="346">
        <v>150</v>
      </c>
      <c r="X240" s="346">
        <v>150</v>
      </c>
    </row>
    <row r="241" spans="21:24" ht="12.75">
      <c r="U241" s="456">
        <v>129625</v>
      </c>
      <c r="V241" s="346">
        <v>5</v>
      </c>
      <c r="W241" s="346">
        <v>125</v>
      </c>
      <c r="X241" s="346">
        <v>250</v>
      </c>
    </row>
    <row r="242" spans="21:24" ht="12.75">
      <c r="U242" s="456">
        <v>129753</v>
      </c>
      <c r="V242" s="346">
        <v>9</v>
      </c>
      <c r="W242" s="346">
        <v>65</v>
      </c>
      <c r="X242" s="346">
        <v>400</v>
      </c>
    </row>
    <row r="243" spans="21:24" ht="12.75">
      <c r="U243" s="456">
        <v>131000</v>
      </c>
      <c r="V243" s="346">
        <v>10</v>
      </c>
      <c r="W243" s="346">
        <v>70</v>
      </c>
      <c r="X243" s="346">
        <v>350</v>
      </c>
    </row>
    <row r="244" spans="21:24" ht="12.75">
      <c r="U244" s="456">
        <v>131016</v>
      </c>
      <c r="V244" s="346">
        <v>12</v>
      </c>
      <c r="W244" s="346">
        <v>85</v>
      </c>
      <c r="X244" s="346">
        <v>250</v>
      </c>
    </row>
    <row r="245" spans="21:24" ht="12.75">
      <c r="U245" s="456">
        <v>131136</v>
      </c>
      <c r="V245" s="346">
        <v>12</v>
      </c>
      <c r="W245" s="346">
        <v>100</v>
      </c>
      <c r="X245" s="346">
        <v>200</v>
      </c>
    </row>
    <row r="246" spans="21:24" ht="12.75">
      <c r="U246" s="456">
        <v>131292</v>
      </c>
      <c r="V246" s="346">
        <v>6</v>
      </c>
      <c r="W246" s="346">
        <v>75</v>
      </c>
      <c r="X246" s="346">
        <v>400</v>
      </c>
    </row>
    <row r="247" spans="21:24" ht="12.75">
      <c r="U247" s="456">
        <v>131341</v>
      </c>
      <c r="V247" s="346">
        <v>7</v>
      </c>
      <c r="W247" s="346">
        <v>125</v>
      </c>
      <c r="X247" s="346">
        <v>200</v>
      </c>
    </row>
    <row r="248" spans="21:24" ht="12.75">
      <c r="U248" s="456">
        <v>132273</v>
      </c>
      <c r="V248" s="346">
        <v>9</v>
      </c>
      <c r="W248" s="346">
        <v>100</v>
      </c>
      <c r="X248" s="346">
        <v>225</v>
      </c>
    </row>
    <row r="249" spans="21:24" ht="12.75">
      <c r="U249" s="456">
        <v>132723</v>
      </c>
      <c r="V249" s="346">
        <v>9</v>
      </c>
      <c r="W249" s="346">
        <v>125</v>
      </c>
      <c r="X249" s="346">
        <v>175</v>
      </c>
    </row>
    <row r="250" spans="21:24" ht="12.75">
      <c r="U250" s="456">
        <v>133542</v>
      </c>
      <c r="V250" s="346">
        <v>6</v>
      </c>
      <c r="W250" s="346">
        <v>125</v>
      </c>
      <c r="X250" s="346">
        <v>225</v>
      </c>
    </row>
    <row r="251" spans="21:24" ht="12.75">
      <c r="U251" s="456">
        <v>134544</v>
      </c>
      <c r="V251" s="346">
        <v>8</v>
      </c>
      <c r="W251" s="346">
        <v>75</v>
      </c>
      <c r="X251" s="346">
        <v>350</v>
      </c>
    </row>
    <row r="252" spans="21:24" ht="12.75">
      <c r="U252" s="456">
        <v>138348</v>
      </c>
      <c r="V252" s="346">
        <v>9</v>
      </c>
      <c r="W252" s="346">
        <v>150</v>
      </c>
      <c r="X252" s="346">
        <v>150</v>
      </c>
    </row>
    <row r="253" spans="21:24" ht="12.75">
      <c r="U253" s="456">
        <v>138624</v>
      </c>
      <c r="V253" s="346">
        <v>8</v>
      </c>
      <c r="W253" s="346">
        <v>60</v>
      </c>
      <c r="X253" s="346">
        <v>500</v>
      </c>
    </row>
    <row r="254" spans="21:24" ht="12.75">
      <c r="U254" s="456">
        <v>138944</v>
      </c>
      <c r="V254" s="346">
        <v>8</v>
      </c>
      <c r="W254" s="346">
        <v>100</v>
      </c>
      <c r="X254" s="346">
        <v>250</v>
      </c>
    </row>
    <row r="255" spans="21:24" ht="12.75">
      <c r="U255" s="456">
        <v>139392</v>
      </c>
      <c r="V255" s="346">
        <v>6</v>
      </c>
      <c r="W255" s="346">
        <v>100</v>
      </c>
      <c r="X255" s="346">
        <v>300</v>
      </c>
    </row>
    <row r="256" spans="21:24" ht="12.75">
      <c r="U256" s="456">
        <v>139500</v>
      </c>
      <c r="V256" s="346">
        <v>10</v>
      </c>
      <c r="W256" s="346">
        <v>100</v>
      </c>
      <c r="X256" s="346">
        <v>225</v>
      </c>
    </row>
    <row r="257" spans="21:24" ht="12.75">
      <c r="U257" s="456">
        <v>140091</v>
      </c>
      <c r="V257" s="346">
        <v>7</v>
      </c>
      <c r="W257" s="346">
        <v>150</v>
      </c>
      <c r="X257" s="346">
        <v>175</v>
      </c>
    </row>
    <row r="258" spans="21:24" ht="12.75">
      <c r="U258" s="456">
        <v>140750</v>
      </c>
      <c r="V258" s="346">
        <v>10</v>
      </c>
      <c r="W258" s="346">
        <v>125</v>
      </c>
      <c r="X258" s="346">
        <v>175</v>
      </c>
    </row>
    <row r="259" spans="21:24" ht="12.75">
      <c r="U259" s="456">
        <v>141490</v>
      </c>
      <c r="V259" s="346">
        <v>7</v>
      </c>
      <c r="W259" s="346">
        <v>100</v>
      </c>
      <c r="X259" s="346">
        <v>275</v>
      </c>
    </row>
    <row r="260" spans="21:24" ht="12.75">
      <c r="U260" s="456">
        <v>141723</v>
      </c>
      <c r="V260" s="346">
        <v>9</v>
      </c>
      <c r="W260" s="346">
        <v>75</v>
      </c>
      <c r="X260" s="346">
        <v>350</v>
      </c>
    </row>
    <row r="261" spans="21:24" ht="12.75">
      <c r="U261" s="456">
        <v>142125</v>
      </c>
      <c r="V261" s="346">
        <v>5</v>
      </c>
      <c r="W261" s="346">
        <v>150</v>
      </c>
      <c r="X261" s="346">
        <v>225</v>
      </c>
    </row>
    <row r="262" spans="21:24" ht="12.75">
      <c r="U262" s="456">
        <v>142750</v>
      </c>
      <c r="V262" s="346">
        <v>5</v>
      </c>
      <c r="W262" s="346">
        <v>100</v>
      </c>
      <c r="X262" s="346">
        <v>350</v>
      </c>
    </row>
    <row r="263" spans="21:24" ht="12.75">
      <c r="U263" s="456">
        <v>143375</v>
      </c>
      <c r="V263" s="346">
        <v>5</v>
      </c>
      <c r="W263" s="346">
        <v>125</v>
      </c>
      <c r="X263" s="346">
        <v>275</v>
      </c>
    </row>
    <row r="264" spans="21:24" ht="12.75">
      <c r="U264" s="456">
        <v>143744</v>
      </c>
      <c r="V264" s="346">
        <v>8</v>
      </c>
      <c r="W264" s="346">
        <v>125</v>
      </c>
      <c r="X264" s="346">
        <v>200</v>
      </c>
    </row>
    <row r="265" spans="21:24" ht="12.75">
      <c r="U265" s="456">
        <v>144291</v>
      </c>
      <c r="V265" s="346">
        <v>7</v>
      </c>
      <c r="W265" s="346">
        <v>75</v>
      </c>
      <c r="X265" s="346">
        <v>400</v>
      </c>
    </row>
    <row r="266" spans="21:24" ht="12.75">
      <c r="U266" s="456">
        <v>144792</v>
      </c>
      <c r="V266" s="346">
        <v>6</v>
      </c>
      <c r="W266" s="346">
        <v>150</v>
      </c>
      <c r="X266" s="346">
        <v>200</v>
      </c>
    </row>
    <row r="267" spans="21:24" ht="12.75">
      <c r="U267" s="456">
        <v>145497</v>
      </c>
      <c r="V267" s="346">
        <v>11</v>
      </c>
      <c r="W267" s="346">
        <v>100</v>
      </c>
      <c r="X267" s="346">
        <v>225</v>
      </c>
    </row>
    <row r="268" spans="21:24" ht="12.75">
      <c r="U268" s="456">
        <v>145716</v>
      </c>
      <c r="V268" s="346">
        <v>12</v>
      </c>
      <c r="W268" s="346">
        <v>85</v>
      </c>
      <c r="X268" s="346">
        <v>275</v>
      </c>
    </row>
    <row r="269" spans="21:24" ht="12.75">
      <c r="U269" s="456">
        <v>145875</v>
      </c>
      <c r="V269" s="346">
        <v>5</v>
      </c>
      <c r="W269" s="346">
        <v>75</v>
      </c>
      <c r="X269" s="346">
        <v>500</v>
      </c>
    </row>
    <row r="270" spans="21:24" ht="12.75">
      <c r="U270" s="456">
        <v>147000</v>
      </c>
      <c r="V270" s="346">
        <v>10</v>
      </c>
      <c r="W270" s="346">
        <v>75</v>
      </c>
      <c r="X270" s="346">
        <v>350</v>
      </c>
    </row>
    <row r="271" spans="21:24" ht="12.75">
      <c r="U271" s="456">
        <v>147000</v>
      </c>
      <c r="V271" s="346">
        <v>10</v>
      </c>
      <c r="W271" s="346">
        <v>150</v>
      </c>
      <c r="X271" s="346">
        <v>150</v>
      </c>
    </row>
    <row r="272" spans="21:24" ht="12.75">
      <c r="U272" s="456">
        <v>147697</v>
      </c>
      <c r="V272" s="346">
        <v>11</v>
      </c>
      <c r="W272" s="346">
        <v>125</v>
      </c>
      <c r="X272" s="346">
        <v>175</v>
      </c>
    </row>
    <row r="273" spans="21:24" ht="12.75">
      <c r="U273" s="456">
        <v>148375</v>
      </c>
      <c r="V273" s="346">
        <v>5</v>
      </c>
      <c r="W273" s="346">
        <v>175</v>
      </c>
      <c r="X273" s="346">
        <v>200</v>
      </c>
    </row>
    <row r="274" spans="21:24" ht="12.75">
      <c r="U274" s="456">
        <v>148542</v>
      </c>
      <c r="V274" s="346">
        <v>6</v>
      </c>
      <c r="W274" s="346">
        <v>175</v>
      </c>
      <c r="X274" s="346">
        <v>175</v>
      </c>
    </row>
    <row r="275" spans="21:24" ht="12.75">
      <c r="U275" s="456">
        <v>148698</v>
      </c>
      <c r="V275" s="346">
        <v>9</v>
      </c>
      <c r="W275" s="346">
        <v>100</v>
      </c>
      <c r="X275" s="346">
        <v>250</v>
      </c>
    </row>
    <row r="276" spans="21:24" ht="12.75">
      <c r="U276" s="456">
        <v>149541</v>
      </c>
      <c r="V276" s="346">
        <v>7</v>
      </c>
      <c r="W276" s="346">
        <v>125</v>
      </c>
      <c r="X276" s="346">
        <v>225</v>
      </c>
    </row>
    <row r="277" spans="21:24" ht="12.75">
      <c r="U277" s="456">
        <v>149592</v>
      </c>
      <c r="V277" s="346">
        <v>6</v>
      </c>
      <c r="W277" s="346">
        <v>125</v>
      </c>
      <c r="X277" s="346">
        <v>250</v>
      </c>
    </row>
    <row r="278" spans="21:24" ht="12.75">
      <c r="U278" s="456">
        <v>150336</v>
      </c>
      <c r="V278" s="346">
        <v>12</v>
      </c>
      <c r="W278" s="346">
        <v>100</v>
      </c>
      <c r="X278" s="346">
        <v>225</v>
      </c>
    </row>
    <row r="279" spans="21:24" ht="12.75">
      <c r="U279" s="456">
        <v>150447</v>
      </c>
      <c r="V279" s="346">
        <v>11</v>
      </c>
      <c r="W279" s="346">
        <v>75</v>
      </c>
      <c r="X279" s="346">
        <v>350</v>
      </c>
    </row>
    <row r="280" spans="21:24" ht="12.75">
      <c r="U280" s="456">
        <v>151000</v>
      </c>
      <c r="V280" s="346">
        <v>10</v>
      </c>
      <c r="W280" s="346">
        <v>70</v>
      </c>
      <c r="X280" s="346">
        <v>400</v>
      </c>
    </row>
    <row r="281" spans="21:24" ht="12.75">
      <c r="U281" s="456">
        <v>153636</v>
      </c>
      <c r="V281" s="346">
        <v>12</v>
      </c>
      <c r="W281" s="346">
        <v>125</v>
      </c>
      <c r="X281" s="346">
        <v>175</v>
      </c>
    </row>
    <row r="282" spans="21:24" ht="12.75">
      <c r="U282" s="456">
        <v>153744</v>
      </c>
      <c r="V282" s="346">
        <v>8</v>
      </c>
      <c r="W282" s="346">
        <v>150</v>
      </c>
      <c r="X282" s="346">
        <v>175</v>
      </c>
    </row>
    <row r="283" spans="21:24" ht="12.75">
      <c r="U283" s="456">
        <v>154144</v>
      </c>
      <c r="V283" s="346">
        <v>8</v>
      </c>
      <c r="W283" s="346">
        <v>100</v>
      </c>
      <c r="X283" s="346">
        <v>275</v>
      </c>
    </row>
    <row r="284" spans="21:24" ht="12.75">
      <c r="U284" s="456">
        <v>154572</v>
      </c>
      <c r="V284" s="346">
        <v>11</v>
      </c>
      <c r="W284" s="346">
        <v>150</v>
      </c>
      <c r="X284" s="346">
        <v>150</v>
      </c>
    </row>
    <row r="285" spans="21:24" ht="12.75">
      <c r="U285" s="456">
        <v>154773</v>
      </c>
      <c r="V285" s="346">
        <v>9</v>
      </c>
      <c r="W285" s="346">
        <v>125</v>
      </c>
      <c r="X285" s="346">
        <v>200</v>
      </c>
    </row>
    <row r="286" spans="21:24" ht="12.75">
      <c r="U286" s="456">
        <v>154944</v>
      </c>
      <c r="V286" s="346">
        <v>8</v>
      </c>
      <c r="W286" s="346">
        <v>75</v>
      </c>
      <c r="X286" s="346">
        <v>400</v>
      </c>
    </row>
    <row r="287" spans="21:24" ht="12.75">
      <c r="U287" s="456">
        <v>155316</v>
      </c>
      <c r="V287" s="346">
        <v>7</v>
      </c>
      <c r="W287" s="346">
        <v>100</v>
      </c>
      <c r="X287" s="346">
        <v>300</v>
      </c>
    </row>
    <row r="288" spans="21:24" ht="12.75">
      <c r="U288" s="456">
        <v>157000</v>
      </c>
      <c r="V288" s="346">
        <v>10</v>
      </c>
      <c r="W288" s="346">
        <v>100</v>
      </c>
      <c r="X288" s="346">
        <v>250</v>
      </c>
    </row>
    <row r="289" spans="21:24" ht="12.75">
      <c r="U289" s="456">
        <v>157125</v>
      </c>
      <c r="V289" s="346">
        <v>5</v>
      </c>
      <c r="W289" s="346">
        <v>125</v>
      </c>
      <c r="X289" s="346">
        <v>300</v>
      </c>
    </row>
    <row r="290" spans="21:24" ht="12.75">
      <c r="U290" s="456">
        <v>159000</v>
      </c>
      <c r="V290" s="346">
        <v>5</v>
      </c>
      <c r="W290" s="346">
        <v>150</v>
      </c>
      <c r="X290" s="346">
        <v>250</v>
      </c>
    </row>
    <row r="291" spans="21:24" ht="12.75">
      <c r="U291" s="456">
        <v>160416</v>
      </c>
      <c r="V291" s="346">
        <v>12</v>
      </c>
      <c r="W291" s="346">
        <v>85</v>
      </c>
      <c r="X291" s="346">
        <v>300</v>
      </c>
    </row>
    <row r="292" spans="21:24" ht="12.75">
      <c r="U292" s="456">
        <v>161136</v>
      </c>
      <c r="V292" s="346">
        <v>12</v>
      </c>
      <c r="W292" s="346">
        <v>150</v>
      </c>
      <c r="X292" s="346">
        <v>150</v>
      </c>
    </row>
    <row r="293" spans="21:24" ht="12.75">
      <c r="U293" s="456">
        <v>162666</v>
      </c>
      <c r="V293" s="346">
        <v>7</v>
      </c>
      <c r="W293" s="346">
        <v>150</v>
      </c>
      <c r="X293" s="346">
        <v>200</v>
      </c>
    </row>
    <row r="294" spans="21:24" ht="12.75">
      <c r="U294" s="456">
        <v>163323</v>
      </c>
      <c r="V294" s="346">
        <v>9</v>
      </c>
      <c r="W294" s="346">
        <v>75</v>
      </c>
      <c r="X294" s="346">
        <v>400</v>
      </c>
    </row>
    <row r="295" spans="21:24" ht="12.75">
      <c r="U295" s="456">
        <v>163922</v>
      </c>
      <c r="V295" s="346">
        <v>11</v>
      </c>
      <c r="W295" s="346">
        <v>100</v>
      </c>
      <c r="X295" s="346">
        <v>250</v>
      </c>
    </row>
    <row r="296" spans="21:24" ht="12.75">
      <c r="U296" s="456">
        <v>163944</v>
      </c>
      <c r="V296" s="346">
        <v>8</v>
      </c>
      <c r="W296" s="346">
        <v>125</v>
      </c>
      <c r="X296" s="346">
        <v>225</v>
      </c>
    </row>
    <row r="297" spans="21:24" ht="12.75">
      <c r="U297" s="456">
        <v>163953</v>
      </c>
      <c r="V297" s="346">
        <v>9</v>
      </c>
      <c r="W297" s="346">
        <v>65</v>
      </c>
      <c r="X297" s="346">
        <v>500</v>
      </c>
    </row>
    <row r="298" spans="21:24" ht="12.75">
      <c r="U298" s="456">
        <v>163992</v>
      </c>
      <c r="V298" s="346">
        <v>6</v>
      </c>
      <c r="W298" s="346">
        <v>100</v>
      </c>
      <c r="X298" s="346">
        <v>350</v>
      </c>
    </row>
    <row r="299" spans="21:24" ht="12.75">
      <c r="U299" s="456">
        <v>164000</v>
      </c>
      <c r="V299" s="346">
        <v>5</v>
      </c>
      <c r="W299" s="346">
        <v>100</v>
      </c>
      <c r="X299" s="346">
        <v>400</v>
      </c>
    </row>
    <row r="300" spans="21:24" ht="12.75">
      <c r="U300" s="456">
        <v>164500</v>
      </c>
      <c r="V300" s="346">
        <v>10</v>
      </c>
      <c r="W300" s="346">
        <v>125</v>
      </c>
      <c r="X300" s="346">
        <v>200</v>
      </c>
    </row>
    <row r="301" spans="21:24" ht="12.75">
      <c r="U301" s="456">
        <v>164592</v>
      </c>
      <c r="V301" s="346">
        <v>6</v>
      </c>
      <c r="W301" s="346">
        <v>150</v>
      </c>
      <c r="X301" s="346">
        <v>225</v>
      </c>
    </row>
    <row r="302" spans="21:24" ht="12.75">
      <c r="U302" s="456">
        <v>165123</v>
      </c>
      <c r="V302" s="346">
        <v>9</v>
      </c>
      <c r="W302" s="346">
        <v>100</v>
      </c>
      <c r="X302" s="346">
        <v>275</v>
      </c>
    </row>
    <row r="303" spans="21:24" ht="12.75">
      <c r="U303" s="456">
        <v>165492</v>
      </c>
      <c r="V303" s="346">
        <v>6</v>
      </c>
      <c r="W303" s="346">
        <v>75</v>
      </c>
      <c r="X303" s="346">
        <v>500</v>
      </c>
    </row>
    <row r="304" spans="21:24" ht="12.75">
      <c r="U304" s="456">
        <v>165642</v>
      </c>
      <c r="V304" s="346">
        <v>6</v>
      </c>
      <c r="W304" s="346">
        <v>125</v>
      </c>
      <c r="X304" s="346">
        <v>275</v>
      </c>
    </row>
    <row r="305" spans="21:24" ht="12.75">
      <c r="U305" s="456">
        <v>166023</v>
      </c>
      <c r="V305" s="346">
        <v>9</v>
      </c>
      <c r="W305" s="346">
        <v>150</v>
      </c>
      <c r="X305" s="346">
        <v>175</v>
      </c>
    </row>
    <row r="306" spans="21:24" ht="12.75">
      <c r="U306" s="456">
        <v>167041</v>
      </c>
      <c r="V306" s="346">
        <v>7</v>
      </c>
      <c r="W306" s="346">
        <v>175</v>
      </c>
      <c r="X306" s="346">
        <v>175</v>
      </c>
    </row>
    <row r="307" spans="21:24" ht="12.75">
      <c r="U307" s="456">
        <v>167741</v>
      </c>
      <c r="V307" s="346">
        <v>7</v>
      </c>
      <c r="W307" s="346">
        <v>125</v>
      </c>
      <c r="X307" s="346">
        <v>250</v>
      </c>
    </row>
    <row r="308" spans="21:24" ht="12.75">
      <c r="U308" s="456">
        <v>168375</v>
      </c>
      <c r="V308" s="346">
        <v>5</v>
      </c>
      <c r="W308" s="346">
        <v>175</v>
      </c>
      <c r="X308" s="346">
        <v>225</v>
      </c>
    </row>
    <row r="309" spans="21:24" ht="12.75">
      <c r="U309" s="456">
        <v>169344</v>
      </c>
      <c r="V309" s="346">
        <v>8</v>
      </c>
      <c r="W309" s="346">
        <v>100</v>
      </c>
      <c r="X309" s="346">
        <v>300</v>
      </c>
    </row>
    <row r="310" spans="21:24" ht="12.75">
      <c r="U310" s="456">
        <v>169500</v>
      </c>
      <c r="V310" s="346">
        <v>10</v>
      </c>
      <c r="W310" s="346">
        <v>75</v>
      </c>
      <c r="X310" s="346">
        <v>400</v>
      </c>
    </row>
    <row r="311" spans="21:24" ht="12.75">
      <c r="U311" s="456">
        <v>169536</v>
      </c>
      <c r="V311" s="346">
        <v>12</v>
      </c>
      <c r="W311" s="346">
        <v>100</v>
      </c>
      <c r="X311" s="346">
        <v>250</v>
      </c>
    </row>
    <row r="312" spans="21:24" ht="12.75">
      <c r="U312" s="456">
        <v>171500</v>
      </c>
      <c r="V312" s="346">
        <v>5</v>
      </c>
      <c r="W312" s="346">
        <v>200</v>
      </c>
      <c r="X312" s="346">
        <v>200</v>
      </c>
    </row>
    <row r="313" spans="21:24" ht="12.75">
      <c r="U313" s="456">
        <v>172092</v>
      </c>
      <c r="V313" s="346">
        <v>6</v>
      </c>
      <c r="W313" s="346">
        <v>175</v>
      </c>
      <c r="X313" s="346">
        <v>200</v>
      </c>
    </row>
    <row r="314" spans="21:24" ht="12.75">
      <c r="U314" s="456">
        <v>172997</v>
      </c>
      <c r="V314" s="346">
        <v>11</v>
      </c>
      <c r="W314" s="346">
        <v>125</v>
      </c>
      <c r="X314" s="346">
        <v>200</v>
      </c>
    </row>
    <row r="315" spans="21:24" ht="12.75">
      <c r="U315" s="456">
        <v>173547</v>
      </c>
      <c r="V315" s="346">
        <v>11</v>
      </c>
      <c r="W315" s="346">
        <v>75</v>
      </c>
      <c r="X315" s="346">
        <v>400</v>
      </c>
    </row>
    <row r="316" spans="21:24" ht="12.75">
      <c r="U316" s="456">
        <v>174500</v>
      </c>
      <c r="V316" s="346">
        <v>10</v>
      </c>
      <c r="W316" s="346">
        <v>100</v>
      </c>
      <c r="X316" s="346">
        <v>275</v>
      </c>
    </row>
    <row r="317" spans="21:24" ht="12.75">
      <c r="U317" s="456">
        <v>175875</v>
      </c>
      <c r="V317" s="346">
        <v>5</v>
      </c>
      <c r="W317" s="346">
        <v>150</v>
      </c>
      <c r="X317" s="346">
        <v>275</v>
      </c>
    </row>
    <row r="318" spans="21:24" ht="12.75">
      <c r="U318" s="456">
        <v>176823</v>
      </c>
      <c r="V318" s="346">
        <v>9</v>
      </c>
      <c r="W318" s="346">
        <v>125</v>
      </c>
      <c r="X318" s="346">
        <v>225</v>
      </c>
    </row>
    <row r="319" spans="21:24" ht="12.75">
      <c r="U319" s="456">
        <v>177000</v>
      </c>
      <c r="V319" s="346">
        <v>10</v>
      </c>
      <c r="W319" s="346">
        <v>150</v>
      </c>
      <c r="X319" s="346">
        <v>175</v>
      </c>
    </row>
    <row r="320" spans="21:24" ht="12.75">
      <c r="U320" s="456">
        <v>178944</v>
      </c>
      <c r="V320" s="346">
        <v>8</v>
      </c>
      <c r="W320" s="346">
        <v>150</v>
      </c>
      <c r="X320" s="346">
        <v>200</v>
      </c>
    </row>
    <row r="321" spans="21:24" ht="12.75">
      <c r="U321" s="456">
        <v>180336</v>
      </c>
      <c r="V321" s="346">
        <v>12</v>
      </c>
      <c r="W321" s="346">
        <v>125</v>
      </c>
      <c r="X321" s="346">
        <v>200</v>
      </c>
    </row>
    <row r="322" spans="21:24" ht="12.75">
      <c r="U322" s="456">
        <v>181548</v>
      </c>
      <c r="V322" s="346">
        <v>9</v>
      </c>
      <c r="W322" s="346">
        <v>100</v>
      </c>
      <c r="X322" s="346">
        <v>300</v>
      </c>
    </row>
    <row r="323" spans="21:24" ht="12.75">
      <c r="U323" s="456">
        <v>181692</v>
      </c>
      <c r="V323" s="346">
        <v>6</v>
      </c>
      <c r="W323" s="346">
        <v>125</v>
      </c>
      <c r="X323" s="346">
        <v>300</v>
      </c>
    </row>
    <row r="324" spans="21:24" ht="12.75">
      <c r="U324" s="456">
        <v>182091</v>
      </c>
      <c r="V324" s="346">
        <v>7</v>
      </c>
      <c r="W324" s="346">
        <v>75</v>
      </c>
      <c r="X324" s="346">
        <v>500</v>
      </c>
    </row>
    <row r="325" spans="21:24" ht="12.75">
      <c r="U325" s="456">
        <v>182347</v>
      </c>
      <c r="V325" s="346">
        <v>11</v>
      </c>
      <c r="W325" s="346">
        <v>100</v>
      </c>
      <c r="X325" s="346">
        <v>275</v>
      </c>
    </row>
    <row r="326" spans="21:24" ht="12.75">
      <c r="U326" s="456">
        <v>182966</v>
      </c>
      <c r="V326" s="346">
        <v>7</v>
      </c>
      <c r="W326" s="346">
        <v>100</v>
      </c>
      <c r="X326" s="346">
        <v>350</v>
      </c>
    </row>
    <row r="327" spans="21:24" ht="12.75">
      <c r="U327" s="456">
        <v>183944</v>
      </c>
      <c r="V327" s="346">
        <v>8</v>
      </c>
      <c r="W327" s="346">
        <v>175</v>
      </c>
      <c r="X327" s="346">
        <v>175</v>
      </c>
    </row>
    <row r="328" spans="21:24" ht="12.75">
      <c r="U328" s="456">
        <v>184144</v>
      </c>
      <c r="V328" s="346">
        <v>8</v>
      </c>
      <c r="W328" s="346">
        <v>125</v>
      </c>
      <c r="X328" s="346">
        <v>250</v>
      </c>
    </row>
    <row r="329" spans="21:24" ht="12.75">
      <c r="U329" s="456">
        <v>184392</v>
      </c>
      <c r="V329" s="346">
        <v>6</v>
      </c>
      <c r="W329" s="346">
        <v>150</v>
      </c>
      <c r="X329" s="346">
        <v>250</v>
      </c>
    </row>
    <row r="330" spans="21:24" ht="12.75">
      <c r="U330" s="456">
        <v>184625</v>
      </c>
      <c r="V330" s="346">
        <v>5</v>
      </c>
      <c r="W330" s="346">
        <v>125</v>
      </c>
      <c r="X330" s="346">
        <v>350</v>
      </c>
    </row>
    <row r="331" spans="21:24" ht="12.75">
      <c r="U331" s="456">
        <v>185241</v>
      </c>
      <c r="V331" s="346">
        <v>7</v>
      </c>
      <c r="W331" s="346">
        <v>150</v>
      </c>
      <c r="X331" s="346">
        <v>225</v>
      </c>
    </row>
    <row r="332" spans="21:24" ht="12.75">
      <c r="U332" s="456">
        <v>185941</v>
      </c>
      <c r="V332" s="346">
        <v>7</v>
      </c>
      <c r="W332" s="346">
        <v>125</v>
      </c>
      <c r="X332" s="346">
        <v>275</v>
      </c>
    </row>
    <row r="333" spans="21:24" ht="12.75">
      <c r="U333" s="456">
        <v>186747</v>
      </c>
      <c r="V333" s="346">
        <v>11</v>
      </c>
      <c r="W333" s="346">
        <v>150</v>
      </c>
      <c r="X333" s="346">
        <v>175</v>
      </c>
    </row>
    <row r="334" spans="21:24" ht="12.75">
      <c r="U334" s="456">
        <v>188250</v>
      </c>
      <c r="V334" s="346">
        <v>10</v>
      </c>
      <c r="W334" s="346">
        <v>125</v>
      </c>
      <c r="X334" s="346">
        <v>225</v>
      </c>
    </row>
    <row r="335" spans="21:24" ht="12.75">
      <c r="U335" s="456">
        <v>188375</v>
      </c>
      <c r="V335" s="346">
        <v>5</v>
      </c>
      <c r="W335" s="346">
        <v>175</v>
      </c>
      <c r="X335" s="346">
        <v>250</v>
      </c>
    </row>
    <row r="336" spans="21:24" ht="12.75">
      <c r="U336" s="456">
        <v>188592</v>
      </c>
      <c r="V336" s="346">
        <v>6</v>
      </c>
      <c r="W336" s="346">
        <v>100</v>
      </c>
      <c r="X336" s="346">
        <v>400</v>
      </c>
    </row>
    <row r="337" spans="21:24" ht="12.75">
      <c r="U337" s="456">
        <v>188736</v>
      </c>
      <c r="V337" s="346">
        <v>12</v>
      </c>
      <c r="W337" s="346">
        <v>100</v>
      </c>
      <c r="X337" s="346">
        <v>275</v>
      </c>
    </row>
    <row r="338" spans="21:24" ht="12.75">
      <c r="U338" s="456">
        <v>189816</v>
      </c>
      <c r="V338" s="346">
        <v>12</v>
      </c>
      <c r="W338" s="346">
        <v>85</v>
      </c>
      <c r="X338" s="346">
        <v>350</v>
      </c>
    </row>
    <row r="339" spans="21:24" ht="12.75">
      <c r="U339" s="456">
        <v>191000</v>
      </c>
      <c r="V339" s="346">
        <v>10</v>
      </c>
      <c r="W339" s="346">
        <v>70</v>
      </c>
      <c r="X339" s="346">
        <v>500</v>
      </c>
    </row>
    <row r="340" spans="21:24" ht="12.75">
      <c r="U340" s="456">
        <v>192000</v>
      </c>
      <c r="V340" s="346">
        <v>10</v>
      </c>
      <c r="W340" s="346">
        <v>100</v>
      </c>
      <c r="X340" s="346">
        <v>300</v>
      </c>
    </row>
    <row r="341" spans="21:24" ht="12.75">
      <c r="U341" s="456">
        <v>192750</v>
      </c>
      <c r="V341" s="346">
        <v>5</v>
      </c>
      <c r="W341" s="346">
        <v>150</v>
      </c>
      <c r="X341" s="346">
        <v>300</v>
      </c>
    </row>
    <row r="342" spans="21:24" ht="12.75">
      <c r="U342" s="456">
        <v>193698</v>
      </c>
      <c r="V342" s="346">
        <v>9</v>
      </c>
      <c r="W342" s="346">
        <v>150</v>
      </c>
      <c r="X342" s="346">
        <v>200</v>
      </c>
    </row>
    <row r="343" spans="21:24" ht="12.75">
      <c r="U343" s="456">
        <v>193991</v>
      </c>
      <c r="V343" s="346">
        <v>7</v>
      </c>
      <c r="W343" s="346">
        <v>175</v>
      </c>
      <c r="X343" s="346">
        <v>200</v>
      </c>
    </row>
    <row r="344" spans="21:24" ht="12.75">
      <c r="U344" s="456">
        <v>194625</v>
      </c>
      <c r="V344" s="346">
        <v>5</v>
      </c>
      <c r="W344" s="346">
        <v>200</v>
      </c>
      <c r="X344" s="346">
        <v>225</v>
      </c>
    </row>
    <row r="345" spans="21:24" ht="12.75">
      <c r="U345" s="456">
        <v>195336</v>
      </c>
      <c r="V345" s="346">
        <v>12</v>
      </c>
      <c r="W345" s="346">
        <v>150</v>
      </c>
      <c r="X345" s="346">
        <v>175</v>
      </c>
    </row>
    <row r="346" spans="21:24" ht="12.75">
      <c r="U346" s="456">
        <v>195642</v>
      </c>
      <c r="V346" s="346">
        <v>6</v>
      </c>
      <c r="W346" s="346">
        <v>175</v>
      </c>
      <c r="X346" s="346">
        <v>225</v>
      </c>
    </row>
    <row r="347" spans="21:24" ht="12.75">
      <c r="U347" s="456">
        <v>195744</v>
      </c>
      <c r="V347" s="346">
        <v>8</v>
      </c>
      <c r="W347" s="346">
        <v>75</v>
      </c>
      <c r="X347" s="346">
        <v>500</v>
      </c>
    </row>
    <row r="348" spans="21:24" ht="12.75">
      <c r="U348" s="456">
        <v>196647</v>
      </c>
      <c r="V348" s="346">
        <v>11</v>
      </c>
      <c r="W348" s="346">
        <v>75</v>
      </c>
      <c r="X348" s="346">
        <v>450</v>
      </c>
    </row>
    <row r="349" spans="21:24" ht="12.75">
      <c r="U349" s="456">
        <v>198297</v>
      </c>
      <c r="V349" s="346">
        <v>11</v>
      </c>
      <c r="W349" s="346">
        <v>125</v>
      </c>
      <c r="X349" s="346">
        <v>225</v>
      </c>
    </row>
    <row r="350" spans="21:24" ht="12.75">
      <c r="U350" s="456">
        <v>198873</v>
      </c>
      <c r="V350" s="346">
        <v>9</v>
      </c>
      <c r="W350" s="346">
        <v>125</v>
      </c>
      <c r="X350" s="346">
        <v>250</v>
      </c>
    </row>
    <row r="351" spans="21:24" ht="12.75">
      <c r="U351" s="456">
        <v>199323</v>
      </c>
      <c r="V351" s="346">
        <v>9</v>
      </c>
      <c r="W351" s="346">
        <v>175</v>
      </c>
      <c r="X351" s="346">
        <v>175</v>
      </c>
    </row>
    <row r="352" spans="21:24" ht="12.75">
      <c r="U352" s="456">
        <v>199392</v>
      </c>
      <c r="V352" s="346">
        <v>6</v>
      </c>
      <c r="W352" s="346">
        <v>200</v>
      </c>
      <c r="X352" s="346">
        <v>200</v>
      </c>
    </row>
    <row r="353" spans="21:24" ht="12.75">
      <c r="U353" s="456">
        <v>199744</v>
      </c>
      <c r="V353" s="346">
        <v>8</v>
      </c>
      <c r="W353" s="346">
        <v>100</v>
      </c>
      <c r="X353" s="346">
        <v>350</v>
      </c>
    </row>
    <row r="354" spans="21:24" ht="12.75">
      <c r="U354" s="456">
        <v>200772</v>
      </c>
      <c r="V354" s="346">
        <v>11</v>
      </c>
      <c r="W354" s="346">
        <v>100</v>
      </c>
      <c r="X354" s="346">
        <v>300</v>
      </c>
    </row>
    <row r="355" spans="21:24" ht="12.75">
      <c r="U355" s="456">
        <v>204141</v>
      </c>
      <c r="V355" s="346">
        <v>7</v>
      </c>
      <c r="W355" s="346">
        <v>125</v>
      </c>
      <c r="X355" s="346">
        <v>300</v>
      </c>
    </row>
    <row r="356" spans="21:24" ht="12.75">
      <c r="U356" s="456">
        <v>204144</v>
      </c>
      <c r="V356" s="346">
        <v>8</v>
      </c>
      <c r="W356" s="346">
        <v>150</v>
      </c>
      <c r="X356" s="346">
        <v>225</v>
      </c>
    </row>
    <row r="357" spans="21:24" ht="12.75">
      <c r="U357" s="456">
        <v>204192</v>
      </c>
      <c r="V357" s="346">
        <v>6</v>
      </c>
      <c r="W357" s="346">
        <v>150</v>
      </c>
      <c r="X357" s="346">
        <v>275</v>
      </c>
    </row>
    <row r="358" spans="21:24" ht="12.75">
      <c r="U358" s="456">
        <v>204344</v>
      </c>
      <c r="V358" s="346">
        <v>8</v>
      </c>
      <c r="W358" s="346">
        <v>125</v>
      </c>
      <c r="X358" s="346">
        <v>275</v>
      </c>
    </row>
    <row r="359" spans="21:24" ht="12.75">
      <c r="U359" s="456">
        <v>206500</v>
      </c>
      <c r="V359" s="346">
        <v>5</v>
      </c>
      <c r="W359" s="346">
        <v>100</v>
      </c>
      <c r="X359" s="346">
        <v>500</v>
      </c>
    </row>
    <row r="360" spans="21:24" ht="12.75">
      <c r="U360" s="456">
        <v>206523</v>
      </c>
      <c r="V360" s="346">
        <v>9</v>
      </c>
      <c r="W360" s="346">
        <v>75</v>
      </c>
      <c r="X360" s="346">
        <v>500</v>
      </c>
    </row>
    <row r="361" spans="21:24" ht="12.75">
      <c r="U361" s="456">
        <v>207000</v>
      </c>
      <c r="V361" s="346">
        <v>10</v>
      </c>
      <c r="W361" s="346">
        <v>150</v>
      </c>
      <c r="X361" s="346">
        <v>200</v>
      </c>
    </row>
    <row r="362" spans="21:24" ht="12.75">
      <c r="U362" s="456">
        <v>207036</v>
      </c>
      <c r="V362" s="346">
        <v>12</v>
      </c>
      <c r="W362" s="346">
        <v>125</v>
      </c>
      <c r="X362" s="346">
        <v>225</v>
      </c>
    </row>
    <row r="363" spans="21:24" ht="12.75">
      <c r="U363" s="456">
        <v>207816</v>
      </c>
      <c r="V363" s="346">
        <v>7</v>
      </c>
      <c r="W363" s="346">
        <v>150</v>
      </c>
      <c r="X363" s="346">
        <v>250</v>
      </c>
    </row>
    <row r="364" spans="21:24" ht="12.75">
      <c r="U364" s="456">
        <v>207936</v>
      </c>
      <c r="V364" s="346">
        <v>12</v>
      </c>
      <c r="W364" s="346">
        <v>100</v>
      </c>
      <c r="X364" s="346">
        <v>300</v>
      </c>
    </row>
    <row r="365" spans="21:24" ht="12.75">
      <c r="U365" s="456">
        <v>208375</v>
      </c>
      <c r="V365" s="346">
        <v>5</v>
      </c>
      <c r="W365" s="346">
        <v>175</v>
      </c>
      <c r="X365" s="346">
        <v>275</v>
      </c>
    </row>
    <row r="366" spans="21:24" ht="12.75">
      <c r="U366" s="456">
        <v>210616</v>
      </c>
      <c r="V366" s="346">
        <v>7</v>
      </c>
      <c r="W366" s="346">
        <v>100</v>
      </c>
      <c r="X366" s="346">
        <v>400</v>
      </c>
    </row>
    <row r="367" spans="21:24" ht="12.75">
      <c r="U367" s="456">
        <v>212000</v>
      </c>
      <c r="V367" s="346">
        <v>10</v>
      </c>
      <c r="W367" s="346">
        <v>125</v>
      </c>
      <c r="X367" s="346">
        <v>250</v>
      </c>
    </row>
    <row r="368" spans="21:24" ht="12.75">
      <c r="U368" s="456">
        <v>212125</v>
      </c>
      <c r="V368" s="346">
        <v>5</v>
      </c>
      <c r="W368" s="346">
        <v>125</v>
      </c>
      <c r="X368" s="346">
        <v>400</v>
      </c>
    </row>
    <row r="369" spans="21:24" ht="12.75">
      <c r="U369" s="456">
        <v>213250</v>
      </c>
      <c r="V369" s="346">
        <v>10</v>
      </c>
      <c r="W369" s="346">
        <v>175</v>
      </c>
      <c r="X369" s="346">
        <v>175</v>
      </c>
    </row>
    <row r="370" spans="21:24" ht="12.75">
      <c r="U370" s="456">
        <v>213792</v>
      </c>
      <c r="V370" s="346">
        <v>6</v>
      </c>
      <c r="W370" s="346">
        <v>125</v>
      </c>
      <c r="X370" s="346">
        <v>350</v>
      </c>
    </row>
    <row r="371" spans="21:24" ht="12.75">
      <c r="U371" s="456">
        <v>214144</v>
      </c>
      <c r="V371" s="346">
        <v>8</v>
      </c>
      <c r="W371" s="346">
        <v>175</v>
      </c>
      <c r="X371" s="346">
        <v>200</v>
      </c>
    </row>
    <row r="372" spans="21:24" ht="12.75">
      <c r="U372" s="456">
        <v>214398</v>
      </c>
      <c r="V372" s="346">
        <v>9</v>
      </c>
      <c r="W372" s="346">
        <v>100</v>
      </c>
      <c r="X372" s="346">
        <v>350</v>
      </c>
    </row>
    <row r="373" spans="21:24" ht="12.75">
      <c r="U373" s="456">
        <v>214500</v>
      </c>
      <c r="V373" s="346">
        <v>10</v>
      </c>
      <c r="W373" s="346">
        <v>75</v>
      </c>
      <c r="X373" s="346">
        <v>500</v>
      </c>
    </row>
    <row r="374" spans="21:24" ht="12.75">
      <c r="U374" s="456">
        <v>217750</v>
      </c>
      <c r="V374" s="346">
        <v>5</v>
      </c>
      <c r="W374" s="346">
        <v>200</v>
      </c>
      <c r="X374" s="346">
        <v>250</v>
      </c>
    </row>
    <row r="375" spans="21:24" ht="12.75">
      <c r="U375" s="456">
        <v>218922</v>
      </c>
      <c r="V375" s="346">
        <v>11</v>
      </c>
      <c r="W375" s="346">
        <v>150</v>
      </c>
      <c r="X375" s="346">
        <v>200</v>
      </c>
    </row>
    <row r="376" spans="21:24" ht="12.75">
      <c r="U376" s="456">
        <v>219192</v>
      </c>
      <c r="V376" s="346">
        <v>6</v>
      </c>
      <c r="W376" s="346">
        <v>175</v>
      </c>
      <c r="X376" s="346">
        <v>250</v>
      </c>
    </row>
    <row r="377" spans="21:24" ht="12.75">
      <c r="U377" s="456">
        <v>219216</v>
      </c>
      <c r="V377" s="346">
        <v>12</v>
      </c>
      <c r="W377" s="346">
        <v>85</v>
      </c>
      <c r="X377" s="346">
        <v>400</v>
      </c>
    </row>
    <row r="378" spans="21:24" ht="12.75">
      <c r="U378" s="456">
        <v>219747</v>
      </c>
      <c r="V378" s="346">
        <v>11</v>
      </c>
      <c r="W378" s="346">
        <v>75</v>
      </c>
      <c r="X378" s="346">
        <v>500</v>
      </c>
    </row>
    <row r="379" spans="21:24" ht="12.75">
      <c r="U379" s="456">
        <v>220875</v>
      </c>
      <c r="V379" s="346">
        <v>5</v>
      </c>
      <c r="W379" s="346">
        <v>225</v>
      </c>
      <c r="X379" s="346">
        <v>225</v>
      </c>
    </row>
    <row r="380" spans="21:24" ht="12.75">
      <c r="U380" s="456">
        <v>220923</v>
      </c>
      <c r="V380" s="346">
        <v>9</v>
      </c>
      <c r="W380" s="346">
        <v>125</v>
      </c>
      <c r="X380" s="346">
        <v>275</v>
      </c>
    </row>
    <row r="381" spans="21:24" ht="12.75">
      <c r="U381" s="456">
        <v>220941</v>
      </c>
      <c r="V381" s="346">
        <v>7</v>
      </c>
      <c r="W381" s="346">
        <v>175</v>
      </c>
      <c r="X381" s="346">
        <v>225</v>
      </c>
    </row>
    <row r="382" spans="21:24" ht="12.75">
      <c r="U382" s="456">
        <v>221373</v>
      </c>
      <c r="V382" s="346">
        <v>9</v>
      </c>
      <c r="W382" s="346">
        <v>150</v>
      </c>
      <c r="X382" s="346">
        <v>225</v>
      </c>
    </row>
    <row r="383" spans="21:24" ht="12.75">
      <c r="U383" s="456">
        <v>223597</v>
      </c>
      <c r="V383" s="346">
        <v>11</v>
      </c>
      <c r="W383" s="346">
        <v>125</v>
      </c>
      <c r="X383" s="346">
        <v>250</v>
      </c>
    </row>
    <row r="384" spans="21:24" ht="12.75">
      <c r="U384" s="456">
        <v>223992</v>
      </c>
      <c r="V384" s="346">
        <v>6</v>
      </c>
      <c r="W384" s="346">
        <v>150</v>
      </c>
      <c r="X384" s="346">
        <v>300</v>
      </c>
    </row>
    <row r="385" spans="21:24" ht="12.75">
      <c r="U385" s="456">
        <v>224544</v>
      </c>
      <c r="V385" s="346">
        <v>8</v>
      </c>
      <c r="W385" s="346">
        <v>125</v>
      </c>
      <c r="X385" s="346">
        <v>300</v>
      </c>
    </row>
    <row r="386" spans="21:24" ht="12.75">
      <c r="U386" s="456">
        <v>225316</v>
      </c>
      <c r="V386" s="346">
        <v>7</v>
      </c>
      <c r="W386" s="346">
        <v>200</v>
      </c>
      <c r="X386" s="346">
        <v>200</v>
      </c>
    </row>
    <row r="387" spans="21:24" ht="12.75">
      <c r="U387" s="456">
        <v>225797</v>
      </c>
      <c r="V387" s="346">
        <v>11</v>
      </c>
      <c r="W387" s="346">
        <v>175</v>
      </c>
      <c r="X387" s="346">
        <v>175</v>
      </c>
    </row>
    <row r="388" spans="21:24" ht="12.75">
      <c r="U388" s="456">
        <v>226500</v>
      </c>
      <c r="V388" s="346">
        <v>5</v>
      </c>
      <c r="W388" s="346">
        <v>150</v>
      </c>
      <c r="X388" s="346">
        <v>350</v>
      </c>
    </row>
    <row r="389" spans="21:24" ht="12.75">
      <c r="U389" s="456">
        <v>226692</v>
      </c>
      <c r="V389" s="346">
        <v>6</v>
      </c>
      <c r="W389" s="346">
        <v>200</v>
      </c>
      <c r="X389" s="346">
        <v>225</v>
      </c>
    </row>
    <row r="390" spans="21:24" ht="12.75">
      <c r="U390" s="456">
        <v>227000</v>
      </c>
      <c r="V390" s="346">
        <v>10</v>
      </c>
      <c r="W390" s="346">
        <v>100</v>
      </c>
      <c r="X390" s="346">
        <v>350</v>
      </c>
    </row>
    <row r="391" spans="21:24" ht="12.75">
      <c r="U391" s="456">
        <v>228375</v>
      </c>
      <c r="V391" s="346">
        <v>5</v>
      </c>
      <c r="W391" s="346">
        <v>175</v>
      </c>
      <c r="X391" s="346">
        <v>300</v>
      </c>
    </row>
    <row r="392" spans="21:24" ht="12.75">
      <c r="U392" s="456">
        <v>229344</v>
      </c>
      <c r="V392" s="346">
        <v>8</v>
      </c>
      <c r="W392" s="346">
        <v>150</v>
      </c>
      <c r="X392" s="346">
        <v>250</v>
      </c>
    </row>
    <row r="393" spans="21:24" ht="12.75">
      <c r="U393" s="456">
        <v>229536</v>
      </c>
      <c r="V393" s="346">
        <v>12</v>
      </c>
      <c r="W393" s="346">
        <v>150</v>
      </c>
      <c r="X393" s="346">
        <v>200</v>
      </c>
    </row>
    <row r="394" spans="21:24" ht="12.75">
      <c r="U394" s="456">
        <v>230144</v>
      </c>
      <c r="V394" s="346">
        <v>8</v>
      </c>
      <c r="W394" s="346">
        <v>100</v>
      </c>
      <c r="X394" s="346">
        <v>400</v>
      </c>
    </row>
    <row r="395" spans="21:24" ht="12.75">
      <c r="U395" s="456">
        <v>230391</v>
      </c>
      <c r="V395" s="346">
        <v>7</v>
      </c>
      <c r="W395" s="346">
        <v>150</v>
      </c>
      <c r="X395" s="346">
        <v>275</v>
      </c>
    </row>
    <row r="396" spans="21:24" ht="12.75">
      <c r="U396" s="456">
        <v>232623</v>
      </c>
      <c r="V396" s="346">
        <v>9</v>
      </c>
      <c r="W396" s="346">
        <v>175</v>
      </c>
      <c r="X396" s="346">
        <v>200</v>
      </c>
    </row>
    <row r="397" spans="21:24" ht="12.75">
      <c r="U397" s="456">
        <v>233736</v>
      </c>
      <c r="V397" s="346">
        <v>12</v>
      </c>
      <c r="W397" s="346">
        <v>125</v>
      </c>
      <c r="X397" s="346">
        <v>250</v>
      </c>
    </row>
    <row r="398" spans="21:24" ht="12.75">
      <c r="U398" s="456">
        <v>235750</v>
      </c>
      <c r="V398" s="346">
        <v>10</v>
      </c>
      <c r="W398" s="346">
        <v>125</v>
      </c>
      <c r="X398" s="346">
        <v>275</v>
      </c>
    </row>
    <row r="399" spans="21:24" ht="12.75">
      <c r="U399" s="456">
        <v>237000</v>
      </c>
      <c r="V399" s="346">
        <v>10</v>
      </c>
      <c r="W399" s="346">
        <v>150</v>
      </c>
      <c r="X399" s="346">
        <v>225</v>
      </c>
    </row>
    <row r="400" spans="21:24" ht="12.75">
      <c r="U400" s="456">
        <v>237036</v>
      </c>
      <c r="V400" s="346">
        <v>12</v>
      </c>
      <c r="W400" s="346">
        <v>175</v>
      </c>
      <c r="X400" s="346">
        <v>175</v>
      </c>
    </row>
    <row r="401" spans="21:24" ht="12.75">
      <c r="U401" s="456">
        <v>237622</v>
      </c>
      <c r="V401" s="346">
        <v>11</v>
      </c>
      <c r="W401" s="346">
        <v>100</v>
      </c>
      <c r="X401" s="346">
        <v>350</v>
      </c>
    </row>
    <row r="402" spans="21:24" ht="12.75">
      <c r="U402" s="456">
        <v>237792</v>
      </c>
      <c r="V402" s="346">
        <v>6</v>
      </c>
      <c r="W402" s="346">
        <v>100</v>
      </c>
      <c r="X402" s="346">
        <v>500</v>
      </c>
    </row>
    <row r="403" spans="21:24" ht="12.75">
      <c r="U403" s="456">
        <v>240541</v>
      </c>
      <c r="V403" s="346">
        <v>7</v>
      </c>
      <c r="W403" s="346">
        <v>125</v>
      </c>
      <c r="X403" s="346">
        <v>350</v>
      </c>
    </row>
    <row r="404" spans="21:24" ht="12.75">
      <c r="U404" s="456">
        <v>240875</v>
      </c>
      <c r="V404" s="346">
        <v>5</v>
      </c>
      <c r="W404" s="346">
        <v>200</v>
      </c>
      <c r="X404" s="346">
        <v>275</v>
      </c>
    </row>
    <row r="405" spans="21:24" ht="12.75">
      <c r="U405" s="456">
        <v>242742</v>
      </c>
      <c r="V405" s="346">
        <v>6</v>
      </c>
      <c r="W405" s="346">
        <v>175</v>
      </c>
      <c r="X405" s="346">
        <v>275</v>
      </c>
    </row>
    <row r="406" spans="21:24" ht="12.75">
      <c r="U406" s="456">
        <v>242973</v>
      </c>
      <c r="V406" s="346">
        <v>9</v>
      </c>
      <c r="W406" s="346">
        <v>125</v>
      </c>
      <c r="X406" s="346">
        <v>300</v>
      </c>
    </row>
    <row r="407" spans="21:24" ht="12.75">
      <c r="U407" s="456">
        <v>244344</v>
      </c>
      <c r="V407" s="346">
        <v>8</v>
      </c>
      <c r="W407" s="346">
        <v>175</v>
      </c>
      <c r="X407" s="346">
        <v>225</v>
      </c>
    </row>
    <row r="408" spans="21:24" ht="12.75">
      <c r="U408" s="456">
        <v>245892</v>
      </c>
      <c r="V408" s="346">
        <v>6</v>
      </c>
      <c r="W408" s="346">
        <v>125</v>
      </c>
      <c r="X408" s="346">
        <v>400</v>
      </c>
    </row>
    <row r="409" spans="21:24" ht="12.75">
      <c r="U409" s="456">
        <v>246336</v>
      </c>
      <c r="V409" s="346">
        <v>12</v>
      </c>
      <c r="W409" s="346">
        <v>100</v>
      </c>
      <c r="X409" s="346">
        <v>350</v>
      </c>
    </row>
    <row r="410" spans="21:24" ht="12.75">
      <c r="U410" s="456">
        <v>247125</v>
      </c>
      <c r="V410" s="346">
        <v>5</v>
      </c>
      <c r="W410" s="346">
        <v>225</v>
      </c>
      <c r="X410" s="346">
        <v>250</v>
      </c>
    </row>
    <row r="411" spans="21:24" ht="12.75">
      <c r="U411" s="456">
        <v>247248</v>
      </c>
      <c r="V411" s="346">
        <v>9</v>
      </c>
      <c r="W411" s="346">
        <v>100</v>
      </c>
      <c r="X411" s="346">
        <v>400</v>
      </c>
    </row>
    <row r="412" spans="21:24" ht="12.75">
      <c r="U412" s="456">
        <v>247891</v>
      </c>
      <c r="V412" s="346">
        <v>7</v>
      </c>
      <c r="W412" s="346">
        <v>175</v>
      </c>
      <c r="X412" s="346">
        <v>250</v>
      </c>
    </row>
    <row r="413" spans="21:24" ht="12.75">
      <c r="U413" s="456">
        <v>248616</v>
      </c>
      <c r="V413" s="346">
        <v>12</v>
      </c>
      <c r="W413" s="346">
        <v>85</v>
      </c>
      <c r="X413" s="346">
        <v>450</v>
      </c>
    </row>
    <row r="414" spans="21:24" ht="12.75">
      <c r="U414" s="456">
        <v>248897</v>
      </c>
      <c r="V414" s="346">
        <v>11</v>
      </c>
      <c r="W414" s="346">
        <v>125</v>
      </c>
      <c r="X414" s="346">
        <v>275</v>
      </c>
    </row>
    <row r="415" spans="21:24" ht="12.75">
      <c r="U415" s="456">
        <v>249048</v>
      </c>
      <c r="V415" s="346">
        <v>9</v>
      </c>
      <c r="W415" s="346">
        <v>150</v>
      </c>
      <c r="X415" s="346">
        <v>250</v>
      </c>
    </row>
    <row r="416" spans="21:24" ht="12.75">
      <c r="U416" s="456">
        <v>249344</v>
      </c>
      <c r="V416" s="346">
        <v>8</v>
      </c>
      <c r="W416" s="346">
        <v>200</v>
      </c>
      <c r="X416" s="346">
        <v>200</v>
      </c>
    </row>
    <row r="417" spans="21:24" ht="12.75">
      <c r="U417" s="456">
        <v>249500</v>
      </c>
      <c r="V417" s="346">
        <v>10</v>
      </c>
      <c r="W417" s="346">
        <v>175</v>
      </c>
      <c r="X417" s="346">
        <v>200</v>
      </c>
    </row>
    <row r="418" spans="21:24" ht="12.75">
      <c r="U418" s="456">
        <v>251097</v>
      </c>
      <c r="V418" s="346">
        <v>11</v>
      </c>
      <c r="W418" s="346">
        <v>150</v>
      </c>
      <c r="X418" s="346">
        <v>225</v>
      </c>
    </row>
    <row r="419" spans="21:24" ht="12.75">
      <c r="U419" s="456">
        <v>252966</v>
      </c>
      <c r="V419" s="346">
        <v>7</v>
      </c>
      <c r="W419" s="346">
        <v>150</v>
      </c>
      <c r="X419" s="346">
        <v>300</v>
      </c>
    </row>
    <row r="420" spans="21:24" ht="12.75">
      <c r="U420" s="456">
        <v>253992</v>
      </c>
      <c r="V420" s="346">
        <v>6</v>
      </c>
      <c r="W420" s="346">
        <v>200</v>
      </c>
      <c r="X420" s="346">
        <v>250</v>
      </c>
    </row>
    <row r="421" spans="21:24" ht="12.75">
      <c r="U421" s="456">
        <v>254544</v>
      </c>
      <c r="V421" s="346">
        <v>8</v>
      </c>
      <c r="W421" s="346">
        <v>150</v>
      </c>
      <c r="X421" s="346">
        <v>275</v>
      </c>
    </row>
    <row r="422" spans="21:24" ht="12.75">
      <c r="U422" s="456">
        <v>256641</v>
      </c>
      <c r="V422" s="346">
        <v>7</v>
      </c>
      <c r="W422" s="346">
        <v>200</v>
      </c>
      <c r="X422" s="346">
        <v>225</v>
      </c>
    </row>
    <row r="423" spans="21:24" ht="12.75">
      <c r="U423" s="456">
        <v>257742</v>
      </c>
      <c r="V423" s="346">
        <v>6</v>
      </c>
      <c r="W423" s="346">
        <v>225</v>
      </c>
      <c r="X423" s="346">
        <v>225</v>
      </c>
    </row>
    <row r="424" spans="21:24" ht="12.75">
      <c r="U424" s="456">
        <v>259500</v>
      </c>
      <c r="V424" s="346">
        <v>10</v>
      </c>
      <c r="W424" s="346">
        <v>125</v>
      </c>
      <c r="X424" s="346">
        <v>300</v>
      </c>
    </row>
    <row r="425" spans="21:24" ht="12.75">
      <c r="U425" s="456">
        <v>260250</v>
      </c>
      <c r="V425" s="346">
        <v>5</v>
      </c>
      <c r="W425" s="346">
        <v>150</v>
      </c>
      <c r="X425" s="346">
        <v>400</v>
      </c>
    </row>
    <row r="426" spans="21:24" ht="12.75">
      <c r="U426" s="456">
        <v>260436</v>
      </c>
      <c r="V426" s="346">
        <v>12</v>
      </c>
      <c r="W426" s="346">
        <v>125</v>
      </c>
      <c r="X426" s="346">
        <v>275</v>
      </c>
    </row>
    <row r="427" spans="21:24" ht="12.75">
      <c r="U427" s="456">
        <v>262000</v>
      </c>
      <c r="V427" s="346">
        <v>10</v>
      </c>
      <c r="W427" s="346">
        <v>100</v>
      </c>
      <c r="X427" s="346">
        <v>400</v>
      </c>
    </row>
    <row r="428" spans="21:24" ht="12.75">
      <c r="U428" s="456">
        <v>263592</v>
      </c>
      <c r="V428" s="346">
        <v>6</v>
      </c>
      <c r="W428" s="346">
        <v>150</v>
      </c>
      <c r="X428" s="346">
        <v>350</v>
      </c>
    </row>
    <row r="429" spans="21:24" ht="12.75">
      <c r="U429" s="456">
        <v>263736</v>
      </c>
      <c r="V429" s="346">
        <v>12</v>
      </c>
      <c r="W429" s="346">
        <v>150</v>
      </c>
      <c r="X429" s="346">
        <v>225</v>
      </c>
    </row>
    <row r="430" spans="21:24" ht="12.75">
      <c r="U430" s="456">
        <v>264000</v>
      </c>
      <c r="V430" s="346">
        <v>5</v>
      </c>
      <c r="W430" s="346">
        <v>200</v>
      </c>
      <c r="X430" s="346">
        <v>300</v>
      </c>
    </row>
    <row r="431" spans="21:24" ht="12.75">
      <c r="U431" s="456">
        <v>264847</v>
      </c>
      <c r="V431" s="346">
        <v>11</v>
      </c>
      <c r="W431" s="346">
        <v>175</v>
      </c>
      <c r="X431" s="346">
        <v>200</v>
      </c>
    </row>
    <row r="432" spans="21:24" ht="12.75">
      <c r="U432" s="456">
        <v>264944</v>
      </c>
      <c r="V432" s="346">
        <v>8</v>
      </c>
      <c r="W432" s="346">
        <v>125</v>
      </c>
      <c r="X432" s="346">
        <v>350</v>
      </c>
    </row>
    <row r="433" spans="21:24" ht="12.75">
      <c r="U433" s="456">
        <v>265916</v>
      </c>
      <c r="V433" s="346">
        <v>7</v>
      </c>
      <c r="W433" s="346">
        <v>100</v>
      </c>
      <c r="X433" s="346">
        <v>500</v>
      </c>
    </row>
    <row r="434" spans="21:24" ht="12.75">
      <c r="U434" s="456">
        <v>265923</v>
      </c>
      <c r="V434" s="346">
        <v>9</v>
      </c>
      <c r="W434" s="346">
        <v>175</v>
      </c>
      <c r="X434" s="346">
        <v>225</v>
      </c>
    </row>
    <row r="435" spans="21:24" ht="12.75">
      <c r="U435" s="456">
        <v>266292</v>
      </c>
      <c r="V435" s="346">
        <v>6</v>
      </c>
      <c r="W435" s="346">
        <v>175</v>
      </c>
      <c r="X435" s="346">
        <v>300</v>
      </c>
    </row>
    <row r="436" spans="21:24" ht="12.75">
      <c r="U436" s="456">
        <v>267000</v>
      </c>
      <c r="V436" s="346">
        <v>10</v>
      </c>
      <c r="W436" s="346">
        <v>150</v>
      </c>
      <c r="X436" s="346">
        <v>250</v>
      </c>
    </row>
    <row r="437" spans="21:24" ht="12.75">
      <c r="U437" s="456">
        <v>267125</v>
      </c>
      <c r="V437" s="346">
        <v>5</v>
      </c>
      <c r="W437" s="346">
        <v>125</v>
      </c>
      <c r="X437" s="346">
        <v>500</v>
      </c>
    </row>
    <row r="438" spans="21:24" ht="12.75">
      <c r="U438" s="456">
        <v>268375</v>
      </c>
      <c r="V438" s="346">
        <v>5</v>
      </c>
      <c r="W438" s="346">
        <v>175</v>
      </c>
      <c r="X438" s="346">
        <v>350</v>
      </c>
    </row>
    <row r="439" spans="21:24" ht="12.75">
      <c r="U439" s="456">
        <v>271548</v>
      </c>
      <c r="V439" s="346">
        <v>9</v>
      </c>
      <c r="W439" s="346">
        <v>200</v>
      </c>
      <c r="X439" s="346">
        <v>200</v>
      </c>
    </row>
    <row r="440" spans="21:24" ht="12.75">
      <c r="U440" s="456">
        <v>273375</v>
      </c>
      <c r="V440" s="346">
        <v>5</v>
      </c>
      <c r="W440" s="346">
        <v>225</v>
      </c>
      <c r="X440" s="346">
        <v>275</v>
      </c>
    </row>
    <row r="441" spans="21:24" ht="12.75">
      <c r="U441" s="456">
        <v>274197</v>
      </c>
      <c r="V441" s="346">
        <v>11</v>
      </c>
      <c r="W441" s="346">
        <v>125</v>
      </c>
      <c r="X441" s="346">
        <v>300</v>
      </c>
    </row>
    <row r="442" spans="21:24" ht="12.75">
      <c r="U442" s="456">
        <v>274472</v>
      </c>
      <c r="V442" s="346">
        <v>11</v>
      </c>
      <c r="W442" s="346">
        <v>100</v>
      </c>
      <c r="X442" s="346">
        <v>400</v>
      </c>
    </row>
    <row r="443" spans="21:24" ht="12.75">
      <c r="U443" s="456">
        <v>274544</v>
      </c>
      <c r="V443" s="346">
        <v>8</v>
      </c>
      <c r="W443" s="346">
        <v>175</v>
      </c>
      <c r="X443" s="346">
        <v>250</v>
      </c>
    </row>
    <row r="444" spans="21:24" ht="12.75">
      <c r="U444" s="456">
        <v>274841</v>
      </c>
      <c r="V444" s="346">
        <v>7</v>
      </c>
      <c r="W444" s="346">
        <v>175</v>
      </c>
      <c r="X444" s="346">
        <v>275</v>
      </c>
    </row>
    <row r="445" spans="21:24" ht="12.75">
      <c r="U445" s="456">
        <v>276500</v>
      </c>
      <c r="V445" s="346">
        <v>5</v>
      </c>
      <c r="W445" s="346">
        <v>250</v>
      </c>
      <c r="X445" s="346">
        <v>250</v>
      </c>
    </row>
    <row r="446" spans="21:24" ht="12.75">
      <c r="U446" s="456">
        <v>276723</v>
      </c>
      <c r="V446" s="346">
        <v>9</v>
      </c>
      <c r="W446" s="346">
        <v>150</v>
      </c>
      <c r="X446" s="346">
        <v>275</v>
      </c>
    </row>
    <row r="447" spans="21:24" ht="12.75">
      <c r="U447" s="456">
        <v>276941</v>
      </c>
      <c r="V447" s="346">
        <v>7</v>
      </c>
      <c r="W447" s="346">
        <v>125</v>
      </c>
      <c r="X447" s="346">
        <v>400</v>
      </c>
    </row>
    <row r="448" spans="21:24" ht="12.75">
      <c r="U448" s="456">
        <v>278016</v>
      </c>
      <c r="V448" s="346">
        <v>12</v>
      </c>
      <c r="W448" s="346">
        <v>85</v>
      </c>
      <c r="X448" s="346">
        <v>500</v>
      </c>
    </row>
    <row r="449" spans="21:24" ht="12.75">
      <c r="U449" s="456">
        <v>278736</v>
      </c>
      <c r="V449" s="346">
        <v>12</v>
      </c>
      <c r="W449" s="346">
        <v>175</v>
      </c>
      <c r="X449" s="346">
        <v>200</v>
      </c>
    </row>
    <row r="450" spans="21:24" ht="12.75">
      <c r="U450" s="456">
        <v>279744</v>
      </c>
      <c r="V450" s="346">
        <v>8</v>
      </c>
      <c r="W450" s="346">
        <v>150</v>
      </c>
      <c r="X450" s="346">
        <v>300</v>
      </c>
    </row>
    <row r="451" spans="21:24" ht="12.75">
      <c r="U451" s="456">
        <v>281292</v>
      </c>
      <c r="V451" s="346">
        <v>6</v>
      </c>
      <c r="W451" s="346">
        <v>200</v>
      </c>
      <c r="X451" s="346">
        <v>275</v>
      </c>
    </row>
    <row r="452" spans="21:24" ht="12.75">
      <c r="U452" s="456">
        <v>283272</v>
      </c>
      <c r="V452" s="346">
        <v>11</v>
      </c>
      <c r="W452" s="346">
        <v>150</v>
      </c>
      <c r="X452" s="346">
        <v>250</v>
      </c>
    </row>
    <row r="453" spans="21:24" ht="12.75">
      <c r="U453" s="456">
        <v>284544</v>
      </c>
      <c r="V453" s="346">
        <v>8</v>
      </c>
      <c r="W453" s="346">
        <v>200</v>
      </c>
      <c r="X453" s="346">
        <v>225</v>
      </c>
    </row>
    <row r="454" spans="21:24" ht="12.75">
      <c r="U454" s="456">
        <v>284736</v>
      </c>
      <c r="V454" s="346">
        <v>12</v>
      </c>
      <c r="W454" s="346">
        <v>100</v>
      </c>
      <c r="X454" s="346">
        <v>400</v>
      </c>
    </row>
    <row r="455" spans="21:24" ht="12.75">
      <c r="U455" s="456">
        <v>285750</v>
      </c>
      <c r="V455" s="346">
        <v>10</v>
      </c>
      <c r="W455" s="346">
        <v>175</v>
      </c>
      <c r="X455" s="346">
        <v>225</v>
      </c>
    </row>
    <row r="456" spans="21:24" ht="12.75">
      <c r="U456" s="456">
        <v>287073</v>
      </c>
      <c r="V456" s="346">
        <v>9</v>
      </c>
      <c r="W456" s="346">
        <v>125</v>
      </c>
      <c r="X456" s="346">
        <v>350</v>
      </c>
    </row>
    <row r="457" spans="21:24" ht="12.75">
      <c r="U457" s="456">
        <v>287136</v>
      </c>
      <c r="V457" s="346">
        <v>12</v>
      </c>
      <c r="W457" s="346">
        <v>125</v>
      </c>
      <c r="X457" s="346">
        <v>300</v>
      </c>
    </row>
    <row r="458" spans="21:24" ht="12.75">
      <c r="U458" s="456">
        <v>287966</v>
      </c>
      <c r="V458" s="346">
        <v>7</v>
      </c>
      <c r="W458" s="346">
        <v>200</v>
      </c>
      <c r="X458" s="346">
        <v>250</v>
      </c>
    </row>
    <row r="459" spans="21:24" ht="12.75">
      <c r="U459" s="456">
        <v>288792</v>
      </c>
      <c r="V459" s="346">
        <v>6</v>
      </c>
      <c r="W459" s="346">
        <v>225</v>
      </c>
      <c r="X459" s="346">
        <v>250</v>
      </c>
    </row>
    <row r="460" spans="21:24" ht="12.75">
      <c r="U460" s="456">
        <v>290944</v>
      </c>
      <c r="V460" s="346">
        <v>8</v>
      </c>
      <c r="W460" s="346">
        <v>100</v>
      </c>
      <c r="X460" s="346">
        <v>500</v>
      </c>
    </row>
    <row r="461" spans="21:24" ht="12.75">
      <c r="U461" s="456">
        <v>292000</v>
      </c>
      <c r="V461" s="346">
        <v>10</v>
      </c>
      <c r="W461" s="346">
        <v>200</v>
      </c>
      <c r="X461" s="346">
        <v>200</v>
      </c>
    </row>
    <row r="462" spans="21:24" ht="12.75">
      <c r="U462" s="456">
        <v>292341</v>
      </c>
      <c r="V462" s="346">
        <v>7</v>
      </c>
      <c r="W462" s="346">
        <v>225</v>
      </c>
      <c r="X462" s="346">
        <v>225</v>
      </c>
    </row>
    <row r="463" spans="21:24" ht="12.75">
      <c r="U463" s="456">
        <v>297000</v>
      </c>
      <c r="V463" s="346">
        <v>10</v>
      </c>
      <c r="W463" s="346">
        <v>150</v>
      </c>
      <c r="X463" s="346">
        <v>275</v>
      </c>
    </row>
    <row r="464" spans="21:24" ht="12.75">
      <c r="U464" s="456">
        <v>297936</v>
      </c>
      <c r="V464" s="346">
        <v>12</v>
      </c>
      <c r="W464" s="346">
        <v>150</v>
      </c>
      <c r="X464" s="346">
        <v>250</v>
      </c>
    </row>
    <row r="465" spans="21:24" ht="12.75">
      <c r="U465" s="456">
        <v>298116</v>
      </c>
      <c r="V465" s="346">
        <v>7</v>
      </c>
      <c r="W465" s="346">
        <v>150</v>
      </c>
      <c r="X465" s="346">
        <v>350</v>
      </c>
    </row>
    <row r="466" spans="21:24" ht="12.75">
      <c r="U466" s="456">
        <v>299223</v>
      </c>
      <c r="V466" s="346">
        <v>9</v>
      </c>
      <c r="W466" s="346">
        <v>175</v>
      </c>
      <c r="X466" s="346">
        <v>250</v>
      </c>
    </row>
    <row r="467" spans="21:24" ht="12.75">
      <c r="U467" s="456">
        <v>299625</v>
      </c>
      <c r="V467" s="346">
        <v>5</v>
      </c>
      <c r="W467" s="346">
        <v>225</v>
      </c>
      <c r="X467" s="346">
        <v>300</v>
      </c>
    </row>
    <row r="468" spans="21:24" ht="12.75">
      <c r="U468" s="456">
        <v>301791</v>
      </c>
      <c r="V468" s="346">
        <v>7</v>
      </c>
      <c r="W468" s="346">
        <v>175</v>
      </c>
      <c r="X468" s="346">
        <v>300</v>
      </c>
    </row>
    <row r="469" spans="21:24" ht="12.75">
      <c r="U469" s="456">
        <v>303192</v>
      </c>
      <c r="V469" s="346">
        <v>6</v>
      </c>
      <c r="W469" s="346">
        <v>150</v>
      </c>
      <c r="X469" s="346">
        <v>400</v>
      </c>
    </row>
    <row r="470" spans="21:24" ht="12.75">
      <c r="U470" s="456">
        <v>303897</v>
      </c>
      <c r="V470" s="346">
        <v>11</v>
      </c>
      <c r="W470" s="346">
        <v>175</v>
      </c>
      <c r="X470" s="346">
        <v>225</v>
      </c>
    </row>
    <row r="471" spans="21:24" ht="12.75">
      <c r="U471" s="456">
        <v>304398</v>
      </c>
      <c r="V471" s="346">
        <v>9</v>
      </c>
      <c r="W471" s="346">
        <v>150</v>
      </c>
      <c r="X471" s="346">
        <v>300</v>
      </c>
    </row>
    <row r="472" spans="21:24" ht="12.75">
      <c r="U472" s="456">
        <v>304744</v>
      </c>
      <c r="V472" s="346">
        <v>8</v>
      </c>
      <c r="W472" s="346">
        <v>175</v>
      </c>
      <c r="X472" s="346">
        <v>275</v>
      </c>
    </row>
    <row r="473" spans="21:24" ht="12.75">
      <c r="U473" s="456">
        <v>305344</v>
      </c>
      <c r="V473" s="346">
        <v>8</v>
      </c>
      <c r="W473" s="346">
        <v>125</v>
      </c>
      <c r="X473" s="346">
        <v>400</v>
      </c>
    </row>
    <row r="474" spans="21:24" ht="12.75">
      <c r="U474" s="456">
        <v>305875</v>
      </c>
      <c r="V474" s="346">
        <v>5</v>
      </c>
      <c r="W474" s="346">
        <v>250</v>
      </c>
      <c r="X474" s="346">
        <v>275</v>
      </c>
    </row>
    <row r="475" spans="21:24" ht="12.75">
      <c r="U475" s="456">
        <v>307000</v>
      </c>
      <c r="V475" s="346">
        <v>10</v>
      </c>
      <c r="W475" s="346">
        <v>125</v>
      </c>
      <c r="X475" s="346">
        <v>350</v>
      </c>
    </row>
    <row r="476" spans="21:24" ht="12.75">
      <c r="U476" s="456">
        <v>308375</v>
      </c>
      <c r="V476" s="346">
        <v>5</v>
      </c>
      <c r="W476" s="346">
        <v>175</v>
      </c>
      <c r="X476" s="346">
        <v>400</v>
      </c>
    </row>
    <row r="477" spans="21:24" ht="12.75">
      <c r="U477" s="456">
        <v>308592</v>
      </c>
      <c r="V477" s="346">
        <v>6</v>
      </c>
      <c r="W477" s="346">
        <v>200</v>
      </c>
      <c r="X477" s="346">
        <v>300</v>
      </c>
    </row>
    <row r="478" spans="21:24" ht="12.75">
      <c r="U478" s="456">
        <v>310092</v>
      </c>
      <c r="V478" s="346">
        <v>6</v>
      </c>
      <c r="W478" s="346">
        <v>125</v>
      </c>
      <c r="X478" s="346">
        <v>500</v>
      </c>
    </row>
    <row r="479" spans="21:24" ht="12.75">
      <c r="U479" s="456">
        <v>310250</v>
      </c>
      <c r="V479" s="346">
        <v>5</v>
      </c>
      <c r="W479" s="346">
        <v>200</v>
      </c>
      <c r="X479" s="346">
        <v>350</v>
      </c>
    </row>
    <row r="480" spans="21:24" ht="12.75">
      <c r="U480" s="456">
        <v>310473</v>
      </c>
      <c r="V480" s="346">
        <v>9</v>
      </c>
      <c r="W480" s="346">
        <v>200</v>
      </c>
      <c r="X480" s="346">
        <v>225</v>
      </c>
    </row>
    <row r="481" spans="21:24" ht="12.75">
      <c r="U481" s="456">
        <v>310772</v>
      </c>
      <c r="V481" s="346">
        <v>11</v>
      </c>
      <c r="W481" s="346">
        <v>200</v>
      </c>
      <c r="X481" s="346">
        <v>200</v>
      </c>
    </row>
    <row r="482" spans="21:24" ht="12.75">
      <c r="U482" s="456">
        <v>311322</v>
      </c>
      <c r="V482" s="346">
        <v>11</v>
      </c>
      <c r="W482" s="346">
        <v>100</v>
      </c>
      <c r="X482" s="346">
        <v>450</v>
      </c>
    </row>
    <row r="483" spans="21:24" ht="12.75">
      <c r="U483" s="456">
        <v>312948</v>
      </c>
      <c r="V483" s="346">
        <v>9</v>
      </c>
      <c r="W483" s="346">
        <v>100</v>
      </c>
      <c r="X483" s="346">
        <v>500</v>
      </c>
    </row>
    <row r="484" spans="21:24" ht="12.75">
      <c r="U484" s="456">
        <v>313392</v>
      </c>
      <c r="V484" s="346">
        <v>6</v>
      </c>
      <c r="W484" s="346">
        <v>175</v>
      </c>
      <c r="X484" s="346">
        <v>350</v>
      </c>
    </row>
    <row r="485" spans="21:24" ht="12.75">
      <c r="U485" s="456">
        <v>315447</v>
      </c>
      <c r="V485" s="346">
        <v>11</v>
      </c>
      <c r="W485" s="346">
        <v>150</v>
      </c>
      <c r="X485" s="346">
        <v>275</v>
      </c>
    </row>
    <row r="486" spans="21:24" ht="12.75">
      <c r="U486" s="456">
        <v>319291</v>
      </c>
      <c r="V486" s="346">
        <v>7</v>
      </c>
      <c r="W486" s="346">
        <v>200</v>
      </c>
      <c r="X486" s="346">
        <v>275</v>
      </c>
    </row>
    <row r="487" spans="21:24" ht="12.75">
      <c r="U487" s="456">
        <v>319744</v>
      </c>
      <c r="V487" s="346">
        <v>8</v>
      </c>
      <c r="W487" s="346">
        <v>200</v>
      </c>
      <c r="X487" s="346">
        <v>250</v>
      </c>
    </row>
    <row r="488" spans="21:24" ht="12.75">
      <c r="U488" s="456">
        <v>319842</v>
      </c>
      <c r="V488" s="346">
        <v>6</v>
      </c>
      <c r="W488" s="346">
        <v>225</v>
      </c>
      <c r="X488" s="346">
        <v>275</v>
      </c>
    </row>
    <row r="489" spans="21:24" ht="12.75">
      <c r="U489" s="456">
        <v>320436</v>
      </c>
      <c r="V489" s="346">
        <v>12</v>
      </c>
      <c r="W489" s="346">
        <v>175</v>
      </c>
      <c r="X489" s="346">
        <v>225</v>
      </c>
    </row>
    <row r="490" spans="21:24" ht="12.75">
      <c r="U490" s="456">
        <v>322000</v>
      </c>
      <c r="V490" s="346">
        <v>10</v>
      </c>
      <c r="W490" s="346">
        <v>175</v>
      </c>
      <c r="X490" s="346">
        <v>250</v>
      </c>
    </row>
    <row r="491" spans="21:24" ht="12.75">
      <c r="U491" s="456">
        <v>323136</v>
      </c>
      <c r="V491" s="346">
        <v>12</v>
      </c>
      <c r="W491" s="346">
        <v>100</v>
      </c>
      <c r="X491" s="346">
        <v>450</v>
      </c>
    </row>
    <row r="492" spans="21:24" ht="12.75">
      <c r="U492" s="456">
        <v>323592</v>
      </c>
      <c r="V492" s="346">
        <v>6</v>
      </c>
      <c r="W492" s="346">
        <v>250</v>
      </c>
      <c r="X492" s="346">
        <v>250</v>
      </c>
    </row>
    <row r="493" spans="21:24" ht="12.75">
      <c r="U493" s="456">
        <v>324744</v>
      </c>
      <c r="V493" s="346">
        <v>8</v>
      </c>
      <c r="W493" s="346">
        <v>225</v>
      </c>
      <c r="X493" s="346">
        <v>225</v>
      </c>
    </row>
    <row r="494" spans="21:24" ht="12.75">
      <c r="U494" s="456">
        <v>324797</v>
      </c>
      <c r="V494" s="346">
        <v>11</v>
      </c>
      <c r="W494" s="346">
        <v>125</v>
      </c>
      <c r="X494" s="346">
        <v>350</v>
      </c>
    </row>
    <row r="495" spans="21:24" ht="12.75">
      <c r="U495" s="456">
        <v>327000</v>
      </c>
      <c r="V495" s="346">
        <v>10</v>
      </c>
      <c r="W495" s="346">
        <v>150</v>
      </c>
      <c r="X495" s="346">
        <v>300</v>
      </c>
    </row>
    <row r="496" spans="21:24" ht="12.75">
      <c r="U496" s="456">
        <v>327750</v>
      </c>
      <c r="V496" s="346">
        <v>5</v>
      </c>
      <c r="W496" s="346">
        <v>150</v>
      </c>
      <c r="X496" s="346">
        <v>500</v>
      </c>
    </row>
    <row r="497" spans="21:24" ht="12.75">
      <c r="U497" s="456">
        <v>327936</v>
      </c>
      <c r="V497" s="346">
        <v>12</v>
      </c>
      <c r="W497" s="346">
        <v>200</v>
      </c>
      <c r="X497" s="346">
        <v>200</v>
      </c>
    </row>
    <row r="498" spans="21:24" ht="12.75">
      <c r="U498" s="456">
        <v>328041</v>
      </c>
      <c r="V498" s="346">
        <v>7</v>
      </c>
      <c r="W498" s="346">
        <v>225</v>
      </c>
      <c r="X498" s="346">
        <v>250</v>
      </c>
    </row>
    <row r="499" spans="21:24" ht="12.75">
      <c r="U499" s="456">
        <v>330144</v>
      </c>
      <c r="V499" s="346">
        <v>8</v>
      </c>
      <c r="W499" s="346">
        <v>150</v>
      </c>
      <c r="X499" s="346">
        <v>350</v>
      </c>
    </row>
    <row r="500" spans="21:24" ht="12.75">
      <c r="U500" s="456">
        <v>331173</v>
      </c>
      <c r="V500" s="346">
        <v>9</v>
      </c>
      <c r="W500" s="346">
        <v>125</v>
      </c>
      <c r="X500" s="346">
        <v>400</v>
      </c>
    </row>
    <row r="501" spans="21:24" ht="12.75">
      <c r="U501" s="456">
        <v>332000</v>
      </c>
      <c r="V501" s="346">
        <v>10</v>
      </c>
      <c r="W501" s="346">
        <v>100</v>
      </c>
      <c r="X501" s="346">
        <v>500</v>
      </c>
    </row>
    <row r="502" spans="21:24" ht="12.75">
      <c r="U502" s="456">
        <v>332136</v>
      </c>
      <c r="V502" s="346">
        <v>12</v>
      </c>
      <c r="W502" s="346">
        <v>150</v>
      </c>
      <c r="X502" s="346">
        <v>275</v>
      </c>
    </row>
    <row r="503" spans="21:24" ht="12.75">
      <c r="U503" s="456">
        <v>332523</v>
      </c>
      <c r="V503" s="346">
        <v>9</v>
      </c>
      <c r="W503" s="346">
        <v>175</v>
      </c>
      <c r="X503" s="346">
        <v>275</v>
      </c>
    </row>
    <row r="504" spans="21:24" ht="12.75">
      <c r="U504" s="456">
        <v>334500</v>
      </c>
      <c r="V504" s="346">
        <v>10</v>
      </c>
      <c r="W504" s="346">
        <v>200</v>
      </c>
      <c r="X504" s="346">
        <v>225</v>
      </c>
    </row>
    <row r="505" spans="21:24" ht="12.75">
      <c r="U505" s="456">
        <v>334944</v>
      </c>
      <c r="V505" s="346">
        <v>8</v>
      </c>
      <c r="W505" s="346">
        <v>175</v>
      </c>
      <c r="X505" s="346">
        <v>300</v>
      </c>
    </row>
    <row r="506" spans="21:24" ht="12.75">
      <c r="U506" s="456">
        <v>335250</v>
      </c>
      <c r="V506" s="346">
        <v>5</v>
      </c>
      <c r="W506" s="346">
        <v>250</v>
      </c>
      <c r="X506" s="346">
        <v>300</v>
      </c>
    </row>
    <row r="507" spans="21:24" ht="12.75">
      <c r="U507" s="456">
        <v>338375</v>
      </c>
      <c r="V507" s="346">
        <v>5</v>
      </c>
      <c r="W507" s="346">
        <v>275</v>
      </c>
      <c r="X507" s="346">
        <v>275</v>
      </c>
    </row>
    <row r="508" spans="21:24" ht="12.75">
      <c r="U508" s="456">
        <v>340536</v>
      </c>
      <c r="V508" s="346">
        <v>12</v>
      </c>
      <c r="W508" s="346">
        <v>125</v>
      </c>
      <c r="X508" s="346">
        <v>350</v>
      </c>
    </row>
    <row r="509" spans="21:24" ht="12.75">
      <c r="U509" s="456">
        <v>342947</v>
      </c>
      <c r="V509" s="346">
        <v>11</v>
      </c>
      <c r="W509" s="346">
        <v>175</v>
      </c>
      <c r="X509" s="346">
        <v>250</v>
      </c>
    </row>
    <row r="510" spans="21:24" ht="12.75">
      <c r="U510" s="456">
        <v>343266</v>
      </c>
      <c r="V510" s="346">
        <v>7</v>
      </c>
      <c r="W510" s="346">
        <v>150</v>
      </c>
      <c r="X510" s="346">
        <v>400</v>
      </c>
    </row>
    <row r="511" spans="21:24" ht="12.75">
      <c r="U511" s="456">
        <v>347622</v>
      </c>
      <c r="V511" s="346">
        <v>11</v>
      </c>
      <c r="W511" s="346">
        <v>150</v>
      </c>
      <c r="X511" s="346">
        <v>300</v>
      </c>
    </row>
    <row r="512" spans="21:24" ht="12.75">
      <c r="U512" s="456">
        <v>348172</v>
      </c>
      <c r="V512" s="346">
        <v>11</v>
      </c>
      <c r="W512" s="346">
        <v>100</v>
      </c>
      <c r="X512" s="346">
        <v>500</v>
      </c>
    </row>
    <row r="513" spans="21:24" ht="12.75">
      <c r="U513" s="456">
        <v>349398</v>
      </c>
      <c r="V513" s="346">
        <v>9</v>
      </c>
      <c r="W513" s="346">
        <v>200</v>
      </c>
      <c r="X513" s="346">
        <v>250</v>
      </c>
    </row>
    <row r="514" spans="21:24" ht="12.75">
      <c r="U514" s="456">
        <v>349741</v>
      </c>
      <c r="V514" s="346">
        <v>7</v>
      </c>
      <c r="W514" s="346">
        <v>125</v>
      </c>
      <c r="X514" s="346">
        <v>500</v>
      </c>
    </row>
    <row r="515" spans="21:24" ht="12.75">
      <c r="U515" s="456">
        <v>350616</v>
      </c>
      <c r="V515" s="346">
        <v>7</v>
      </c>
      <c r="W515" s="346">
        <v>200</v>
      </c>
      <c r="X515" s="346">
        <v>300</v>
      </c>
    </row>
    <row r="516" spans="21:24" ht="12.75">
      <c r="U516" s="456">
        <v>350892</v>
      </c>
      <c r="V516" s="346">
        <v>6</v>
      </c>
      <c r="W516" s="346">
        <v>225</v>
      </c>
      <c r="X516" s="346">
        <v>300</v>
      </c>
    </row>
    <row r="517" spans="21:24" ht="12.75">
      <c r="U517" s="456">
        <v>352125</v>
      </c>
      <c r="V517" s="346">
        <v>5</v>
      </c>
      <c r="W517" s="346">
        <v>225</v>
      </c>
      <c r="X517" s="346">
        <v>350</v>
      </c>
    </row>
    <row r="518" spans="21:24" ht="12.75">
      <c r="U518" s="456">
        <v>354500</v>
      </c>
      <c r="V518" s="346">
        <v>10</v>
      </c>
      <c r="W518" s="346">
        <v>125</v>
      </c>
      <c r="X518" s="346">
        <v>400</v>
      </c>
    </row>
    <row r="519" spans="21:24" ht="12.75">
      <c r="U519" s="456">
        <v>354944</v>
      </c>
      <c r="V519" s="346">
        <v>8</v>
      </c>
      <c r="W519" s="346">
        <v>200</v>
      </c>
      <c r="X519" s="346">
        <v>275</v>
      </c>
    </row>
    <row r="520" spans="21:24" ht="12.75">
      <c r="U520" s="456">
        <v>355023</v>
      </c>
      <c r="V520" s="346">
        <v>9</v>
      </c>
      <c r="W520" s="346">
        <v>225</v>
      </c>
      <c r="X520" s="346">
        <v>225</v>
      </c>
    </row>
    <row r="521" spans="21:24" ht="12.75">
      <c r="U521" s="456">
        <v>355691</v>
      </c>
      <c r="V521" s="346">
        <v>7</v>
      </c>
      <c r="W521" s="346">
        <v>175</v>
      </c>
      <c r="X521" s="346">
        <v>350</v>
      </c>
    </row>
    <row r="522" spans="21:24" ht="12.75">
      <c r="U522" s="456">
        <v>356500</v>
      </c>
      <c r="V522" s="346">
        <v>5</v>
      </c>
      <c r="W522" s="346">
        <v>200</v>
      </c>
      <c r="X522" s="346">
        <v>400</v>
      </c>
    </row>
    <row r="523" spans="21:24" ht="12.75">
      <c r="U523" s="456">
        <v>356697</v>
      </c>
      <c r="V523" s="346">
        <v>11</v>
      </c>
      <c r="W523" s="346">
        <v>200</v>
      </c>
      <c r="X523" s="346">
        <v>225</v>
      </c>
    </row>
    <row r="524" spans="21:24" ht="12.75">
      <c r="U524" s="456">
        <v>358250</v>
      </c>
      <c r="V524" s="346">
        <v>10</v>
      </c>
      <c r="W524" s="346">
        <v>175</v>
      </c>
      <c r="X524" s="346">
        <v>275</v>
      </c>
    </row>
    <row r="525" spans="21:24" ht="12.75">
      <c r="U525" s="456">
        <v>358392</v>
      </c>
      <c r="V525" s="346">
        <v>6</v>
      </c>
      <c r="W525" s="346">
        <v>250</v>
      </c>
      <c r="X525" s="346">
        <v>275</v>
      </c>
    </row>
    <row r="526" spans="21:24" ht="12.75">
      <c r="U526" s="456">
        <v>359748</v>
      </c>
      <c r="V526" s="346">
        <v>9</v>
      </c>
      <c r="W526" s="346">
        <v>150</v>
      </c>
      <c r="X526" s="346">
        <v>350</v>
      </c>
    </row>
    <row r="527" spans="21:24" ht="12.75">
      <c r="U527" s="456">
        <v>360492</v>
      </c>
      <c r="V527" s="346">
        <v>6</v>
      </c>
      <c r="W527" s="346">
        <v>175</v>
      </c>
      <c r="X527" s="346">
        <v>400</v>
      </c>
    </row>
    <row r="528" spans="21:24" ht="12.75">
      <c r="U528" s="456">
        <v>361536</v>
      </c>
      <c r="V528" s="346">
        <v>12</v>
      </c>
      <c r="W528" s="346">
        <v>100</v>
      </c>
      <c r="X528" s="346">
        <v>500</v>
      </c>
    </row>
    <row r="529" spans="21:24" ht="12.75">
      <c r="U529" s="456">
        <v>362136</v>
      </c>
      <c r="V529" s="346">
        <v>12</v>
      </c>
      <c r="W529" s="346">
        <v>175</v>
      </c>
      <c r="X529" s="346">
        <v>250</v>
      </c>
    </row>
    <row r="530" spans="21:24" ht="12.75">
      <c r="U530" s="456">
        <v>363192</v>
      </c>
      <c r="V530" s="346">
        <v>6</v>
      </c>
      <c r="W530" s="346">
        <v>200</v>
      </c>
      <c r="X530" s="346">
        <v>350</v>
      </c>
    </row>
    <row r="531" spans="21:24" ht="12.75">
      <c r="U531" s="456">
        <v>363741</v>
      </c>
      <c r="V531" s="346">
        <v>7</v>
      </c>
      <c r="W531" s="346">
        <v>225</v>
      </c>
      <c r="X531" s="346">
        <v>275</v>
      </c>
    </row>
    <row r="532" spans="21:24" ht="12.75">
      <c r="U532" s="456">
        <v>364944</v>
      </c>
      <c r="V532" s="346">
        <v>8</v>
      </c>
      <c r="W532" s="346">
        <v>225</v>
      </c>
      <c r="X532" s="346">
        <v>250</v>
      </c>
    </row>
    <row r="533" spans="21:24" ht="12.75">
      <c r="U533" s="456">
        <v>365823</v>
      </c>
      <c r="V533" s="346">
        <v>9</v>
      </c>
      <c r="W533" s="346">
        <v>175</v>
      </c>
      <c r="X533" s="346">
        <v>300</v>
      </c>
    </row>
    <row r="534" spans="21:24" ht="12.75">
      <c r="U534" s="456">
        <v>366336</v>
      </c>
      <c r="V534" s="346">
        <v>12</v>
      </c>
      <c r="W534" s="346">
        <v>150</v>
      </c>
      <c r="X534" s="346">
        <v>300</v>
      </c>
    </row>
    <row r="535" spans="21:24" ht="12.75">
      <c r="U535" s="456">
        <v>368116</v>
      </c>
      <c r="V535" s="346">
        <v>7</v>
      </c>
      <c r="W535" s="346">
        <v>250</v>
      </c>
      <c r="X535" s="346">
        <v>250</v>
      </c>
    </row>
    <row r="536" spans="21:24" ht="12.75">
      <c r="U536" s="456">
        <v>370875</v>
      </c>
      <c r="V536" s="346">
        <v>5</v>
      </c>
      <c r="W536" s="346">
        <v>275</v>
      </c>
      <c r="X536" s="346">
        <v>300</v>
      </c>
    </row>
    <row r="537" spans="21:24" ht="12.75">
      <c r="U537" s="456">
        <v>375397</v>
      </c>
      <c r="V537" s="346">
        <v>11</v>
      </c>
      <c r="W537" s="346">
        <v>125</v>
      </c>
      <c r="X537" s="346">
        <v>400</v>
      </c>
    </row>
    <row r="538" spans="21:24" ht="12.75">
      <c r="U538" s="456">
        <v>377000</v>
      </c>
      <c r="V538" s="346">
        <v>10</v>
      </c>
      <c r="W538" s="346">
        <v>200</v>
      </c>
      <c r="X538" s="346">
        <v>250</v>
      </c>
    </row>
    <row r="539" spans="21:24" ht="12.75">
      <c r="U539" s="456">
        <v>377136</v>
      </c>
      <c r="V539" s="346">
        <v>12</v>
      </c>
      <c r="W539" s="346">
        <v>200</v>
      </c>
      <c r="X539" s="346">
        <v>225</v>
      </c>
    </row>
    <row r="540" spans="21:24" ht="12.75">
      <c r="U540" s="456">
        <v>380544</v>
      </c>
      <c r="V540" s="346">
        <v>8</v>
      </c>
      <c r="W540" s="346">
        <v>150</v>
      </c>
      <c r="X540" s="346">
        <v>400</v>
      </c>
    </row>
    <row r="541" spans="21:24" ht="12.75">
      <c r="U541" s="456">
        <v>381997</v>
      </c>
      <c r="V541" s="346">
        <v>11</v>
      </c>
      <c r="W541" s="346">
        <v>175</v>
      </c>
      <c r="X541" s="346">
        <v>275</v>
      </c>
    </row>
    <row r="542" spans="21:24" ht="12.75">
      <c r="U542" s="456">
        <v>382392</v>
      </c>
      <c r="V542" s="346">
        <v>6</v>
      </c>
      <c r="W542" s="346">
        <v>150</v>
      </c>
      <c r="X542" s="346">
        <v>500</v>
      </c>
    </row>
    <row r="543" spans="21:24" ht="12.75">
      <c r="U543" s="456">
        <v>383250</v>
      </c>
      <c r="V543" s="346">
        <v>10</v>
      </c>
      <c r="W543" s="346">
        <v>225</v>
      </c>
      <c r="X543" s="346">
        <v>225</v>
      </c>
    </row>
    <row r="544" spans="21:24" ht="12.75">
      <c r="U544" s="456">
        <v>386144</v>
      </c>
      <c r="V544" s="346">
        <v>8</v>
      </c>
      <c r="W544" s="346">
        <v>125</v>
      </c>
      <c r="X544" s="346">
        <v>500</v>
      </c>
    </row>
    <row r="545" spans="21:24" ht="12.75">
      <c r="U545" s="456">
        <v>387000</v>
      </c>
      <c r="V545" s="346">
        <v>10</v>
      </c>
      <c r="W545" s="346">
        <v>150</v>
      </c>
      <c r="X545" s="346">
        <v>350</v>
      </c>
    </row>
    <row r="546" spans="21:24" ht="12.75">
      <c r="U546" s="456">
        <v>388323</v>
      </c>
      <c r="V546" s="346">
        <v>9</v>
      </c>
      <c r="W546" s="346">
        <v>200</v>
      </c>
      <c r="X546" s="346">
        <v>275</v>
      </c>
    </row>
    <row r="547" spans="21:24" ht="12.75">
      <c r="U547" s="456">
        <v>388375</v>
      </c>
      <c r="V547" s="346">
        <v>5</v>
      </c>
      <c r="W547" s="346">
        <v>175</v>
      </c>
      <c r="X547" s="346">
        <v>500</v>
      </c>
    </row>
    <row r="548" spans="21:24" ht="12.75">
      <c r="U548" s="456">
        <v>390144</v>
      </c>
      <c r="V548" s="346">
        <v>8</v>
      </c>
      <c r="W548" s="346">
        <v>200</v>
      </c>
      <c r="X548" s="346">
        <v>300</v>
      </c>
    </row>
    <row r="549" spans="21:24" ht="12.75">
      <c r="U549" s="456">
        <v>393192</v>
      </c>
      <c r="V549" s="346">
        <v>6</v>
      </c>
      <c r="W549" s="346">
        <v>250</v>
      </c>
      <c r="X549" s="346">
        <v>300</v>
      </c>
    </row>
    <row r="550" spans="21:24" ht="12.75">
      <c r="U550" s="456">
        <v>393936</v>
      </c>
      <c r="V550" s="346">
        <v>12</v>
      </c>
      <c r="W550" s="346">
        <v>125</v>
      </c>
      <c r="X550" s="346">
        <v>400</v>
      </c>
    </row>
    <row r="551" spans="21:24" ht="12.75">
      <c r="U551" s="456">
        <v>394000</v>
      </c>
      <c r="V551" s="346">
        <v>5</v>
      </c>
      <c r="W551" s="346">
        <v>250</v>
      </c>
      <c r="X551" s="346">
        <v>350</v>
      </c>
    </row>
    <row r="552" spans="21:24" ht="12.75">
      <c r="U552" s="456">
        <v>394500</v>
      </c>
      <c r="V552" s="346">
        <v>10</v>
      </c>
      <c r="W552" s="346">
        <v>175</v>
      </c>
      <c r="X552" s="346">
        <v>300</v>
      </c>
    </row>
    <row r="553" spans="21:24" ht="12.75">
      <c r="U553" s="456">
        <v>395344</v>
      </c>
      <c r="V553" s="346">
        <v>8</v>
      </c>
      <c r="W553" s="346">
        <v>175</v>
      </c>
      <c r="X553" s="346">
        <v>350</v>
      </c>
    </row>
    <row r="554" spans="21:24" ht="12.75">
      <c r="U554" s="456">
        <v>396942</v>
      </c>
      <c r="V554" s="346">
        <v>6</v>
      </c>
      <c r="W554" s="346">
        <v>275</v>
      </c>
      <c r="X554" s="346">
        <v>275</v>
      </c>
    </row>
    <row r="555" spans="21:24" ht="12.75">
      <c r="U555" s="456">
        <v>399441</v>
      </c>
      <c r="V555" s="346">
        <v>7</v>
      </c>
      <c r="W555" s="346">
        <v>225</v>
      </c>
      <c r="X555" s="346">
        <v>300</v>
      </c>
    </row>
    <row r="556" spans="21:24" ht="12.75">
      <c r="U556" s="456">
        <v>399573</v>
      </c>
      <c r="V556" s="346">
        <v>9</v>
      </c>
      <c r="W556" s="346">
        <v>225</v>
      </c>
      <c r="X556" s="346">
        <v>250</v>
      </c>
    </row>
    <row r="557" spans="21:24" ht="12.75">
      <c r="U557" s="456">
        <v>402622</v>
      </c>
      <c r="V557" s="346">
        <v>11</v>
      </c>
      <c r="W557" s="346">
        <v>200</v>
      </c>
      <c r="X557" s="346">
        <v>250</v>
      </c>
    </row>
    <row r="558" spans="21:24" ht="12.75">
      <c r="U558" s="456">
        <v>403836</v>
      </c>
      <c r="V558" s="346">
        <v>12</v>
      </c>
      <c r="W558" s="346">
        <v>175</v>
      </c>
      <c r="X558" s="346">
        <v>275</v>
      </c>
    </row>
    <row r="559" spans="21:24" ht="12.75">
      <c r="U559" s="456">
        <v>404625</v>
      </c>
      <c r="V559" s="346">
        <v>5</v>
      </c>
      <c r="W559" s="346">
        <v>225</v>
      </c>
      <c r="X559" s="346">
        <v>400</v>
      </c>
    </row>
    <row r="560" spans="21:24" ht="12.75">
      <c r="U560" s="456">
        <v>405144</v>
      </c>
      <c r="V560" s="346">
        <v>8</v>
      </c>
      <c r="W560" s="346">
        <v>225</v>
      </c>
      <c r="X560" s="346">
        <v>275</v>
      </c>
    </row>
    <row r="561" spans="21:24" ht="12.75">
      <c r="U561" s="456">
        <v>406500</v>
      </c>
      <c r="V561" s="346">
        <v>5</v>
      </c>
      <c r="W561" s="346">
        <v>300</v>
      </c>
      <c r="X561" s="346">
        <v>300</v>
      </c>
    </row>
    <row r="562" spans="21:24" ht="12.75">
      <c r="U562" s="456">
        <v>408191</v>
      </c>
      <c r="V562" s="346">
        <v>7</v>
      </c>
      <c r="W562" s="346">
        <v>250</v>
      </c>
      <c r="X562" s="346">
        <v>275</v>
      </c>
    </row>
    <row r="563" spans="21:24" ht="12.75">
      <c r="U563" s="456">
        <v>409497</v>
      </c>
      <c r="V563" s="346">
        <v>11</v>
      </c>
      <c r="W563" s="346">
        <v>225</v>
      </c>
      <c r="X563" s="346">
        <v>225</v>
      </c>
    </row>
    <row r="564" spans="21:24" ht="12.75">
      <c r="U564" s="456">
        <v>409591</v>
      </c>
      <c r="V564" s="346">
        <v>7</v>
      </c>
      <c r="W564" s="346">
        <v>175</v>
      </c>
      <c r="X564" s="346">
        <v>400</v>
      </c>
    </row>
    <row r="565" spans="21:24" ht="12.75">
      <c r="U565" s="456">
        <v>410144</v>
      </c>
      <c r="V565" s="346">
        <v>8</v>
      </c>
      <c r="W565" s="346">
        <v>250</v>
      </c>
      <c r="X565" s="346">
        <v>250</v>
      </c>
    </row>
    <row r="566" spans="21:24" ht="12.75">
      <c r="U566" s="456">
        <v>411972</v>
      </c>
      <c r="V566" s="346">
        <v>11</v>
      </c>
      <c r="W566" s="346">
        <v>150</v>
      </c>
      <c r="X566" s="346">
        <v>350</v>
      </c>
    </row>
    <row r="567" spans="21:24" ht="12.75">
      <c r="U567" s="456">
        <v>412992</v>
      </c>
      <c r="V567" s="346">
        <v>6</v>
      </c>
      <c r="W567" s="346">
        <v>225</v>
      </c>
      <c r="X567" s="346">
        <v>350</v>
      </c>
    </row>
    <row r="568" spans="21:24" ht="12.75">
      <c r="U568" s="456">
        <v>413266</v>
      </c>
      <c r="V568" s="346">
        <v>7</v>
      </c>
      <c r="W568" s="346">
        <v>200</v>
      </c>
      <c r="X568" s="346">
        <v>350</v>
      </c>
    </row>
    <row r="569" spans="21:24" ht="12.75">
      <c r="U569" s="456">
        <v>415098</v>
      </c>
      <c r="V569" s="346">
        <v>9</v>
      </c>
      <c r="W569" s="346">
        <v>150</v>
      </c>
      <c r="X569" s="346">
        <v>400</v>
      </c>
    </row>
    <row r="570" spans="21:24" ht="12.75">
      <c r="U570" s="456">
        <v>417792</v>
      </c>
      <c r="V570" s="346">
        <v>6</v>
      </c>
      <c r="W570" s="346">
        <v>200</v>
      </c>
      <c r="X570" s="346">
        <v>400</v>
      </c>
    </row>
    <row r="571" spans="21:24" ht="12.75">
      <c r="U571" s="456">
        <v>419373</v>
      </c>
      <c r="V571" s="346">
        <v>9</v>
      </c>
      <c r="W571" s="346">
        <v>125</v>
      </c>
      <c r="X571" s="346">
        <v>500</v>
      </c>
    </row>
    <row r="572" spans="21:24" ht="12.75">
      <c r="U572" s="456">
        <v>419500</v>
      </c>
      <c r="V572" s="346">
        <v>10</v>
      </c>
      <c r="W572" s="346">
        <v>200</v>
      </c>
      <c r="X572" s="346">
        <v>275</v>
      </c>
    </row>
    <row r="573" spans="21:24" ht="12.75">
      <c r="U573" s="456">
        <v>421047</v>
      </c>
      <c r="V573" s="346">
        <v>11</v>
      </c>
      <c r="W573" s="346">
        <v>175</v>
      </c>
      <c r="X573" s="346">
        <v>300</v>
      </c>
    </row>
    <row r="574" spans="21:24" ht="12.75">
      <c r="U574" s="456">
        <v>425997</v>
      </c>
      <c r="V574" s="346">
        <v>11</v>
      </c>
      <c r="W574" s="346">
        <v>125</v>
      </c>
      <c r="X574" s="346">
        <v>450</v>
      </c>
    </row>
    <row r="575" spans="21:24" ht="12.75">
      <c r="U575" s="456">
        <v>426336</v>
      </c>
      <c r="V575" s="346">
        <v>12</v>
      </c>
      <c r="W575" s="346">
        <v>200</v>
      </c>
      <c r="X575" s="346">
        <v>250</v>
      </c>
    </row>
    <row r="576" spans="21:24" ht="12.75">
      <c r="U576" s="456">
        <v>427248</v>
      </c>
      <c r="V576" s="346">
        <v>9</v>
      </c>
      <c r="W576" s="346">
        <v>200</v>
      </c>
      <c r="X576" s="346">
        <v>300</v>
      </c>
    </row>
    <row r="577" spans="21:24" ht="12.75">
      <c r="U577" s="456">
        <v>432000</v>
      </c>
      <c r="V577" s="346">
        <v>10</v>
      </c>
      <c r="W577" s="346">
        <v>225</v>
      </c>
      <c r="X577" s="346">
        <v>250</v>
      </c>
    </row>
    <row r="578" spans="21:24" ht="12.75">
      <c r="U578" s="456">
        <v>432423</v>
      </c>
      <c r="V578" s="346">
        <v>9</v>
      </c>
      <c r="W578" s="346">
        <v>175</v>
      </c>
      <c r="X578" s="346">
        <v>350</v>
      </c>
    </row>
    <row r="579" spans="21:24" ht="12.75">
      <c r="U579" s="456">
        <v>433566</v>
      </c>
      <c r="V579" s="346">
        <v>7</v>
      </c>
      <c r="W579" s="346">
        <v>150</v>
      </c>
      <c r="X579" s="346">
        <v>500</v>
      </c>
    </row>
    <row r="580" spans="21:24" ht="12.75">
      <c r="U580" s="456">
        <v>433836</v>
      </c>
      <c r="V580" s="346">
        <v>12</v>
      </c>
      <c r="W580" s="346">
        <v>225</v>
      </c>
      <c r="X580" s="346">
        <v>225</v>
      </c>
    </row>
    <row r="581" spans="21:24" ht="12.75">
      <c r="U581" s="456">
        <v>434736</v>
      </c>
      <c r="V581" s="346">
        <v>12</v>
      </c>
      <c r="W581" s="346">
        <v>150</v>
      </c>
      <c r="X581" s="346">
        <v>350</v>
      </c>
    </row>
    <row r="582" spans="21:24" ht="12.75">
      <c r="U582" s="456">
        <v>435492</v>
      </c>
      <c r="V582" s="346">
        <v>6</v>
      </c>
      <c r="W582" s="346">
        <v>275</v>
      </c>
      <c r="X582" s="346">
        <v>300</v>
      </c>
    </row>
    <row r="583" spans="21:24" ht="12.75">
      <c r="U583" s="456">
        <v>435875</v>
      </c>
      <c r="V583" s="346">
        <v>5</v>
      </c>
      <c r="W583" s="346">
        <v>275</v>
      </c>
      <c r="X583" s="346">
        <v>350</v>
      </c>
    </row>
    <row r="584" spans="21:24" ht="12.75">
      <c r="U584" s="456">
        <v>444123</v>
      </c>
      <c r="V584" s="346">
        <v>9</v>
      </c>
      <c r="W584" s="346">
        <v>225</v>
      </c>
      <c r="X584" s="346">
        <v>275</v>
      </c>
    </row>
    <row r="585" spans="21:24" ht="12.75">
      <c r="U585" s="456">
        <v>445344</v>
      </c>
      <c r="V585" s="346">
        <v>8</v>
      </c>
      <c r="W585" s="346">
        <v>225</v>
      </c>
      <c r="X585" s="346">
        <v>300</v>
      </c>
    </row>
    <row r="586" spans="21:24" ht="12.75">
      <c r="U586" s="456">
        <v>445536</v>
      </c>
      <c r="V586" s="346">
        <v>12</v>
      </c>
      <c r="W586" s="346">
        <v>175</v>
      </c>
      <c r="X586" s="346">
        <v>300</v>
      </c>
    </row>
    <row r="587" spans="21:24" ht="12.75">
      <c r="U587" s="456">
        <v>447000</v>
      </c>
      <c r="V587" s="346">
        <v>10</v>
      </c>
      <c r="W587" s="346">
        <v>150</v>
      </c>
      <c r="X587" s="346">
        <v>400</v>
      </c>
    </row>
    <row r="588" spans="21:24" ht="12.75">
      <c r="U588" s="456">
        <v>447336</v>
      </c>
      <c r="V588" s="346">
        <v>12</v>
      </c>
      <c r="W588" s="346">
        <v>125</v>
      </c>
      <c r="X588" s="346">
        <v>450</v>
      </c>
    </row>
    <row r="589" spans="21:24" ht="12.75">
      <c r="U589" s="456">
        <v>448266</v>
      </c>
      <c r="V589" s="346">
        <v>7</v>
      </c>
      <c r="W589" s="346">
        <v>250</v>
      </c>
      <c r="X589" s="346">
        <v>300</v>
      </c>
    </row>
    <row r="590" spans="21:24" ht="12.75">
      <c r="U590" s="456">
        <v>448547</v>
      </c>
      <c r="V590" s="346">
        <v>11</v>
      </c>
      <c r="W590" s="346">
        <v>200</v>
      </c>
      <c r="X590" s="346">
        <v>275</v>
      </c>
    </row>
    <row r="591" spans="21:24" ht="12.75">
      <c r="U591" s="456">
        <v>449000</v>
      </c>
      <c r="V591" s="346">
        <v>5</v>
      </c>
      <c r="W591" s="346">
        <v>200</v>
      </c>
      <c r="X591" s="346">
        <v>500</v>
      </c>
    </row>
    <row r="592" spans="21:24" ht="12.75">
      <c r="U592" s="456">
        <v>449500</v>
      </c>
      <c r="V592" s="346">
        <v>10</v>
      </c>
      <c r="W592" s="346">
        <v>125</v>
      </c>
      <c r="X592" s="346">
        <v>500</v>
      </c>
    </row>
    <row r="593" spans="21:24" ht="12.75">
      <c r="U593" s="456">
        <v>449748</v>
      </c>
      <c r="V593" s="346">
        <v>9</v>
      </c>
      <c r="W593" s="346">
        <v>250</v>
      </c>
      <c r="X593" s="346">
        <v>250</v>
      </c>
    </row>
    <row r="594" spans="21:24" ht="12.75">
      <c r="U594" s="456">
        <v>452641</v>
      </c>
      <c r="V594" s="346">
        <v>7</v>
      </c>
      <c r="W594" s="346">
        <v>275</v>
      </c>
      <c r="X594" s="346">
        <v>275</v>
      </c>
    </row>
    <row r="595" spans="21:24" ht="12.75">
      <c r="U595" s="456">
        <v>452750</v>
      </c>
      <c r="V595" s="346">
        <v>5</v>
      </c>
      <c r="W595" s="346">
        <v>250</v>
      </c>
      <c r="X595" s="346">
        <v>400</v>
      </c>
    </row>
    <row r="596" spans="21:24" ht="12.75">
      <c r="U596" s="456">
        <v>454692</v>
      </c>
      <c r="V596" s="346">
        <v>6</v>
      </c>
      <c r="W596" s="346">
        <v>175</v>
      </c>
      <c r="X596" s="346">
        <v>500</v>
      </c>
    </row>
    <row r="597" spans="21:24" ht="12.75">
      <c r="U597" s="456">
        <v>455344</v>
      </c>
      <c r="V597" s="346">
        <v>8</v>
      </c>
      <c r="W597" s="346">
        <v>250</v>
      </c>
      <c r="X597" s="346">
        <v>275</v>
      </c>
    </row>
    <row r="598" spans="21:24" ht="12.75">
      <c r="U598" s="456">
        <v>455744</v>
      </c>
      <c r="V598" s="346">
        <v>8</v>
      </c>
      <c r="W598" s="346">
        <v>175</v>
      </c>
      <c r="X598" s="346">
        <v>400</v>
      </c>
    </row>
    <row r="599" spans="21:24" ht="12.75">
      <c r="U599" s="456">
        <v>460544</v>
      </c>
      <c r="V599" s="346">
        <v>8</v>
      </c>
      <c r="W599" s="346">
        <v>200</v>
      </c>
      <c r="X599" s="346">
        <v>350</v>
      </c>
    </row>
    <row r="600" spans="21:24" ht="12.75">
      <c r="U600" s="456">
        <v>462000</v>
      </c>
      <c r="V600" s="346">
        <v>10</v>
      </c>
      <c r="W600" s="346">
        <v>200</v>
      </c>
      <c r="X600" s="346">
        <v>300</v>
      </c>
    </row>
    <row r="601" spans="21:24" ht="12.75">
      <c r="U601" s="456">
        <v>462297</v>
      </c>
      <c r="V601" s="346">
        <v>11</v>
      </c>
      <c r="W601" s="346">
        <v>225</v>
      </c>
      <c r="X601" s="346">
        <v>250</v>
      </c>
    </row>
    <row r="602" spans="21:24" ht="12.75">
      <c r="U602" s="456">
        <v>462792</v>
      </c>
      <c r="V602" s="346">
        <v>6</v>
      </c>
      <c r="W602" s="346">
        <v>250</v>
      </c>
      <c r="X602" s="346">
        <v>350</v>
      </c>
    </row>
    <row r="603" spans="21:24" ht="12.75">
      <c r="U603" s="456">
        <v>467000</v>
      </c>
      <c r="V603" s="346">
        <v>10</v>
      </c>
      <c r="W603" s="346">
        <v>175</v>
      </c>
      <c r="X603" s="346">
        <v>350</v>
      </c>
    </row>
    <row r="604" spans="21:24" ht="12.75">
      <c r="U604" s="456">
        <v>470841</v>
      </c>
      <c r="V604" s="346">
        <v>7</v>
      </c>
      <c r="W604" s="346">
        <v>225</v>
      </c>
      <c r="X604" s="346">
        <v>350</v>
      </c>
    </row>
    <row r="605" spans="21:24" ht="12.75">
      <c r="U605" s="456">
        <v>475092</v>
      </c>
      <c r="V605" s="346">
        <v>6</v>
      </c>
      <c r="W605" s="346">
        <v>225</v>
      </c>
      <c r="X605" s="346">
        <v>400</v>
      </c>
    </row>
    <row r="606" spans="21:24" ht="12.75">
      <c r="U606" s="456">
        <v>475536</v>
      </c>
      <c r="V606" s="346">
        <v>12</v>
      </c>
      <c r="W606" s="346">
        <v>200</v>
      </c>
      <c r="X606" s="346">
        <v>275</v>
      </c>
    </row>
    <row r="607" spans="21:24" ht="12.75">
      <c r="U607" s="456">
        <v>475916</v>
      </c>
      <c r="V607" s="346">
        <v>7</v>
      </c>
      <c r="W607" s="346">
        <v>200</v>
      </c>
      <c r="X607" s="346">
        <v>400</v>
      </c>
    </row>
    <row r="608" spans="21:24" ht="12.75">
      <c r="U608" s="456">
        <v>476322</v>
      </c>
      <c r="V608" s="346">
        <v>11</v>
      </c>
      <c r="W608" s="346">
        <v>150</v>
      </c>
      <c r="X608" s="346">
        <v>400</v>
      </c>
    </row>
    <row r="609" spans="21:24" ht="12.75">
      <c r="U609" s="456">
        <v>476597</v>
      </c>
      <c r="V609" s="346">
        <v>11</v>
      </c>
      <c r="W609" s="346">
        <v>125</v>
      </c>
      <c r="X609" s="346">
        <v>500</v>
      </c>
    </row>
    <row r="610" spans="21:24" ht="12.75">
      <c r="U610" s="456">
        <v>477750</v>
      </c>
      <c r="V610" s="346">
        <v>5</v>
      </c>
      <c r="W610" s="346">
        <v>300</v>
      </c>
      <c r="X610" s="346">
        <v>350</v>
      </c>
    </row>
    <row r="611" spans="21:24" ht="12.75">
      <c r="U611" s="456">
        <v>477792</v>
      </c>
      <c r="V611" s="346">
        <v>6</v>
      </c>
      <c r="W611" s="346">
        <v>300</v>
      </c>
      <c r="X611" s="346">
        <v>300</v>
      </c>
    </row>
    <row r="612" spans="21:24" ht="12.75">
      <c r="U612" s="456">
        <v>480750</v>
      </c>
      <c r="V612" s="346">
        <v>10</v>
      </c>
      <c r="W612" s="346">
        <v>225</v>
      </c>
      <c r="X612" s="346">
        <v>275</v>
      </c>
    </row>
    <row r="613" spans="21:24" ht="12.75">
      <c r="U613" s="456">
        <v>481344</v>
      </c>
      <c r="V613" s="346">
        <v>8</v>
      </c>
      <c r="W613" s="346">
        <v>150</v>
      </c>
      <c r="X613" s="346">
        <v>500</v>
      </c>
    </row>
    <row r="614" spans="21:24" ht="12.75">
      <c r="U614" s="456">
        <v>487000</v>
      </c>
      <c r="V614" s="346">
        <v>10</v>
      </c>
      <c r="W614" s="346">
        <v>250</v>
      </c>
      <c r="X614" s="346">
        <v>250</v>
      </c>
    </row>
    <row r="615" spans="21:24" ht="12.75">
      <c r="U615" s="456">
        <v>488673</v>
      </c>
      <c r="V615" s="346">
        <v>9</v>
      </c>
      <c r="W615" s="346">
        <v>225</v>
      </c>
      <c r="X615" s="346">
        <v>300</v>
      </c>
    </row>
    <row r="616" spans="21:24" ht="12.75">
      <c r="U616" s="456">
        <v>490536</v>
      </c>
      <c r="V616" s="346">
        <v>12</v>
      </c>
      <c r="W616" s="346">
        <v>225</v>
      </c>
      <c r="X616" s="346">
        <v>250</v>
      </c>
    </row>
    <row r="617" spans="21:24" ht="12.75">
      <c r="U617" s="456">
        <v>494472</v>
      </c>
      <c r="V617" s="346">
        <v>11</v>
      </c>
      <c r="W617" s="346">
        <v>200</v>
      </c>
      <c r="X617" s="346">
        <v>300</v>
      </c>
    </row>
    <row r="618" spans="21:24" ht="12.75">
      <c r="U618" s="456">
        <v>497091</v>
      </c>
      <c r="V618" s="346">
        <v>7</v>
      </c>
      <c r="W618" s="346">
        <v>275</v>
      </c>
      <c r="X618" s="346">
        <v>300</v>
      </c>
    </row>
    <row r="619" spans="21:24" ht="12.75">
      <c r="U619" s="456">
        <v>499023</v>
      </c>
      <c r="V619" s="346">
        <v>9</v>
      </c>
      <c r="W619" s="346">
        <v>175</v>
      </c>
      <c r="X619" s="346">
        <v>400</v>
      </c>
    </row>
    <row r="620" spans="21:24" ht="12.75">
      <c r="U620" s="456">
        <v>499147</v>
      </c>
      <c r="V620" s="346">
        <v>11</v>
      </c>
      <c r="W620" s="346">
        <v>175</v>
      </c>
      <c r="X620" s="346">
        <v>350</v>
      </c>
    </row>
    <row r="621" spans="21:24" ht="12.75">
      <c r="U621" s="456">
        <v>499923</v>
      </c>
      <c r="V621" s="346">
        <v>9</v>
      </c>
      <c r="W621" s="346">
        <v>250</v>
      </c>
      <c r="X621" s="346">
        <v>275</v>
      </c>
    </row>
    <row r="622" spans="21:24" ht="12.75">
      <c r="U622" s="456">
        <v>500544</v>
      </c>
      <c r="V622" s="346">
        <v>8</v>
      </c>
      <c r="W622" s="346">
        <v>250</v>
      </c>
      <c r="X622" s="346">
        <v>300</v>
      </c>
    </row>
    <row r="623" spans="21:24" ht="12.75">
      <c r="U623" s="456">
        <v>500736</v>
      </c>
      <c r="V623" s="346">
        <v>12</v>
      </c>
      <c r="W623" s="346">
        <v>125</v>
      </c>
      <c r="X623" s="346">
        <v>500</v>
      </c>
    </row>
    <row r="624" spans="21:24" ht="12.75">
      <c r="U624" s="456">
        <v>500875</v>
      </c>
      <c r="V624" s="346">
        <v>5</v>
      </c>
      <c r="W624" s="346">
        <v>275</v>
      </c>
      <c r="X624" s="346">
        <v>400</v>
      </c>
    </row>
    <row r="625" spans="21:24" ht="12.75">
      <c r="U625" s="456">
        <v>503136</v>
      </c>
      <c r="V625" s="346">
        <v>12</v>
      </c>
      <c r="W625" s="346">
        <v>150</v>
      </c>
      <c r="X625" s="346">
        <v>400</v>
      </c>
    </row>
    <row r="626" spans="21:24" ht="12.75">
      <c r="U626" s="456">
        <v>505098</v>
      </c>
      <c r="V626" s="346">
        <v>9</v>
      </c>
      <c r="W626" s="346">
        <v>200</v>
      </c>
      <c r="X626" s="346">
        <v>350</v>
      </c>
    </row>
    <row r="627" spans="21:24" ht="12.75">
      <c r="U627" s="456">
        <v>505544</v>
      </c>
      <c r="V627" s="346">
        <v>8</v>
      </c>
      <c r="W627" s="346">
        <v>275</v>
      </c>
      <c r="X627" s="346">
        <v>275</v>
      </c>
    </row>
    <row r="628" spans="21:24" ht="12.75">
      <c r="U628" s="456">
        <v>509625</v>
      </c>
      <c r="V628" s="346">
        <v>5</v>
      </c>
      <c r="W628" s="346">
        <v>225</v>
      </c>
      <c r="X628" s="346">
        <v>500</v>
      </c>
    </row>
    <row r="629" spans="21:24" ht="12.75">
      <c r="U629" s="456">
        <v>512592</v>
      </c>
      <c r="V629" s="346">
        <v>6</v>
      </c>
      <c r="W629" s="346">
        <v>275</v>
      </c>
      <c r="X629" s="346">
        <v>350</v>
      </c>
    </row>
    <row r="630" spans="21:24" ht="12.75">
      <c r="U630" s="456">
        <v>515097</v>
      </c>
      <c r="V630" s="346">
        <v>11</v>
      </c>
      <c r="W630" s="346">
        <v>225</v>
      </c>
      <c r="X630" s="346">
        <v>275</v>
      </c>
    </row>
    <row r="631" spans="21:24" ht="12.75">
      <c r="U631" s="456">
        <v>517391</v>
      </c>
      <c r="V631" s="346">
        <v>7</v>
      </c>
      <c r="W631" s="346">
        <v>175</v>
      </c>
      <c r="X631" s="346">
        <v>500</v>
      </c>
    </row>
    <row r="632" spans="21:24" ht="12.75">
      <c r="U632" s="456">
        <v>521972</v>
      </c>
      <c r="V632" s="346">
        <v>11</v>
      </c>
      <c r="W632" s="346">
        <v>250</v>
      </c>
      <c r="X632" s="346">
        <v>250</v>
      </c>
    </row>
    <row r="633" spans="21:24" ht="12.75">
      <c r="U633" s="456">
        <v>524736</v>
      </c>
      <c r="V633" s="346">
        <v>12</v>
      </c>
      <c r="W633" s="346">
        <v>200</v>
      </c>
      <c r="X633" s="346">
        <v>300</v>
      </c>
    </row>
    <row r="634" spans="21:24" ht="12.75">
      <c r="U634" s="456">
        <v>525798</v>
      </c>
      <c r="V634" s="346">
        <v>9</v>
      </c>
      <c r="W634" s="346">
        <v>150</v>
      </c>
      <c r="X634" s="346">
        <v>500</v>
      </c>
    </row>
    <row r="635" spans="21:24" ht="12.75">
      <c r="U635" s="456">
        <v>525944</v>
      </c>
      <c r="V635" s="346">
        <v>8</v>
      </c>
      <c r="W635" s="346">
        <v>225</v>
      </c>
      <c r="X635" s="346">
        <v>350</v>
      </c>
    </row>
    <row r="636" spans="21:24" ht="12.75">
      <c r="U636" s="456">
        <v>526992</v>
      </c>
      <c r="V636" s="346">
        <v>6</v>
      </c>
      <c r="W636" s="346">
        <v>200</v>
      </c>
      <c r="X636" s="346">
        <v>500</v>
      </c>
    </row>
    <row r="637" spans="21:24" ht="12.75">
      <c r="U637" s="456">
        <v>528416</v>
      </c>
      <c r="V637" s="346">
        <v>7</v>
      </c>
      <c r="W637" s="346">
        <v>250</v>
      </c>
      <c r="X637" s="346">
        <v>350</v>
      </c>
    </row>
    <row r="638" spans="21:24" ht="12.75">
      <c r="U638" s="456">
        <v>528936</v>
      </c>
      <c r="V638" s="346">
        <v>12</v>
      </c>
      <c r="W638" s="346">
        <v>175</v>
      </c>
      <c r="X638" s="346">
        <v>350</v>
      </c>
    </row>
    <row r="639" spans="21:24" ht="12.75">
      <c r="U639" s="456">
        <v>529500</v>
      </c>
      <c r="V639" s="346">
        <v>10</v>
      </c>
      <c r="W639" s="346">
        <v>225</v>
      </c>
      <c r="X639" s="346">
        <v>300</v>
      </c>
    </row>
    <row r="640" spans="21:24" ht="12.75">
      <c r="U640" s="456">
        <v>530944</v>
      </c>
      <c r="V640" s="346">
        <v>8</v>
      </c>
      <c r="W640" s="346">
        <v>200</v>
      </c>
      <c r="X640" s="346">
        <v>400</v>
      </c>
    </row>
    <row r="641" spans="21:24" ht="12.75">
      <c r="U641" s="456">
        <v>532392</v>
      </c>
      <c r="V641" s="346">
        <v>6</v>
      </c>
      <c r="W641" s="346">
        <v>250</v>
      </c>
      <c r="X641" s="346">
        <v>400</v>
      </c>
    </row>
    <row r="642" spans="21:24" ht="12.75">
      <c r="U642" s="456">
        <v>539500</v>
      </c>
      <c r="V642" s="346">
        <v>10</v>
      </c>
      <c r="W642" s="346">
        <v>175</v>
      </c>
      <c r="X642" s="346">
        <v>400</v>
      </c>
    </row>
    <row r="643" spans="21:24" ht="12.75">
      <c r="U643" s="456">
        <v>540672</v>
      </c>
      <c r="V643" s="346">
        <v>11</v>
      </c>
      <c r="W643" s="346">
        <v>150</v>
      </c>
      <c r="X643" s="346">
        <v>450</v>
      </c>
    </row>
    <row r="644" spans="21:24" ht="12.75">
      <c r="U644" s="456">
        <v>542000</v>
      </c>
      <c r="V644" s="346">
        <v>10</v>
      </c>
      <c r="W644" s="346">
        <v>250</v>
      </c>
      <c r="X644" s="346">
        <v>275</v>
      </c>
    </row>
    <row r="645" spans="21:24" ht="12.75">
      <c r="U645" s="456">
        <v>542241</v>
      </c>
      <c r="V645" s="346">
        <v>7</v>
      </c>
      <c r="W645" s="346">
        <v>225</v>
      </c>
      <c r="X645" s="346">
        <v>400</v>
      </c>
    </row>
    <row r="646" spans="21:24" ht="12.75">
      <c r="U646" s="456">
        <v>545916</v>
      </c>
      <c r="V646" s="346">
        <v>7</v>
      </c>
      <c r="W646" s="346">
        <v>300</v>
      </c>
      <c r="X646" s="346">
        <v>300</v>
      </c>
    </row>
    <row r="647" spans="21:24" ht="12.75">
      <c r="U647" s="456">
        <v>547000</v>
      </c>
      <c r="V647" s="346">
        <v>10</v>
      </c>
      <c r="W647" s="346">
        <v>200</v>
      </c>
      <c r="X647" s="346">
        <v>350</v>
      </c>
    </row>
    <row r="648" spans="21:24" ht="12.75">
      <c r="U648" s="456">
        <v>547236</v>
      </c>
      <c r="V648" s="346">
        <v>12</v>
      </c>
      <c r="W648" s="346">
        <v>225</v>
      </c>
      <c r="X648" s="346">
        <v>275</v>
      </c>
    </row>
    <row r="649" spans="21:24" ht="12.75">
      <c r="U649" s="456">
        <v>549000</v>
      </c>
      <c r="V649" s="346">
        <v>5</v>
      </c>
      <c r="W649" s="346">
        <v>300</v>
      </c>
      <c r="X649" s="346">
        <v>400</v>
      </c>
    </row>
    <row r="650" spans="21:24" ht="12.75">
      <c r="U650" s="456">
        <v>550098</v>
      </c>
      <c r="V650" s="346">
        <v>9</v>
      </c>
      <c r="W650" s="346">
        <v>250</v>
      </c>
      <c r="X650" s="346">
        <v>300</v>
      </c>
    </row>
    <row r="651" spans="21:24" ht="12.75">
      <c r="U651" s="456">
        <v>554736</v>
      </c>
      <c r="V651" s="346">
        <v>12</v>
      </c>
      <c r="W651" s="346">
        <v>250</v>
      </c>
      <c r="X651" s="346">
        <v>250</v>
      </c>
    </row>
    <row r="652" spans="21:24" ht="12.75">
      <c r="U652" s="456">
        <v>555723</v>
      </c>
      <c r="V652" s="346">
        <v>9</v>
      </c>
      <c r="W652" s="346">
        <v>275</v>
      </c>
      <c r="X652" s="346">
        <v>275</v>
      </c>
    </row>
    <row r="653" spans="21:24" ht="12.75">
      <c r="U653" s="456">
        <v>555744</v>
      </c>
      <c r="V653" s="346">
        <v>8</v>
      </c>
      <c r="W653" s="346">
        <v>275</v>
      </c>
      <c r="X653" s="346">
        <v>300</v>
      </c>
    </row>
    <row r="654" spans="21:24" ht="12.75">
      <c r="U654" s="456">
        <v>561500</v>
      </c>
      <c r="V654" s="346">
        <v>5</v>
      </c>
      <c r="W654" s="346">
        <v>350</v>
      </c>
      <c r="X654" s="346">
        <v>350</v>
      </c>
    </row>
    <row r="655" spans="21:24" ht="12.75">
      <c r="U655" s="456">
        <v>562392</v>
      </c>
      <c r="V655" s="346">
        <v>6</v>
      </c>
      <c r="W655" s="346">
        <v>300</v>
      </c>
      <c r="X655" s="346">
        <v>350</v>
      </c>
    </row>
    <row r="656" spans="21:24" ht="12.75">
      <c r="U656" s="456">
        <v>567000</v>
      </c>
      <c r="V656" s="346">
        <v>10</v>
      </c>
      <c r="W656" s="346">
        <v>150</v>
      </c>
      <c r="X656" s="346">
        <v>500</v>
      </c>
    </row>
    <row r="657" spans="21:24" ht="12.75">
      <c r="U657" s="456">
        <v>567897</v>
      </c>
      <c r="V657" s="346">
        <v>11</v>
      </c>
      <c r="W657" s="346">
        <v>225</v>
      </c>
      <c r="X657" s="346">
        <v>300</v>
      </c>
    </row>
    <row r="658" spans="21:24" ht="12.75">
      <c r="U658" s="456">
        <v>570250</v>
      </c>
      <c r="V658" s="346">
        <v>5</v>
      </c>
      <c r="W658" s="346">
        <v>250</v>
      </c>
      <c r="X658" s="346">
        <v>500</v>
      </c>
    </row>
    <row r="659" spans="21:24" ht="12.75">
      <c r="U659" s="456">
        <v>571536</v>
      </c>
      <c r="V659" s="346">
        <v>12</v>
      </c>
      <c r="W659" s="346">
        <v>150</v>
      </c>
      <c r="X659" s="346">
        <v>450</v>
      </c>
    </row>
    <row r="660" spans="21:24" ht="12.75">
      <c r="U660" s="456">
        <v>576544</v>
      </c>
      <c r="V660" s="346">
        <v>8</v>
      </c>
      <c r="W660" s="346">
        <v>175</v>
      </c>
      <c r="X660" s="346">
        <v>500</v>
      </c>
    </row>
    <row r="661" spans="21:24" ht="12.75">
      <c r="U661" s="456">
        <v>577247</v>
      </c>
      <c r="V661" s="346">
        <v>11</v>
      </c>
      <c r="W661" s="346">
        <v>175</v>
      </c>
      <c r="X661" s="346">
        <v>400</v>
      </c>
    </row>
    <row r="662" spans="21:24" ht="12.75">
      <c r="U662" s="456">
        <v>577773</v>
      </c>
      <c r="V662" s="346">
        <v>9</v>
      </c>
      <c r="W662" s="346">
        <v>225</v>
      </c>
      <c r="X662" s="346">
        <v>350</v>
      </c>
    </row>
    <row r="663" spans="21:24" ht="12.75">
      <c r="U663" s="456">
        <v>581647</v>
      </c>
      <c r="V663" s="346">
        <v>11</v>
      </c>
      <c r="W663" s="346">
        <v>250</v>
      </c>
      <c r="X663" s="346">
        <v>275</v>
      </c>
    </row>
    <row r="664" spans="21:24" ht="12.75">
      <c r="U664" s="456">
        <v>582948</v>
      </c>
      <c r="V664" s="346">
        <v>9</v>
      </c>
      <c r="W664" s="346">
        <v>200</v>
      </c>
      <c r="X664" s="346">
        <v>400</v>
      </c>
    </row>
    <row r="665" spans="21:24" ht="12.75">
      <c r="U665" s="456">
        <v>585991</v>
      </c>
      <c r="V665" s="346">
        <v>7</v>
      </c>
      <c r="W665" s="346">
        <v>275</v>
      </c>
      <c r="X665" s="346">
        <v>350</v>
      </c>
    </row>
    <row r="666" spans="21:24" ht="12.75">
      <c r="U666" s="456">
        <v>586322</v>
      </c>
      <c r="V666" s="346">
        <v>11</v>
      </c>
      <c r="W666" s="346">
        <v>200</v>
      </c>
      <c r="X666" s="346">
        <v>350</v>
      </c>
    </row>
    <row r="667" spans="21:24" ht="12.75">
      <c r="U667" s="456">
        <v>589692</v>
      </c>
      <c r="V667" s="346">
        <v>6</v>
      </c>
      <c r="W667" s="346">
        <v>275</v>
      </c>
      <c r="X667" s="346">
        <v>400</v>
      </c>
    </row>
    <row r="668" spans="21:24" ht="12.75">
      <c r="U668" s="456">
        <v>590944</v>
      </c>
      <c r="V668" s="346">
        <v>8</v>
      </c>
      <c r="W668" s="346">
        <v>250</v>
      </c>
      <c r="X668" s="346">
        <v>350</v>
      </c>
    </row>
    <row r="669" spans="21:24" ht="12.75">
      <c r="U669" s="456">
        <v>597000</v>
      </c>
      <c r="V669" s="346">
        <v>10</v>
      </c>
      <c r="W669" s="346">
        <v>250</v>
      </c>
      <c r="X669" s="346">
        <v>300</v>
      </c>
    </row>
    <row r="670" spans="21:24" ht="12.75">
      <c r="U670" s="456">
        <v>599292</v>
      </c>
      <c r="V670" s="346">
        <v>6</v>
      </c>
      <c r="W670" s="346">
        <v>225</v>
      </c>
      <c r="X670" s="346">
        <v>500</v>
      </c>
    </row>
    <row r="671" spans="21:24" ht="12.75">
      <c r="U671" s="456">
        <v>601216</v>
      </c>
      <c r="V671" s="346">
        <v>7</v>
      </c>
      <c r="W671" s="346">
        <v>200</v>
      </c>
      <c r="X671" s="346">
        <v>500</v>
      </c>
    </row>
    <row r="672" spans="21:24" ht="12.75">
      <c r="U672" s="456">
        <v>601944</v>
      </c>
      <c r="V672" s="346">
        <v>8</v>
      </c>
      <c r="W672" s="346">
        <v>300</v>
      </c>
      <c r="X672" s="346">
        <v>300</v>
      </c>
    </row>
    <row r="673" spans="21:24" ht="12.75">
      <c r="U673" s="456">
        <v>603250</v>
      </c>
      <c r="V673" s="346">
        <v>10</v>
      </c>
      <c r="W673" s="346">
        <v>275</v>
      </c>
      <c r="X673" s="346">
        <v>275</v>
      </c>
    </row>
    <row r="674" spans="21:24" ht="12.75">
      <c r="U674" s="456">
        <v>603936</v>
      </c>
      <c r="V674" s="346">
        <v>12</v>
      </c>
      <c r="W674" s="346">
        <v>225</v>
      </c>
      <c r="X674" s="346">
        <v>300</v>
      </c>
    </row>
    <row r="675" spans="21:24" ht="12.75">
      <c r="U675" s="456">
        <v>605022</v>
      </c>
      <c r="V675" s="346">
        <v>11</v>
      </c>
      <c r="W675" s="346">
        <v>150</v>
      </c>
      <c r="X675" s="346">
        <v>500</v>
      </c>
    </row>
    <row r="676" spans="21:24" ht="12.75">
      <c r="U676" s="456">
        <v>606144</v>
      </c>
      <c r="V676" s="346">
        <v>8</v>
      </c>
      <c r="W676" s="346">
        <v>225</v>
      </c>
      <c r="X676" s="346">
        <v>400</v>
      </c>
    </row>
    <row r="677" spans="21:24" ht="12.75">
      <c r="U677" s="456">
        <v>608566</v>
      </c>
      <c r="V677" s="346">
        <v>7</v>
      </c>
      <c r="W677" s="346">
        <v>250</v>
      </c>
      <c r="X677" s="346">
        <v>400</v>
      </c>
    </row>
    <row r="678" spans="21:24" ht="12.75">
      <c r="U678" s="456">
        <v>611523</v>
      </c>
      <c r="V678" s="346">
        <v>9</v>
      </c>
      <c r="W678" s="346">
        <v>275</v>
      </c>
      <c r="X678" s="346">
        <v>300</v>
      </c>
    </row>
    <row r="679" spans="21:24" ht="12.75">
      <c r="U679" s="456">
        <v>612336</v>
      </c>
      <c r="V679" s="346">
        <v>12</v>
      </c>
      <c r="W679" s="346">
        <v>175</v>
      </c>
      <c r="X679" s="346">
        <v>400</v>
      </c>
    </row>
    <row r="680" spans="21:24" ht="12.75">
      <c r="U680" s="456">
        <v>618936</v>
      </c>
      <c r="V680" s="346">
        <v>12</v>
      </c>
      <c r="W680" s="346">
        <v>250</v>
      </c>
      <c r="X680" s="346">
        <v>275</v>
      </c>
    </row>
    <row r="681" spans="21:24" ht="12.75">
      <c r="U681" s="456">
        <v>623136</v>
      </c>
      <c r="V681" s="346">
        <v>12</v>
      </c>
      <c r="W681" s="346">
        <v>200</v>
      </c>
      <c r="X681" s="346">
        <v>350</v>
      </c>
    </row>
    <row r="682" spans="21:24" ht="12.75">
      <c r="U682" s="456">
        <v>627000</v>
      </c>
      <c r="V682" s="346">
        <v>10</v>
      </c>
      <c r="W682" s="346">
        <v>225</v>
      </c>
      <c r="X682" s="346">
        <v>350</v>
      </c>
    </row>
    <row r="683" spans="21:24" ht="12.75">
      <c r="U683" s="456">
        <v>630875</v>
      </c>
      <c r="V683" s="346">
        <v>5</v>
      </c>
      <c r="W683" s="346">
        <v>275</v>
      </c>
      <c r="X683" s="346">
        <v>500</v>
      </c>
    </row>
    <row r="684" spans="21:24" ht="12.75">
      <c r="U684" s="456">
        <v>632000</v>
      </c>
      <c r="V684" s="346">
        <v>10</v>
      </c>
      <c r="W684" s="346">
        <v>200</v>
      </c>
      <c r="X684" s="346">
        <v>400</v>
      </c>
    </row>
    <row r="685" spans="21:24" ht="12.75">
      <c r="U685" s="456">
        <v>632223</v>
      </c>
      <c r="V685" s="346">
        <v>9</v>
      </c>
      <c r="W685" s="346">
        <v>175</v>
      </c>
      <c r="X685" s="346">
        <v>500</v>
      </c>
    </row>
    <row r="686" spans="21:24" ht="12.75">
      <c r="U686" s="456">
        <v>639936</v>
      </c>
      <c r="V686" s="346">
        <v>12</v>
      </c>
      <c r="W686" s="346">
        <v>150</v>
      </c>
      <c r="X686" s="346">
        <v>500</v>
      </c>
    </row>
    <row r="687" spans="21:24" ht="12.75">
      <c r="U687" s="456">
        <v>641322</v>
      </c>
      <c r="V687" s="346">
        <v>11</v>
      </c>
      <c r="W687" s="346">
        <v>250</v>
      </c>
      <c r="X687" s="346">
        <v>300</v>
      </c>
    </row>
    <row r="688" spans="21:24" ht="12.75">
      <c r="U688" s="456">
        <v>643566</v>
      </c>
      <c r="V688" s="346">
        <v>7</v>
      </c>
      <c r="W688" s="346">
        <v>300</v>
      </c>
      <c r="X688" s="346">
        <v>350</v>
      </c>
    </row>
    <row r="689" spans="21:24" ht="12.75">
      <c r="U689" s="456">
        <v>645250</v>
      </c>
      <c r="V689" s="346">
        <v>5</v>
      </c>
      <c r="W689" s="346">
        <v>350</v>
      </c>
      <c r="X689" s="346">
        <v>400</v>
      </c>
    </row>
    <row r="690" spans="21:24" ht="12.75">
      <c r="U690" s="456">
        <v>646992</v>
      </c>
      <c r="V690" s="346">
        <v>6</v>
      </c>
      <c r="W690" s="346">
        <v>300</v>
      </c>
      <c r="X690" s="346">
        <v>400</v>
      </c>
    </row>
    <row r="691" spans="21:24" ht="12.75">
      <c r="U691" s="456">
        <v>648197</v>
      </c>
      <c r="V691" s="346">
        <v>11</v>
      </c>
      <c r="W691" s="346">
        <v>275</v>
      </c>
      <c r="X691" s="346">
        <v>275</v>
      </c>
    </row>
    <row r="692" spans="21:24" ht="12.75">
      <c r="U692" s="456">
        <v>650448</v>
      </c>
      <c r="V692" s="346">
        <v>9</v>
      </c>
      <c r="W692" s="346">
        <v>250</v>
      </c>
      <c r="X692" s="346">
        <v>350</v>
      </c>
    </row>
    <row r="693" spans="21:24" ht="12.75">
      <c r="U693" s="456">
        <v>655347</v>
      </c>
      <c r="V693" s="346">
        <v>11</v>
      </c>
      <c r="W693" s="346">
        <v>175</v>
      </c>
      <c r="X693" s="346">
        <v>450</v>
      </c>
    </row>
    <row r="694" spans="21:24" ht="12.75">
      <c r="U694" s="456">
        <v>656144</v>
      </c>
      <c r="V694" s="346">
        <v>8</v>
      </c>
      <c r="W694" s="346">
        <v>275</v>
      </c>
      <c r="X694" s="346">
        <v>350</v>
      </c>
    </row>
    <row r="695" spans="21:24" ht="12.75">
      <c r="U695" s="456">
        <v>661992</v>
      </c>
      <c r="V695" s="346">
        <v>6</v>
      </c>
      <c r="W695" s="346">
        <v>350</v>
      </c>
      <c r="X695" s="346">
        <v>350</v>
      </c>
    </row>
    <row r="696" spans="21:24" ht="12.75">
      <c r="U696" s="456">
        <v>664500</v>
      </c>
      <c r="V696" s="346">
        <v>10</v>
      </c>
      <c r="W696" s="346">
        <v>275</v>
      </c>
      <c r="X696" s="346">
        <v>300</v>
      </c>
    </row>
    <row r="697" spans="21:24" ht="12.75">
      <c r="U697" s="456">
        <v>666873</v>
      </c>
      <c r="V697" s="346">
        <v>9</v>
      </c>
      <c r="W697" s="346">
        <v>225</v>
      </c>
      <c r="X697" s="346">
        <v>400</v>
      </c>
    </row>
    <row r="698" spans="21:24" ht="12.75">
      <c r="U698" s="456">
        <v>671592</v>
      </c>
      <c r="V698" s="346">
        <v>6</v>
      </c>
      <c r="W698" s="346">
        <v>250</v>
      </c>
      <c r="X698" s="346">
        <v>500</v>
      </c>
    </row>
    <row r="699" spans="21:24" ht="12.75">
      <c r="U699" s="456">
        <v>671744</v>
      </c>
      <c r="V699" s="346">
        <v>8</v>
      </c>
      <c r="W699" s="346">
        <v>200</v>
      </c>
      <c r="X699" s="346">
        <v>500</v>
      </c>
    </row>
    <row r="700" spans="21:24" ht="12.75">
      <c r="U700" s="456">
        <v>672948</v>
      </c>
      <c r="V700" s="346">
        <v>9</v>
      </c>
      <c r="W700" s="346">
        <v>300</v>
      </c>
      <c r="X700" s="346">
        <v>300</v>
      </c>
    </row>
    <row r="701" spans="21:24" ht="12.75">
      <c r="U701" s="456">
        <v>673497</v>
      </c>
      <c r="V701" s="346">
        <v>11</v>
      </c>
      <c r="W701" s="346">
        <v>225</v>
      </c>
      <c r="X701" s="346">
        <v>350</v>
      </c>
    </row>
    <row r="702" spans="21:24" ht="12.75">
      <c r="U702" s="456">
        <v>674891</v>
      </c>
      <c r="V702" s="346">
        <v>7</v>
      </c>
      <c r="W702" s="346">
        <v>275</v>
      </c>
      <c r="X702" s="346">
        <v>400</v>
      </c>
    </row>
    <row r="703" spans="21:24" ht="12.75">
      <c r="U703" s="456">
        <v>678172</v>
      </c>
      <c r="V703" s="346">
        <v>11</v>
      </c>
      <c r="W703" s="346">
        <v>200</v>
      </c>
      <c r="X703" s="346">
        <v>400</v>
      </c>
    </row>
    <row r="704" spans="21:24" ht="12.75">
      <c r="U704" s="456">
        <v>681344</v>
      </c>
      <c r="V704" s="346">
        <v>8</v>
      </c>
      <c r="W704" s="346">
        <v>250</v>
      </c>
      <c r="X704" s="346">
        <v>400</v>
      </c>
    </row>
    <row r="705" spans="21:24" ht="12.75">
      <c r="U705" s="456">
        <v>683136</v>
      </c>
      <c r="V705" s="346">
        <v>12</v>
      </c>
      <c r="W705" s="346">
        <v>250</v>
      </c>
      <c r="X705" s="346">
        <v>300</v>
      </c>
    </row>
    <row r="706" spans="21:24" ht="12.75">
      <c r="U706" s="456">
        <v>684500</v>
      </c>
      <c r="V706" s="346">
        <v>10</v>
      </c>
      <c r="W706" s="346">
        <v>175</v>
      </c>
      <c r="X706" s="346">
        <v>500</v>
      </c>
    </row>
    <row r="707" spans="21:24" ht="12.75">
      <c r="U707" s="456">
        <v>685041</v>
      </c>
      <c r="V707" s="346">
        <v>7</v>
      </c>
      <c r="W707" s="346">
        <v>225</v>
      </c>
      <c r="X707" s="346">
        <v>500</v>
      </c>
    </row>
    <row r="708" spans="21:24" ht="12.75">
      <c r="U708" s="456">
        <v>690636</v>
      </c>
      <c r="V708" s="346">
        <v>12</v>
      </c>
      <c r="W708" s="346">
        <v>275</v>
      </c>
      <c r="X708" s="346">
        <v>275</v>
      </c>
    </row>
    <row r="709" spans="21:24" ht="12.75">
      <c r="U709" s="456">
        <v>691500</v>
      </c>
      <c r="V709" s="346">
        <v>5</v>
      </c>
      <c r="W709" s="346">
        <v>300</v>
      </c>
      <c r="X709" s="346">
        <v>500</v>
      </c>
    </row>
    <row r="710" spans="21:24" ht="12.75">
      <c r="U710" s="456">
        <v>695736</v>
      </c>
      <c r="V710" s="346">
        <v>12</v>
      </c>
      <c r="W710" s="346">
        <v>175</v>
      </c>
      <c r="X710" s="346">
        <v>450</v>
      </c>
    </row>
    <row r="711" spans="21:24" ht="12.75">
      <c r="U711" s="456">
        <v>707000</v>
      </c>
      <c r="V711" s="346">
        <v>10</v>
      </c>
      <c r="W711" s="346">
        <v>250</v>
      </c>
      <c r="X711" s="346">
        <v>350</v>
      </c>
    </row>
    <row r="712" spans="21:24" ht="12.75">
      <c r="U712" s="456">
        <v>714747</v>
      </c>
      <c r="V712" s="346">
        <v>11</v>
      </c>
      <c r="W712" s="346">
        <v>275</v>
      </c>
      <c r="X712" s="346">
        <v>300</v>
      </c>
    </row>
    <row r="713" spans="21:24" ht="12.75">
      <c r="U713" s="456">
        <v>717336</v>
      </c>
      <c r="V713" s="346">
        <v>12</v>
      </c>
      <c r="W713" s="346">
        <v>225</v>
      </c>
      <c r="X713" s="346">
        <v>350</v>
      </c>
    </row>
    <row r="714" spans="21:24" ht="12.75">
      <c r="U714" s="456">
        <v>721344</v>
      </c>
      <c r="V714" s="346">
        <v>8</v>
      </c>
      <c r="W714" s="346">
        <v>300</v>
      </c>
      <c r="X714" s="346">
        <v>350</v>
      </c>
    </row>
    <row r="715" spans="21:24" ht="12.75">
      <c r="U715" s="456">
        <v>721536</v>
      </c>
      <c r="V715" s="346">
        <v>12</v>
      </c>
      <c r="W715" s="346">
        <v>200</v>
      </c>
      <c r="X715" s="346">
        <v>400</v>
      </c>
    </row>
    <row r="716" spans="21:24" ht="12.75">
      <c r="U716" s="456">
        <v>723123</v>
      </c>
      <c r="V716" s="346">
        <v>9</v>
      </c>
      <c r="W716" s="346">
        <v>275</v>
      </c>
      <c r="X716" s="346">
        <v>350</v>
      </c>
    </row>
    <row r="717" spans="21:24" ht="12.75">
      <c r="U717" s="456">
        <v>724500</v>
      </c>
      <c r="V717" s="346">
        <v>10</v>
      </c>
      <c r="W717" s="346">
        <v>225</v>
      </c>
      <c r="X717" s="346">
        <v>400</v>
      </c>
    </row>
    <row r="718" spans="21:24" ht="12.75">
      <c r="U718" s="456">
        <v>732000</v>
      </c>
      <c r="V718" s="346">
        <v>10</v>
      </c>
      <c r="W718" s="346">
        <v>300</v>
      </c>
      <c r="X718" s="346">
        <v>300</v>
      </c>
    </row>
    <row r="719" spans="21:24" ht="12.75">
      <c r="U719" s="456">
        <v>733447</v>
      </c>
      <c r="V719" s="346">
        <v>11</v>
      </c>
      <c r="W719" s="346">
        <v>175</v>
      </c>
      <c r="X719" s="346">
        <v>500</v>
      </c>
    </row>
    <row r="720" spans="21:24" ht="12.75">
      <c r="U720" s="456">
        <v>738648</v>
      </c>
      <c r="V720" s="346">
        <v>9</v>
      </c>
      <c r="W720" s="346">
        <v>200</v>
      </c>
      <c r="X720" s="346">
        <v>500</v>
      </c>
    </row>
    <row r="721" spans="21:24" ht="12.75">
      <c r="U721" s="456">
        <v>741216</v>
      </c>
      <c r="V721" s="346">
        <v>7</v>
      </c>
      <c r="W721" s="346">
        <v>300</v>
      </c>
      <c r="X721" s="346">
        <v>400</v>
      </c>
    </row>
    <row r="722" spans="21:24" ht="12.75">
      <c r="U722" s="456">
        <v>741500</v>
      </c>
      <c r="V722" s="346">
        <v>5</v>
      </c>
      <c r="W722" s="346">
        <v>400</v>
      </c>
      <c r="X722" s="346">
        <v>400</v>
      </c>
    </row>
    <row r="723" spans="21:24" ht="12.75">
      <c r="U723" s="456">
        <v>743892</v>
      </c>
      <c r="V723" s="346">
        <v>6</v>
      </c>
      <c r="W723" s="346">
        <v>275</v>
      </c>
      <c r="X723" s="346">
        <v>500</v>
      </c>
    </row>
    <row r="724" spans="21:24" ht="12.75">
      <c r="U724" s="456">
        <v>750798</v>
      </c>
      <c r="V724" s="346">
        <v>9</v>
      </c>
      <c r="W724" s="346">
        <v>250</v>
      </c>
      <c r="X724" s="346">
        <v>400</v>
      </c>
    </row>
    <row r="725" spans="21:24" ht="12.75">
      <c r="U725" s="456">
        <v>756544</v>
      </c>
      <c r="V725" s="346">
        <v>8</v>
      </c>
      <c r="W725" s="346">
        <v>275</v>
      </c>
      <c r="X725" s="346">
        <v>400</v>
      </c>
    </row>
    <row r="726" spans="21:24" ht="12.75">
      <c r="U726" s="456">
        <v>758716</v>
      </c>
      <c r="V726" s="346">
        <v>7</v>
      </c>
      <c r="W726" s="346">
        <v>350</v>
      </c>
      <c r="X726" s="346">
        <v>350</v>
      </c>
    </row>
    <row r="727" spans="21:24" ht="12.75">
      <c r="U727" s="456">
        <v>760672</v>
      </c>
      <c r="V727" s="346">
        <v>11</v>
      </c>
      <c r="W727" s="346">
        <v>250</v>
      </c>
      <c r="X727" s="346">
        <v>350</v>
      </c>
    </row>
    <row r="728" spans="21:24" ht="12.75">
      <c r="U728" s="456">
        <v>761592</v>
      </c>
      <c r="V728" s="346">
        <v>6</v>
      </c>
      <c r="W728" s="346">
        <v>350</v>
      </c>
      <c r="X728" s="346">
        <v>400</v>
      </c>
    </row>
    <row r="729" spans="21:24" ht="12.75">
      <c r="U729" s="456">
        <v>762236</v>
      </c>
      <c r="V729" s="346">
        <v>12</v>
      </c>
      <c r="W729" s="346">
        <v>275</v>
      </c>
      <c r="X729" s="346">
        <v>300</v>
      </c>
    </row>
    <row r="730" spans="21:24" ht="12.75">
      <c r="U730" s="456">
        <v>766944</v>
      </c>
      <c r="V730" s="346">
        <v>8</v>
      </c>
      <c r="W730" s="346">
        <v>225</v>
      </c>
      <c r="X730" s="346">
        <v>500</v>
      </c>
    </row>
    <row r="731" spans="21:24" ht="12.75">
      <c r="U731" s="456">
        <v>768866</v>
      </c>
      <c r="V731" s="346">
        <v>7</v>
      </c>
      <c r="W731" s="346">
        <v>250</v>
      </c>
      <c r="X731" s="346">
        <v>500</v>
      </c>
    </row>
    <row r="732" spans="21:24" ht="12.75">
      <c r="U732" s="456">
        <v>770022</v>
      </c>
      <c r="V732" s="346">
        <v>11</v>
      </c>
      <c r="W732" s="346">
        <v>200</v>
      </c>
      <c r="X732" s="346">
        <v>450</v>
      </c>
    </row>
    <row r="733" spans="21:24" ht="12.75">
      <c r="U733" s="456">
        <v>779097</v>
      </c>
      <c r="V733" s="346">
        <v>11</v>
      </c>
      <c r="W733" s="346">
        <v>225</v>
      </c>
      <c r="X733" s="346">
        <v>400</v>
      </c>
    </row>
    <row r="734" spans="21:24" ht="12.75">
      <c r="U734" s="456">
        <v>779136</v>
      </c>
      <c r="V734" s="346">
        <v>12</v>
      </c>
      <c r="W734" s="346">
        <v>175</v>
      </c>
      <c r="X734" s="346">
        <v>500</v>
      </c>
    </row>
    <row r="735" spans="21:24" ht="12.75">
      <c r="U735" s="456">
        <v>787000</v>
      </c>
      <c r="V735" s="346">
        <v>10</v>
      </c>
      <c r="W735" s="346">
        <v>275</v>
      </c>
      <c r="X735" s="346">
        <v>350</v>
      </c>
    </row>
    <row r="736" spans="21:24" ht="12.75">
      <c r="U736" s="456">
        <v>788172</v>
      </c>
      <c r="V736" s="346">
        <v>11</v>
      </c>
      <c r="W736" s="346">
        <v>300</v>
      </c>
      <c r="X736" s="346">
        <v>300</v>
      </c>
    </row>
    <row r="737" spans="21:24" ht="12.75">
      <c r="U737" s="456">
        <v>795798</v>
      </c>
      <c r="V737" s="346">
        <v>9</v>
      </c>
      <c r="W737" s="346">
        <v>300</v>
      </c>
      <c r="X737" s="346">
        <v>350</v>
      </c>
    </row>
    <row r="738" spans="21:24" ht="12.75">
      <c r="U738" s="456">
        <v>802000</v>
      </c>
      <c r="V738" s="346">
        <v>10</v>
      </c>
      <c r="W738" s="346">
        <v>200</v>
      </c>
      <c r="X738" s="346">
        <v>500</v>
      </c>
    </row>
    <row r="739" spans="21:24" ht="12.75">
      <c r="U739" s="456">
        <v>811536</v>
      </c>
      <c r="V739" s="346">
        <v>12</v>
      </c>
      <c r="W739" s="346">
        <v>250</v>
      </c>
      <c r="X739" s="346">
        <v>350</v>
      </c>
    </row>
    <row r="740" spans="21:24" ht="12.75">
      <c r="U740" s="456">
        <v>812750</v>
      </c>
      <c r="V740" s="346">
        <v>5</v>
      </c>
      <c r="W740" s="346">
        <v>350</v>
      </c>
      <c r="X740" s="346">
        <v>500</v>
      </c>
    </row>
    <row r="741" spans="21:24" ht="12.75">
      <c r="U741" s="456">
        <v>816192</v>
      </c>
      <c r="V741" s="346">
        <v>6</v>
      </c>
      <c r="W741" s="346">
        <v>300</v>
      </c>
      <c r="X741" s="346">
        <v>500</v>
      </c>
    </row>
    <row r="742" spans="21:24" ht="12.75">
      <c r="U742" s="456">
        <v>817000</v>
      </c>
      <c r="V742" s="346">
        <v>10</v>
      </c>
      <c r="W742" s="346">
        <v>250</v>
      </c>
      <c r="X742" s="346">
        <v>400</v>
      </c>
    </row>
    <row r="743" spans="21:24" ht="12.75">
      <c r="U743" s="456">
        <v>819936</v>
      </c>
      <c r="V743" s="346">
        <v>12</v>
      </c>
      <c r="W743" s="346">
        <v>200</v>
      </c>
      <c r="X743" s="346">
        <v>450</v>
      </c>
    </row>
    <row r="744" spans="21:24" ht="12.75">
      <c r="U744" s="456">
        <v>830736</v>
      </c>
      <c r="V744" s="346">
        <v>12</v>
      </c>
      <c r="W744" s="346">
        <v>225</v>
      </c>
      <c r="X744" s="346">
        <v>400</v>
      </c>
    </row>
    <row r="745" spans="21:24" ht="12.75">
      <c r="U745" s="456">
        <v>831744</v>
      </c>
      <c r="V745" s="346">
        <v>8</v>
      </c>
      <c r="W745" s="346">
        <v>300</v>
      </c>
      <c r="X745" s="346">
        <v>400</v>
      </c>
    </row>
    <row r="746" spans="21:24" ht="12.75">
      <c r="U746" s="456">
        <v>834723</v>
      </c>
      <c r="V746" s="346">
        <v>9</v>
      </c>
      <c r="W746" s="346">
        <v>275</v>
      </c>
      <c r="X746" s="346">
        <v>400</v>
      </c>
    </row>
    <row r="747" spans="21:24" ht="12.75">
      <c r="U747" s="456">
        <v>841536</v>
      </c>
      <c r="V747" s="346">
        <v>12</v>
      </c>
      <c r="W747" s="346">
        <v>300</v>
      </c>
      <c r="X747" s="346">
        <v>300</v>
      </c>
    </row>
    <row r="748" spans="21:24" ht="12.75">
      <c r="U748" s="456">
        <v>845073</v>
      </c>
      <c r="V748" s="346">
        <v>9</v>
      </c>
      <c r="W748" s="346">
        <v>225</v>
      </c>
      <c r="X748" s="346">
        <v>500</v>
      </c>
    </row>
    <row r="749" spans="21:24" ht="12.75">
      <c r="U749" s="456">
        <v>847847</v>
      </c>
      <c r="V749" s="346">
        <v>11</v>
      </c>
      <c r="W749" s="346">
        <v>275</v>
      </c>
      <c r="X749" s="346">
        <v>350</v>
      </c>
    </row>
    <row r="750" spans="21:24" ht="12.75">
      <c r="U750" s="456">
        <v>851744</v>
      </c>
      <c r="V750" s="346">
        <v>8</v>
      </c>
      <c r="W750" s="346">
        <v>350</v>
      </c>
      <c r="X750" s="346">
        <v>350</v>
      </c>
    </row>
    <row r="751" spans="21:24" ht="12.75">
      <c r="U751" s="456">
        <v>852691</v>
      </c>
      <c r="V751" s="346">
        <v>7</v>
      </c>
      <c r="W751" s="346">
        <v>275</v>
      </c>
      <c r="X751" s="346">
        <v>500</v>
      </c>
    </row>
    <row r="752" spans="21:24" ht="12.75">
      <c r="U752" s="456">
        <v>861872</v>
      </c>
      <c r="V752" s="346">
        <v>11</v>
      </c>
      <c r="W752" s="346">
        <v>200</v>
      </c>
      <c r="X752" s="346">
        <v>500</v>
      </c>
    </row>
    <row r="753" spans="21:24" ht="12.75">
      <c r="U753" s="456">
        <v>862144</v>
      </c>
      <c r="V753" s="346">
        <v>8</v>
      </c>
      <c r="W753" s="346">
        <v>250</v>
      </c>
      <c r="X753" s="346">
        <v>500</v>
      </c>
    </row>
    <row r="754" spans="21:24" ht="12.75">
      <c r="U754" s="456">
        <v>867000</v>
      </c>
      <c r="V754" s="346">
        <v>10</v>
      </c>
      <c r="W754" s="346">
        <v>300</v>
      </c>
      <c r="X754" s="346">
        <v>350</v>
      </c>
    </row>
    <row r="755" spans="21:24" ht="12.75">
      <c r="U755" s="456">
        <v>873866</v>
      </c>
      <c r="V755" s="346">
        <v>7</v>
      </c>
      <c r="W755" s="346">
        <v>350</v>
      </c>
      <c r="X755" s="346">
        <v>400</v>
      </c>
    </row>
    <row r="756" spans="21:24" ht="12.75">
      <c r="U756" s="456">
        <v>876192</v>
      </c>
      <c r="V756" s="346">
        <v>6</v>
      </c>
      <c r="W756" s="346">
        <v>400</v>
      </c>
      <c r="X756" s="346">
        <v>400</v>
      </c>
    </row>
    <row r="757" spans="21:24" ht="12.75">
      <c r="U757" s="456">
        <v>880022</v>
      </c>
      <c r="V757" s="346">
        <v>11</v>
      </c>
      <c r="W757" s="346">
        <v>250</v>
      </c>
      <c r="X757" s="346">
        <v>400</v>
      </c>
    </row>
    <row r="758" spans="21:24" ht="12.75">
      <c r="U758" s="456">
        <v>884697</v>
      </c>
      <c r="V758" s="346">
        <v>11</v>
      </c>
      <c r="W758" s="346">
        <v>225</v>
      </c>
      <c r="X758" s="346">
        <v>450</v>
      </c>
    </row>
    <row r="759" spans="21:24" ht="12.75">
      <c r="U759" s="456">
        <v>905736</v>
      </c>
      <c r="V759" s="346">
        <v>12</v>
      </c>
      <c r="W759" s="346">
        <v>275</v>
      </c>
      <c r="X759" s="346">
        <v>350</v>
      </c>
    </row>
    <row r="760" spans="21:24" ht="12.75">
      <c r="U760" s="456">
        <v>909500</v>
      </c>
      <c r="V760" s="346">
        <v>10</v>
      </c>
      <c r="W760" s="346">
        <v>275</v>
      </c>
      <c r="X760" s="346">
        <v>400</v>
      </c>
    </row>
    <row r="761" spans="21:24" ht="12.75">
      <c r="U761" s="456">
        <v>909750</v>
      </c>
      <c r="V761" s="346">
        <v>10</v>
      </c>
      <c r="W761" s="346">
        <v>75</v>
      </c>
      <c r="X761" s="346">
        <v>225</v>
      </c>
    </row>
    <row r="762" spans="21:24" ht="12.75">
      <c r="U762" s="456">
        <v>918336</v>
      </c>
      <c r="V762" s="346">
        <v>12</v>
      </c>
      <c r="W762" s="346">
        <v>200</v>
      </c>
      <c r="X762" s="346">
        <v>500</v>
      </c>
    </row>
    <row r="763" spans="21:24" ht="12.75">
      <c r="U763" s="456">
        <v>918648</v>
      </c>
      <c r="V763" s="346">
        <v>9</v>
      </c>
      <c r="W763" s="346">
        <v>300</v>
      </c>
      <c r="X763" s="346">
        <v>400</v>
      </c>
    </row>
    <row r="764" spans="21:24" ht="12.75">
      <c r="U764" s="456">
        <v>919500</v>
      </c>
      <c r="V764" s="346">
        <v>10</v>
      </c>
      <c r="W764" s="346">
        <v>225</v>
      </c>
      <c r="X764" s="346">
        <v>500</v>
      </c>
    </row>
    <row r="765" spans="21:24" ht="12.75">
      <c r="U765" s="456">
        <v>934000</v>
      </c>
      <c r="V765" s="346">
        <v>5</v>
      </c>
      <c r="W765" s="346">
        <v>400</v>
      </c>
      <c r="X765" s="346">
        <v>500</v>
      </c>
    </row>
    <row r="766" spans="21:24" ht="12.75">
      <c r="U766" s="456">
        <v>935022</v>
      </c>
      <c r="V766" s="346">
        <v>11</v>
      </c>
      <c r="W766" s="346">
        <v>300</v>
      </c>
      <c r="X766" s="346">
        <v>350</v>
      </c>
    </row>
    <row r="767" spans="21:24" ht="12.75">
      <c r="U767" s="456">
        <v>936516</v>
      </c>
      <c r="V767" s="346">
        <v>7</v>
      </c>
      <c r="W767" s="346">
        <v>300</v>
      </c>
      <c r="X767" s="346">
        <v>500</v>
      </c>
    </row>
    <row r="768" spans="21:24" ht="12.75">
      <c r="U768" s="456">
        <v>939936</v>
      </c>
      <c r="V768" s="346">
        <v>12</v>
      </c>
      <c r="W768" s="346">
        <v>250</v>
      </c>
      <c r="X768" s="346">
        <v>400</v>
      </c>
    </row>
    <row r="769" spans="21:24" ht="12.75">
      <c r="U769" s="456">
        <v>941148</v>
      </c>
      <c r="V769" s="346">
        <v>9</v>
      </c>
      <c r="W769" s="346">
        <v>350</v>
      </c>
      <c r="X769" s="346">
        <v>350</v>
      </c>
    </row>
    <row r="770" spans="21:24" ht="12.75">
      <c r="U770" s="456">
        <v>944136</v>
      </c>
      <c r="V770" s="346">
        <v>12</v>
      </c>
      <c r="W770" s="346">
        <v>225</v>
      </c>
      <c r="X770" s="346">
        <v>450</v>
      </c>
    </row>
    <row r="771" spans="21:24" ht="12.75">
      <c r="U771" s="456">
        <v>951498</v>
      </c>
      <c r="V771" s="346">
        <v>9</v>
      </c>
      <c r="W771" s="346">
        <v>250</v>
      </c>
      <c r="X771" s="346">
        <v>500</v>
      </c>
    </row>
    <row r="772" spans="21:24" ht="12.75">
      <c r="U772" s="456">
        <v>957344</v>
      </c>
      <c r="V772" s="346">
        <v>8</v>
      </c>
      <c r="W772" s="346">
        <v>275</v>
      </c>
      <c r="X772" s="346">
        <v>500</v>
      </c>
    </row>
    <row r="773" spans="21:24" ht="12.75">
      <c r="U773" s="456">
        <v>960792</v>
      </c>
      <c r="V773" s="346">
        <v>6</v>
      </c>
      <c r="W773" s="346">
        <v>350</v>
      </c>
      <c r="X773" s="346">
        <v>500</v>
      </c>
    </row>
    <row r="774" spans="21:24" ht="12.75">
      <c r="U774" s="456">
        <v>980947</v>
      </c>
      <c r="V774" s="346">
        <v>11</v>
      </c>
      <c r="W774" s="346">
        <v>275</v>
      </c>
      <c r="X774" s="346">
        <v>400</v>
      </c>
    </row>
    <row r="775" spans="21:24" ht="12.75">
      <c r="U775" s="456">
        <v>982144</v>
      </c>
      <c r="V775" s="346">
        <v>8</v>
      </c>
      <c r="W775" s="346">
        <v>350</v>
      </c>
      <c r="X775" s="346">
        <v>400</v>
      </c>
    </row>
    <row r="776" spans="21:24" ht="12.75">
      <c r="U776" s="456">
        <v>990297</v>
      </c>
      <c r="V776" s="346">
        <v>11</v>
      </c>
      <c r="W776" s="346">
        <v>225</v>
      </c>
      <c r="X776" s="346">
        <v>500</v>
      </c>
    </row>
    <row r="777" spans="21:24" ht="12.75">
      <c r="U777" s="456">
        <v>999372</v>
      </c>
      <c r="V777" s="346">
        <v>11</v>
      </c>
      <c r="W777" s="346">
        <v>250</v>
      </c>
      <c r="X777" s="346">
        <v>450</v>
      </c>
    </row>
    <row r="778" spans="21:24" ht="12.75">
      <c r="U778" s="456">
        <v>999936</v>
      </c>
      <c r="V778" s="346">
        <v>12</v>
      </c>
      <c r="W778" s="346">
        <v>300</v>
      </c>
      <c r="X778" s="346">
        <v>350</v>
      </c>
    </row>
    <row r="779" spans="21:24" ht="12.75">
      <c r="U779" s="456">
        <v>1002000</v>
      </c>
      <c r="V779" s="346">
        <v>10</v>
      </c>
      <c r="W779" s="346">
        <v>300</v>
      </c>
      <c r="X779" s="346">
        <v>400</v>
      </c>
    </row>
    <row r="780" spans="21:24" ht="12.75">
      <c r="U780" s="456">
        <v>1006516</v>
      </c>
      <c r="V780" s="346">
        <v>7</v>
      </c>
      <c r="W780" s="346">
        <v>400</v>
      </c>
      <c r="X780" s="346">
        <v>400</v>
      </c>
    </row>
    <row r="781" spans="21:24" ht="12.75">
      <c r="U781" s="456">
        <v>1027000</v>
      </c>
      <c r="V781" s="346">
        <v>10</v>
      </c>
      <c r="W781" s="346">
        <v>350</v>
      </c>
      <c r="X781" s="346">
        <v>350</v>
      </c>
    </row>
    <row r="782" spans="21:24" ht="12.75">
      <c r="U782" s="456">
        <v>1037000</v>
      </c>
      <c r="V782" s="346">
        <v>10</v>
      </c>
      <c r="W782" s="346">
        <v>250</v>
      </c>
      <c r="X782" s="346">
        <v>500</v>
      </c>
    </row>
    <row r="783" spans="21:24" ht="12.75">
      <c r="U783" s="456">
        <v>1049136</v>
      </c>
      <c r="V783" s="346">
        <v>12</v>
      </c>
      <c r="W783" s="346">
        <v>275</v>
      </c>
      <c r="X783" s="346">
        <v>400</v>
      </c>
    </row>
    <row r="784" spans="21:24" ht="12.75">
      <c r="U784" s="456">
        <v>1052544</v>
      </c>
      <c r="V784" s="346">
        <v>8</v>
      </c>
      <c r="W784" s="346">
        <v>300</v>
      </c>
      <c r="X784" s="346">
        <v>500</v>
      </c>
    </row>
    <row r="785" spans="21:24" ht="12.75">
      <c r="U785" s="456">
        <v>1057536</v>
      </c>
      <c r="V785" s="346">
        <v>12</v>
      </c>
      <c r="W785" s="346">
        <v>225</v>
      </c>
      <c r="X785" s="346">
        <v>500</v>
      </c>
    </row>
    <row r="786" spans="21:24" ht="12.75">
      <c r="U786" s="456">
        <v>1057923</v>
      </c>
      <c r="V786" s="346">
        <v>9</v>
      </c>
      <c r="W786" s="346">
        <v>275</v>
      </c>
      <c r="X786" s="346">
        <v>500</v>
      </c>
    </row>
    <row r="787" spans="21:24" ht="12.75">
      <c r="U787" s="456">
        <v>1068336</v>
      </c>
      <c r="V787" s="346">
        <v>12</v>
      </c>
      <c r="W787" s="346">
        <v>250</v>
      </c>
      <c r="X787" s="346">
        <v>450</v>
      </c>
    </row>
    <row r="788" spans="21:24" ht="12.75">
      <c r="U788" s="456">
        <v>1081872</v>
      </c>
      <c r="V788" s="346">
        <v>11</v>
      </c>
      <c r="W788" s="346">
        <v>300</v>
      </c>
      <c r="X788" s="346">
        <v>400</v>
      </c>
    </row>
    <row r="789" spans="21:24" ht="12.75">
      <c r="U789" s="456">
        <v>1086498</v>
      </c>
      <c r="V789" s="346">
        <v>9</v>
      </c>
      <c r="W789" s="346">
        <v>350</v>
      </c>
      <c r="X789" s="346">
        <v>400</v>
      </c>
    </row>
    <row r="790" spans="21:24" ht="12.75">
      <c r="U790" s="456">
        <v>1104166</v>
      </c>
      <c r="V790" s="346">
        <v>7</v>
      </c>
      <c r="W790" s="346">
        <v>350</v>
      </c>
      <c r="X790" s="346">
        <v>500</v>
      </c>
    </row>
    <row r="791" spans="21:24" ht="12.75">
      <c r="U791" s="456">
        <v>1105392</v>
      </c>
      <c r="V791" s="346">
        <v>6</v>
      </c>
      <c r="W791" s="346">
        <v>400</v>
      </c>
      <c r="X791" s="346">
        <v>500</v>
      </c>
    </row>
    <row r="792" spans="21:24" ht="12.75">
      <c r="U792" s="456">
        <v>1109372</v>
      </c>
      <c r="V792" s="346">
        <v>11</v>
      </c>
      <c r="W792" s="346">
        <v>350</v>
      </c>
      <c r="X792" s="346">
        <v>350</v>
      </c>
    </row>
    <row r="793" spans="21:24" ht="12.75">
      <c r="U793" s="456">
        <v>1114047</v>
      </c>
      <c r="V793" s="346">
        <v>11</v>
      </c>
      <c r="W793" s="346">
        <v>275</v>
      </c>
      <c r="X793" s="346">
        <v>450</v>
      </c>
    </row>
    <row r="794" spans="21:24" ht="12.75">
      <c r="U794" s="456">
        <v>1118722</v>
      </c>
      <c r="V794" s="346">
        <v>11</v>
      </c>
      <c r="W794" s="346">
        <v>250</v>
      </c>
      <c r="X794" s="346">
        <v>500</v>
      </c>
    </row>
    <row r="795" spans="21:24" ht="12.75">
      <c r="U795" s="456">
        <v>1132544</v>
      </c>
      <c r="V795" s="346">
        <v>8</v>
      </c>
      <c r="W795" s="346">
        <v>400</v>
      </c>
      <c r="X795" s="346">
        <v>400</v>
      </c>
    </row>
    <row r="796" spans="21:24" ht="12.75">
      <c r="U796" s="456">
        <v>1154500</v>
      </c>
      <c r="V796" s="346">
        <v>10</v>
      </c>
      <c r="W796" s="346">
        <v>275</v>
      </c>
      <c r="X796" s="346">
        <v>500</v>
      </c>
    </row>
    <row r="797" spans="21:24" ht="12.75">
      <c r="U797" s="456">
        <v>1158336</v>
      </c>
      <c r="V797" s="346">
        <v>12</v>
      </c>
      <c r="W797" s="346">
        <v>300</v>
      </c>
      <c r="X797" s="346">
        <v>400</v>
      </c>
    </row>
    <row r="798" spans="21:24" ht="12.75">
      <c r="U798" s="456">
        <v>1164348</v>
      </c>
      <c r="V798" s="346">
        <v>9</v>
      </c>
      <c r="W798" s="346">
        <v>300</v>
      </c>
      <c r="X798" s="346">
        <v>500</v>
      </c>
    </row>
    <row r="799" spans="21:24" ht="12.75">
      <c r="U799" s="456">
        <v>1176500</v>
      </c>
      <c r="V799" s="346">
        <v>5</v>
      </c>
      <c r="W799" s="346">
        <v>500</v>
      </c>
      <c r="X799" s="346">
        <v>500</v>
      </c>
    </row>
    <row r="800" spans="21:24" ht="12.75">
      <c r="U800" s="456">
        <v>1187000</v>
      </c>
      <c r="V800" s="346">
        <v>10</v>
      </c>
      <c r="W800" s="346">
        <v>350</v>
      </c>
      <c r="X800" s="346">
        <v>400</v>
      </c>
    </row>
    <row r="801" spans="21:24" ht="12.75">
      <c r="U801" s="456">
        <v>1188336</v>
      </c>
      <c r="V801" s="346">
        <v>12</v>
      </c>
      <c r="W801" s="346">
        <v>350</v>
      </c>
      <c r="X801" s="346">
        <v>350</v>
      </c>
    </row>
    <row r="802" spans="21:24" ht="12.75">
      <c r="U802" s="456">
        <v>1192536</v>
      </c>
      <c r="V802" s="346">
        <v>12</v>
      </c>
      <c r="W802" s="346">
        <v>275</v>
      </c>
      <c r="X802" s="346">
        <v>450</v>
      </c>
    </row>
    <row r="803" spans="21:24" ht="12.75">
      <c r="U803" s="456">
        <v>1196736</v>
      </c>
      <c r="V803" s="346">
        <v>12</v>
      </c>
      <c r="W803" s="346">
        <v>250</v>
      </c>
      <c r="X803" s="346">
        <v>500</v>
      </c>
    </row>
    <row r="804" spans="21:24" ht="12.75">
      <c r="U804" s="456">
        <v>1228722</v>
      </c>
      <c r="V804" s="346">
        <v>11</v>
      </c>
      <c r="W804" s="346">
        <v>300</v>
      </c>
      <c r="X804" s="346">
        <v>450</v>
      </c>
    </row>
    <row r="805" spans="21:24" ht="12.75">
      <c r="U805" s="456">
        <v>1242944</v>
      </c>
      <c r="V805" s="346">
        <v>8</v>
      </c>
      <c r="W805" s="346">
        <v>350</v>
      </c>
      <c r="X805" s="346">
        <v>500</v>
      </c>
    </row>
    <row r="806" spans="21:24" ht="12.75">
      <c r="U806" s="456">
        <v>1247147</v>
      </c>
      <c r="V806" s="346">
        <v>11</v>
      </c>
      <c r="W806" s="346">
        <v>275</v>
      </c>
      <c r="X806" s="346">
        <v>500</v>
      </c>
    </row>
    <row r="807" spans="21:24" ht="12.75">
      <c r="U807" s="456">
        <v>1254348</v>
      </c>
      <c r="V807" s="346">
        <v>9</v>
      </c>
      <c r="W807" s="346">
        <v>400</v>
      </c>
      <c r="X807" s="346">
        <v>400</v>
      </c>
    </row>
    <row r="808" spans="21:24" ht="12.75">
      <c r="U808" s="456">
        <v>1271816</v>
      </c>
      <c r="V808" s="346">
        <v>7</v>
      </c>
      <c r="W808" s="346">
        <v>400</v>
      </c>
      <c r="X808" s="346">
        <v>500</v>
      </c>
    </row>
    <row r="809" spans="21:24" ht="12.75">
      <c r="U809" s="456">
        <v>1272000</v>
      </c>
      <c r="V809" s="346">
        <v>10</v>
      </c>
      <c r="W809" s="346">
        <v>300</v>
      </c>
      <c r="X809" s="346">
        <v>500</v>
      </c>
    </row>
    <row r="810" spans="21:24" ht="12.75">
      <c r="U810" s="456">
        <v>1283722</v>
      </c>
      <c r="V810" s="346">
        <v>11</v>
      </c>
      <c r="W810" s="346">
        <v>350</v>
      </c>
      <c r="X810" s="346">
        <v>400</v>
      </c>
    </row>
    <row r="811" spans="21:24" ht="12.75">
      <c r="U811" s="456">
        <v>1316736</v>
      </c>
      <c r="V811" s="346">
        <v>12</v>
      </c>
      <c r="W811" s="346">
        <v>300</v>
      </c>
      <c r="X811" s="346">
        <v>450</v>
      </c>
    </row>
    <row r="812" spans="21:24" ht="12.75">
      <c r="U812" s="456">
        <v>1335936</v>
      </c>
      <c r="V812" s="346">
        <v>12</v>
      </c>
      <c r="W812" s="346">
        <v>275</v>
      </c>
      <c r="X812" s="346">
        <v>500</v>
      </c>
    </row>
    <row r="813" spans="21:24" ht="12.75">
      <c r="U813" s="456">
        <v>1362422</v>
      </c>
      <c r="V813" s="346">
        <v>11</v>
      </c>
      <c r="W813" s="346">
        <v>350</v>
      </c>
      <c r="X813" s="346">
        <v>500</v>
      </c>
    </row>
    <row r="814" spans="21:24" ht="12.75">
      <c r="U814" s="456">
        <v>1372000</v>
      </c>
      <c r="V814" s="346">
        <v>10</v>
      </c>
      <c r="W814" s="346">
        <v>400</v>
      </c>
      <c r="X814" s="346">
        <v>400</v>
      </c>
    </row>
    <row r="815" spans="21:24" ht="12.75">
      <c r="U815" s="456">
        <v>1375572</v>
      </c>
      <c r="V815" s="346">
        <v>11</v>
      </c>
      <c r="W815" s="346">
        <v>300</v>
      </c>
      <c r="X815" s="346">
        <v>500</v>
      </c>
    </row>
    <row r="816" spans="21:24" ht="12.75">
      <c r="U816" s="456">
        <v>1376736</v>
      </c>
      <c r="V816" s="346">
        <v>12</v>
      </c>
      <c r="W816" s="346">
        <v>350</v>
      </c>
      <c r="X816" s="346">
        <v>400</v>
      </c>
    </row>
    <row r="817" spans="21:24" ht="12.75">
      <c r="U817" s="456">
        <v>1377198</v>
      </c>
      <c r="V817" s="346">
        <v>9</v>
      </c>
      <c r="W817" s="346">
        <v>350</v>
      </c>
      <c r="X817" s="346">
        <v>500</v>
      </c>
    </row>
    <row r="818" spans="21:24" ht="12.75">
      <c r="U818" s="456">
        <v>1394592</v>
      </c>
      <c r="V818" s="346">
        <v>6</v>
      </c>
      <c r="W818" s="346">
        <v>500</v>
      </c>
      <c r="X818" s="346">
        <v>500</v>
      </c>
    </row>
    <row r="819" spans="21:24" ht="12.75">
      <c r="U819" s="456">
        <v>1433344</v>
      </c>
      <c r="V819" s="346">
        <v>8</v>
      </c>
      <c r="W819" s="346">
        <v>400</v>
      </c>
      <c r="X819" s="346">
        <v>500</v>
      </c>
    </row>
    <row r="820" spans="21:24" ht="12.75">
      <c r="U820" s="456">
        <v>1458072</v>
      </c>
      <c r="V820" s="346">
        <v>11</v>
      </c>
      <c r="W820" s="346">
        <v>350</v>
      </c>
      <c r="X820" s="346">
        <v>450</v>
      </c>
    </row>
    <row r="821" spans="21:24" ht="12.75">
      <c r="U821" s="456">
        <v>1475136</v>
      </c>
      <c r="V821" s="346">
        <v>12</v>
      </c>
      <c r="W821" s="346">
        <v>300</v>
      </c>
      <c r="X821" s="346">
        <v>500</v>
      </c>
    </row>
    <row r="822" spans="21:24" ht="12.75">
      <c r="U822" s="456">
        <v>1485572</v>
      </c>
      <c r="V822" s="346">
        <v>11</v>
      </c>
      <c r="W822" s="346">
        <v>400</v>
      </c>
      <c r="X822" s="346">
        <v>400</v>
      </c>
    </row>
    <row r="823" spans="21:24" ht="12.75">
      <c r="U823" s="456">
        <v>1507000</v>
      </c>
      <c r="V823" s="346">
        <v>10</v>
      </c>
      <c r="W823" s="346">
        <v>350</v>
      </c>
      <c r="X823" s="346">
        <v>500</v>
      </c>
    </row>
    <row r="824" spans="21:24" ht="12.75">
      <c r="U824" s="456">
        <v>1565136</v>
      </c>
      <c r="V824" s="346">
        <v>12</v>
      </c>
      <c r="W824" s="346">
        <v>350</v>
      </c>
      <c r="X824" s="346">
        <v>450</v>
      </c>
    </row>
    <row r="825" spans="21:24" ht="12.75">
      <c r="U825" s="456">
        <v>1590048</v>
      </c>
      <c r="V825" s="346">
        <v>9</v>
      </c>
      <c r="W825" s="346">
        <v>400</v>
      </c>
      <c r="X825" s="346">
        <v>500</v>
      </c>
    </row>
    <row r="826" spans="21:24" ht="12.75">
      <c r="U826" s="456">
        <v>1595136</v>
      </c>
      <c r="V826" s="346">
        <v>12</v>
      </c>
      <c r="W826" s="346">
        <v>400</v>
      </c>
      <c r="X826" s="346">
        <v>400</v>
      </c>
    </row>
    <row r="827" spans="21:24" ht="12.75">
      <c r="U827" s="456">
        <v>1607116</v>
      </c>
      <c r="V827" s="346">
        <v>7</v>
      </c>
      <c r="W827" s="346">
        <v>500</v>
      </c>
      <c r="X827" s="346">
        <v>500</v>
      </c>
    </row>
    <row r="828" spans="21:24" ht="12.75">
      <c r="U828" s="456">
        <v>1687422</v>
      </c>
      <c r="V828" s="346">
        <v>11</v>
      </c>
      <c r="W828" s="346">
        <v>400</v>
      </c>
      <c r="X828" s="346">
        <v>450</v>
      </c>
    </row>
    <row r="829" spans="21:24" ht="12.75">
      <c r="U829" s="456">
        <v>1742000</v>
      </c>
      <c r="V829" s="346">
        <v>10</v>
      </c>
      <c r="W829" s="346">
        <v>400</v>
      </c>
      <c r="X829" s="346">
        <v>500</v>
      </c>
    </row>
    <row r="830" spans="21:24" ht="12.75">
      <c r="U830" s="456">
        <v>1753536</v>
      </c>
      <c r="V830" s="346">
        <v>12</v>
      </c>
      <c r="W830" s="346">
        <v>350</v>
      </c>
      <c r="X830" s="346">
        <v>500</v>
      </c>
    </row>
    <row r="831" spans="21:24" ht="12.75">
      <c r="U831" s="456">
        <v>1813536</v>
      </c>
      <c r="V831" s="346">
        <v>12</v>
      </c>
      <c r="W831" s="346">
        <v>400</v>
      </c>
      <c r="X831" s="346">
        <v>450</v>
      </c>
    </row>
    <row r="832" spans="21:24" ht="12.75">
      <c r="U832" s="456">
        <v>1814144</v>
      </c>
      <c r="V832" s="346">
        <v>8</v>
      </c>
      <c r="W832" s="346">
        <v>500</v>
      </c>
      <c r="X832" s="346">
        <v>500</v>
      </c>
    </row>
    <row r="833" spans="21:24" ht="12.75">
      <c r="U833" s="456">
        <v>1889272</v>
      </c>
      <c r="V833" s="346">
        <v>11</v>
      </c>
      <c r="W833" s="346">
        <v>400</v>
      </c>
      <c r="X833" s="346">
        <v>500</v>
      </c>
    </row>
    <row r="834" spans="21:24" ht="12.75">
      <c r="U834" s="456">
        <v>1916772</v>
      </c>
      <c r="V834" s="346">
        <v>11</v>
      </c>
      <c r="W834" s="346">
        <v>450</v>
      </c>
      <c r="X834" s="346">
        <v>450</v>
      </c>
    </row>
    <row r="835" spans="21:24" ht="12.75">
      <c r="U835" s="456">
        <v>2015748</v>
      </c>
      <c r="V835" s="346">
        <v>9</v>
      </c>
      <c r="W835" s="346">
        <v>500</v>
      </c>
      <c r="X835" s="346">
        <v>500</v>
      </c>
    </row>
    <row r="836" spans="21:24" ht="12.75">
      <c r="U836" s="456">
        <v>2031936</v>
      </c>
      <c r="V836" s="346">
        <v>12</v>
      </c>
      <c r="W836" s="346">
        <v>400</v>
      </c>
      <c r="X836" s="346">
        <v>500</v>
      </c>
    </row>
    <row r="837" spans="21:24" ht="12.75">
      <c r="U837" s="456">
        <v>2061936</v>
      </c>
      <c r="V837" s="346">
        <v>12</v>
      </c>
      <c r="W837" s="346">
        <v>450</v>
      </c>
      <c r="X837" s="346">
        <v>450</v>
      </c>
    </row>
    <row r="838" spans="21:24" ht="12.75">
      <c r="U838" s="456">
        <v>2146122</v>
      </c>
      <c r="V838" s="346">
        <v>11</v>
      </c>
      <c r="W838" s="346">
        <v>450</v>
      </c>
      <c r="X838" s="346">
        <v>500</v>
      </c>
    </row>
    <row r="839" spans="21:24" ht="12.75">
      <c r="U839" s="456">
        <v>2212000</v>
      </c>
      <c r="V839" s="346">
        <v>10</v>
      </c>
      <c r="W839" s="346">
        <v>500</v>
      </c>
      <c r="X839" s="346">
        <v>500</v>
      </c>
    </row>
    <row r="840" spans="21:24" ht="12.75">
      <c r="U840" s="456">
        <v>2310336</v>
      </c>
      <c r="V840" s="346">
        <v>12</v>
      </c>
      <c r="W840" s="346">
        <v>450</v>
      </c>
      <c r="X840" s="346">
        <v>500</v>
      </c>
    </row>
    <row r="841" spans="21:24" ht="12.75">
      <c r="U841" s="456">
        <v>2402972</v>
      </c>
      <c r="V841" s="346">
        <v>11</v>
      </c>
      <c r="W841" s="346">
        <v>500</v>
      </c>
      <c r="X841" s="346">
        <v>500</v>
      </c>
    </row>
    <row r="842" spans="21:24" ht="12.75">
      <c r="U842" s="456">
        <v>2588736</v>
      </c>
      <c r="V842" s="346">
        <v>12</v>
      </c>
      <c r="W842" s="346">
        <v>500</v>
      </c>
      <c r="X842" s="346">
        <v>500</v>
      </c>
    </row>
  </sheetData>
  <mergeCells count="4">
    <mergeCell ref="A1:P1"/>
    <mergeCell ref="A36:P36"/>
    <mergeCell ref="A71:P71"/>
    <mergeCell ref="A106:P106"/>
  </mergeCells>
  <printOptions/>
  <pageMargins left="0.5" right="0.5" top="0.5" bottom="0.5" header="0.5" footer="0.5"/>
  <pageSetup horizontalDpi="600" verticalDpi="600" orientation="landscape" scale="90" r:id="rId1"/>
</worksheet>
</file>

<file path=xl/worksheets/sheet2.xml><?xml version="1.0" encoding="utf-8"?>
<worksheet xmlns="http://schemas.openxmlformats.org/spreadsheetml/2006/main" xmlns:r="http://schemas.openxmlformats.org/officeDocument/2006/relationships">
  <sheetPr>
    <tabColor indexed="42"/>
  </sheetPr>
  <dimension ref="A1:T61"/>
  <sheetViews>
    <sheetView tabSelected="1" workbookViewId="0" topLeftCell="A1">
      <selection activeCell="E4" sqref="E4:I4"/>
    </sheetView>
  </sheetViews>
  <sheetFormatPr defaultColWidth="9.140625" defaultRowHeight="12.75"/>
  <cols>
    <col min="1" max="1" width="2.7109375" style="0" customWidth="1"/>
    <col min="2" max="2" width="3.7109375" style="0" customWidth="1"/>
    <col min="3" max="3" width="7.57421875" style="0" customWidth="1"/>
    <col min="4" max="4" width="6.7109375" style="0" customWidth="1"/>
    <col min="5" max="5" width="8.7109375" style="0" customWidth="1"/>
    <col min="6" max="6" width="9.28125" style="0" customWidth="1"/>
    <col min="7" max="12" width="8.7109375" style="0" customWidth="1"/>
    <col min="19" max="21" width="0" style="0" hidden="1" customWidth="1"/>
  </cols>
  <sheetData>
    <row r="1" spans="1:12" ht="20.25" customHeight="1">
      <c r="A1" s="1044" t="s">
        <v>504</v>
      </c>
      <c r="B1" s="1044"/>
      <c r="C1" s="1044"/>
      <c r="D1" s="1044"/>
      <c r="E1" s="1044"/>
      <c r="F1" s="1044"/>
      <c r="G1" s="1044"/>
      <c r="H1" s="1044"/>
      <c r="I1" s="1044"/>
      <c r="J1" s="342"/>
      <c r="K1" s="342"/>
      <c r="L1" s="343"/>
    </row>
    <row r="2" spans="1:12" ht="12.75">
      <c r="A2" s="1037" t="s">
        <v>448</v>
      </c>
      <c r="B2" s="1037"/>
      <c r="C2" s="1037"/>
      <c r="D2" s="1037"/>
      <c r="E2" s="1037"/>
      <c r="F2" s="1037"/>
      <c r="G2" s="344"/>
      <c r="H2" s="345"/>
      <c r="I2" s="345"/>
      <c r="J2" s="345"/>
      <c r="K2" s="345"/>
      <c r="L2" s="372" t="s">
        <v>65</v>
      </c>
    </row>
    <row r="3" ht="12" customHeight="1">
      <c r="A3" s="3"/>
    </row>
    <row r="4" spans="1:12" ht="12.75">
      <c r="A4" s="346"/>
      <c r="B4" s="1038" t="s">
        <v>449</v>
      </c>
      <c r="C4" s="1038"/>
      <c r="D4" s="1039"/>
      <c r="E4" s="1043"/>
      <c r="F4" s="1043"/>
      <c r="G4" s="1043"/>
      <c r="H4" s="1043"/>
      <c r="I4" s="1043"/>
      <c r="J4" s="369" t="s">
        <v>173</v>
      </c>
      <c r="K4" s="1042"/>
      <c r="L4" s="1043"/>
    </row>
    <row r="5" spans="1:12" ht="11.25" customHeight="1">
      <c r="A5" s="346"/>
      <c r="B5" s="346"/>
      <c r="C5" s="346"/>
      <c r="D5" s="346"/>
      <c r="E5" s="346"/>
      <c r="F5" s="346"/>
      <c r="G5" s="346"/>
      <c r="H5" s="346"/>
      <c r="I5" s="346"/>
      <c r="J5" s="346"/>
      <c r="K5" s="346"/>
      <c r="L5" s="346"/>
    </row>
    <row r="6" spans="1:12" ht="12.75">
      <c r="A6" s="348" t="s">
        <v>450</v>
      </c>
      <c r="B6" s="348" t="s">
        <v>451</v>
      </c>
      <c r="C6" s="370"/>
      <c r="D6" s="370"/>
      <c r="E6" s="1"/>
      <c r="F6" s="1"/>
      <c r="G6" s="1"/>
      <c r="H6" s="1"/>
      <c r="I6" s="1"/>
      <c r="J6" s="1"/>
      <c r="K6" s="1"/>
      <c r="L6" s="371" t="s">
        <v>505</v>
      </c>
    </row>
    <row r="7" spans="1:2" ht="7.5" customHeight="1">
      <c r="A7" s="348"/>
      <c r="B7" s="348"/>
    </row>
    <row r="8" spans="1:12" ht="12.75">
      <c r="A8" s="346"/>
      <c r="B8" s="373" t="s">
        <v>452</v>
      </c>
      <c r="C8" s="373" t="s">
        <v>453</v>
      </c>
      <c r="D8" s="374"/>
      <c r="E8" s="349"/>
      <c r="F8" s="349"/>
      <c r="G8" s="349"/>
      <c r="H8" s="349"/>
      <c r="I8" s="349"/>
      <c r="J8" s="349"/>
      <c r="K8" s="349"/>
      <c r="L8" s="349"/>
    </row>
    <row r="9" ht="7.5" customHeight="1"/>
    <row r="10" spans="3:20" ht="15" customHeight="1">
      <c r="C10" s="1060" t="s">
        <v>510</v>
      </c>
      <c r="D10" s="1060"/>
      <c r="E10" s="1059"/>
      <c r="F10" s="1046"/>
      <c r="G10" s="1046"/>
      <c r="H10" s="1046"/>
      <c r="I10" s="1046"/>
      <c r="J10" s="1046"/>
      <c r="K10" s="1046"/>
      <c r="L10" s="1046"/>
      <c r="T10" s="378"/>
    </row>
    <row r="11" spans="3:20" ht="15" customHeight="1">
      <c r="C11" s="1060" t="s">
        <v>454</v>
      </c>
      <c r="D11" s="1060"/>
      <c r="E11" s="1059"/>
      <c r="F11" s="1058"/>
      <c r="G11" s="1058"/>
      <c r="H11" s="1058"/>
      <c r="I11" s="1058"/>
      <c r="J11" s="1058"/>
      <c r="K11" s="1058"/>
      <c r="L11" s="1058"/>
      <c r="T11" s="378" t="s">
        <v>511</v>
      </c>
    </row>
    <row r="12" spans="3:20" ht="15" customHeight="1">
      <c r="C12" s="1060" t="s">
        <v>455</v>
      </c>
      <c r="D12" s="1060"/>
      <c r="E12" s="1059"/>
      <c r="F12" s="1058"/>
      <c r="G12" s="1058"/>
      <c r="H12" s="1058"/>
      <c r="I12" s="1058"/>
      <c r="J12" s="1058"/>
      <c r="K12" s="1058"/>
      <c r="L12" s="1058"/>
      <c r="T12" s="378" t="s">
        <v>512</v>
      </c>
    </row>
    <row r="13" spans="3:20" ht="15" customHeight="1">
      <c r="C13" s="1060" t="s">
        <v>456</v>
      </c>
      <c r="D13" s="1060"/>
      <c r="E13" s="1059"/>
      <c r="F13" s="1058"/>
      <c r="G13" s="1058"/>
      <c r="H13" s="1058"/>
      <c r="I13" s="1058"/>
      <c r="J13" s="1058"/>
      <c r="K13" s="1058"/>
      <c r="L13" s="1058"/>
      <c r="T13" s="378" t="s">
        <v>513</v>
      </c>
    </row>
    <row r="14" spans="3:20" ht="15" customHeight="1">
      <c r="C14" s="1060" t="s">
        <v>457</v>
      </c>
      <c r="D14" s="1060"/>
      <c r="E14" s="1059"/>
      <c r="F14" s="1058"/>
      <c r="G14" s="1058"/>
      <c r="H14" s="379" t="s">
        <v>458</v>
      </c>
      <c r="I14" s="1045"/>
      <c r="J14" s="1045"/>
      <c r="K14" s="379" t="s">
        <v>459</v>
      </c>
      <c r="L14" s="991"/>
      <c r="T14" s="378" t="s">
        <v>514</v>
      </c>
    </row>
    <row r="15" spans="3:20" ht="15" customHeight="1">
      <c r="C15" s="1060" t="s">
        <v>460</v>
      </c>
      <c r="D15" s="1060"/>
      <c r="E15" s="1059"/>
      <c r="F15" s="1046"/>
      <c r="G15" s="1046"/>
      <c r="H15" s="1046"/>
      <c r="I15" s="1046"/>
      <c r="J15" s="1046"/>
      <c r="K15" s="1046"/>
      <c r="L15" s="1046"/>
      <c r="T15" s="378" t="s">
        <v>515</v>
      </c>
    </row>
    <row r="16" spans="3:20" ht="15" customHeight="1">
      <c r="C16" s="1060" t="s">
        <v>461</v>
      </c>
      <c r="D16" s="1060"/>
      <c r="E16" s="1059"/>
      <c r="F16" s="1057"/>
      <c r="G16" s="1058"/>
      <c r="H16" s="1058"/>
      <c r="I16" s="1058"/>
      <c r="J16" s="1058"/>
      <c r="K16" s="1058"/>
      <c r="L16" s="1058"/>
      <c r="T16" s="378" t="s">
        <v>516</v>
      </c>
    </row>
    <row r="17" ht="11.25" customHeight="1">
      <c r="T17" s="378" t="s">
        <v>517</v>
      </c>
    </row>
    <row r="18" spans="1:20" ht="12.75">
      <c r="A18" s="346"/>
      <c r="B18" s="375" t="s">
        <v>462</v>
      </c>
      <c r="C18" s="1053" t="s">
        <v>852</v>
      </c>
      <c r="D18" s="1049"/>
      <c r="E18" s="1049"/>
      <c r="F18" s="1049"/>
      <c r="G18" s="1049"/>
      <c r="H18" s="1049"/>
      <c r="I18" s="1049"/>
      <c r="J18" s="1049"/>
      <c r="K18" s="1049"/>
      <c r="L18" s="1049"/>
      <c r="T18" s="378" t="s">
        <v>518</v>
      </c>
    </row>
    <row r="19" spans="1:20" ht="12.75">
      <c r="A19" s="346"/>
      <c r="B19" s="375"/>
      <c r="C19" s="1047" t="s">
        <v>853</v>
      </c>
      <c r="D19" s="1048"/>
      <c r="E19" s="1048"/>
      <c r="F19" s="1048"/>
      <c r="G19" s="1048"/>
      <c r="H19" s="1048"/>
      <c r="I19" s="1048"/>
      <c r="J19" s="1048"/>
      <c r="K19" s="1048"/>
      <c r="L19" s="1048"/>
      <c r="T19" s="378"/>
    </row>
    <row r="20" ht="7.5" customHeight="1"/>
    <row r="21" spans="3:20" ht="12.75">
      <c r="C21" s="1068"/>
      <c r="D21" s="1069"/>
      <c r="E21" s="1069"/>
      <c r="F21" s="1069"/>
      <c r="G21" s="1069"/>
      <c r="H21" s="1069"/>
      <c r="I21" s="1069"/>
      <c r="J21" s="1069"/>
      <c r="K21" s="1069"/>
      <c r="L21" s="1064"/>
      <c r="T21" s="378"/>
    </row>
    <row r="22" spans="3:20" ht="12.75">
      <c r="C22" s="1056"/>
      <c r="D22" s="1055"/>
      <c r="E22" s="1055"/>
      <c r="F22" s="1055"/>
      <c r="G22" s="1055"/>
      <c r="H22" s="1055"/>
      <c r="I22" s="1055"/>
      <c r="J22" s="1055"/>
      <c r="K22" s="1055"/>
      <c r="L22" s="1054"/>
      <c r="T22" s="378" t="s">
        <v>506</v>
      </c>
    </row>
    <row r="23" spans="3:20" ht="12.75">
      <c r="C23" s="1056"/>
      <c r="D23" s="1055"/>
      <c r="E23" s="1055"/>
      <c r="F23" s="1055"/>
      <c r="G23" s="1055"/>
      <c r="H23" s="1055"/>
      <c r="I23" s="1055"/>
      <c r="J23" s="1055"/>
      <c r="K23" s="1055"/>
      <c r="L23" s="1054"/>
      <c r="T23" s="378" t="s">
        <v>507</v>
      </c>
    </row>
    <row r="24" spans="3:12" ht="12.75">
      <c r="C24" s="1063"/>
      <c r="D24" s="1061"/>
      <c r="E24" s="1061"/>
      <c r="F24" s="1061"/>
      <c r="G24" s="1061"/>
      <c r="H24" s="1061"/>
      <c r="I24" s="1061"/>
      <c r="J24" s="1061"/>
      <c r="K24" s="1061"/>
      <c r="L24" s="1062"/>
    </row>
    <row r="25" ht="11.25" customHeight="1"/>
    <row r="26" spans="1:12" ht="12.75">
      <c r="A26" s="346"/>
      <c r="B26" s="375" t="s">
        <v>463</v>
      </c>
      <c r="C26" s="375" t="s">
        <v>464</v>
      </c>
      <c r="D26" s="376"/>
      <c r="E26" s="376"/>
      <c r="F26" s="349"/>
      <c r="G26" s="349"/>
      <c r="H26" s="349"/>
      <c r="I26" s="349"/>
      <c r="J26" s="349"/>
      <c r="K26" s="349"/>
      <c r="L26" s="349"/>
    </row>
    <row r="27" ht="7.5" customHeight="1"/>
    <row r="28" spans="1:20" ht="12.75">
      <c r="A28" s="351"/>
      <c r="B28" s="351"/>
      <c r="C28" s="377" t="s">
        <v>494</v>
      </c>
      <c r="D28" s="351"/>
      <c r="E28" s="351"/>
      <c r="F28" s="351"/>
      <c r="G28" s="351"/>
      <c r="H28" s="351"/>
      <c r="I28" s="990"/>
      <c r="J28" s="351"/>
      <c r="K28" s="351"/>
      <c r="L28" s="351"/>
      <c r="T28" s="378"/>
    </row>
    <row r="29" spans="1:20" ht="12.75">
      <c r="A29" s="351"/>
      <c r="B29" s="351"/>
      <c r="C29" s="377" t="s">
        <v>495</v>
      </c>
      <c r="D29" s="351"/>
      <c r="E29" s="351"/>
      <c r="F29" s="351"/>
      <c r="G29" s="351"/>
      <c r="H29" s="351"/>
      <c r="I29" s="988"/>
      <c r="J29" s="351"/>
      <c r="K29" s="633" t="s">
        <v>641</v>
      </c>
      <c r="L29" s="988"/>
      <c r="T29" s="378" t="s">
        <v>508</v>
      </c>
    </row>
    <row r="30" spans="1:20" ht="12.75">
      <c r="A30" s="351"/>
      <c r="B30" s="351"/>
      <c r="C30" s="377" t="s">
        <v>496</v>
      </c>
      <c r="D30" s="351"/>
      <c r="E30" s="351"/>
      <c r="F30" s="351"/>
      <c r="G30" s="351"/>
      <c r="H30" s="351"/>
      <c r="I30" s="351"/>
      <c r="J30" s="351"/>
      <c r="K30" s="351"/>
      <c r="L30" s="351"/>
      <c r="T30" s="378" t="s">
        <v>509</v>
      </c>
    </row>
    <row r="31" spans="1:20" ht="12.75">
      <c r="A31" s="351"/>
      <c r="B31" s="351"/>
      <c r="C31" s="351"/>
      <c r="D31" s="1068"/>
      <c r="E31" s="1069"/>
      <c r="F31" s="1070"/>
      <c r="G31" s="1070"/>
      <c r="H31" s="1070"/>
      <c r="I31" s="1070"/>
      <c r="J31" s="1070"/>
      <c r="K31" s="1070"/>
      <c r="L31" s="1071"/>
      <c r="T31" s="378"/>
    </row>
    <row r="32" spans="1:20" ht="12.75">
      <c r="A32" s="351"/>
      <c r="B32" s="351"/>
      <c r="C32" s="351"/>
      <c r="D32" s="1072"/>
      <c r="E32" s="1073"/>
      <c r="F32" s="1073"/>
      <c r="G32" s="1073"/>
      <c r="H32" s="1073"/>
      <c r="I32" s="1073"/>
      <c r="J32" s="1073"/>
      <c r="K32" s="1073"/>
      <c r="L32" s="1065"/>
      <c r="T32" s="378"/>
    </row>
    <row r="33" spans="1:20" ht="12.75">
      <c r="A33" s="351"/>
      <c r="B33" s="351"/>
      <c r="C33" s="351"/>
      <c r="D33" s="1050"/>
      <c r="E33" s="1051"/>
      <c r="F33" s="1051"/>
      <c r="G33" s="1051"/>
      <c r="H33" s="1051"/>
      <c r="I33" s="1051"/>
      <c r="J33" s="1051"/>
      <c r="K33" s="1051"/>
      <c r="L33" s="1052"/>
      <c r="T33" s="378"/>
    </row>
    <row r="34" spans="1:12" ht="7.5" customHeight="1">
      <c r="A34" s="351"/>
      <c r="B34" s="351"/>
      <c r="C34" s="351"/>
      <c r="D34" s="352"/>
      <c r="E34" s="352"/>
      <c r="F34" s="352"/>
      <c r="G34" s="352"/>
      <c r="H34" s="352"/>
      <c r="I34" s="352"/>
      <c r="J34" s="352"/>
      <c r="K34" s="352"/>
      <c r="L34" s="352"/>
    </row>
    <row r="35" spans="1:12" ht="12.75">
      <c r="A35" s="351"/>
      <c r="B35" s="351"/>
      <c r="C35" s="347" t="s">
        <v>497</v>
      </c>
      <c r="D35" s="351"/>
      <c r="E35" s="351"/>
      <c r="F35" s="351"/>
      <c r="G35" s="351"/>
      <c r="H35" s="351"/>
      <c r="I35" s="351"/>
      <c r="J35" s="351"/>
      <c r="K35" s="351"/>
      <c r="L35" s="351"/>
    </row>
    <row r="36" spans="1:12" ht="12.75">
      <c r="A36" s="351"/>
      <c r="B36" s="351"/>
      <c r="C36" s="351"/>
      <c r="D36" s="1068"/>
      <c r="E36" s="1069"/>
      <c r="F36" s="1070"/>
      <c r="G36" s="1070"/>
      <c r="H36" s="1070"/>
      <c r="I36" s="1070"/>
      <c r="J36" s="1070"/>
      <c r="K36" s="1070"/>
      <c r="L36" s="1071"/>
    </row>
    <row r="37" spans="1:12" ht="12.75">
      <c r="A37" s="351"/>
      <c r="B37" s="351"/>
      <c r="C37" s="351"/>
      <c r="D37" s="1072"/>
      <c r="E37" s="1073"/>
      <c r="F37" s="1067"/>
      <c r="G37" s="1067"/>
      <c r="H37" s="1067"/>
      <c r="I37" s="1067"/>
      <c r="J37" s="1067"/>
      <c r="K37" s="1067"/>
      <c r="L37" s="1065"/>
    </row>
    <row r="38" spans="1:12" ht="12.75">
      <c r="A38" s="351"/>
      <c r="B38" s="351"/>
      <c r="C38" s="351"/>
      <c r="D38" s="1072"/>
      <c r="E38" s="1073"/>
      <c r="F38" s="1067"/>
      <c r="G38" s="1067"/>
      <c r="H38" s="1067"/>
      <c r="I38" s="1067"/>
      <c r="J38" s="1067"/>
      <c r="K38" s="1067"/>
      <c r="L38" s="1065"/>
    </row>
    <row r="39" spans="1:12" ht="7.5" customHeight="1">
      <c r="A39" s="351"/>
      <c r="B39" s="351"/>
      <c r="C39" s="351"/>
      <c r="D39" s="352"/>
      <c r="E39" s="352"/>
      <c r="F39" s="352"/>
      <c r="G39" s="352"/>
      <c r="H39" s="352"/>
      <c r="I39" s="352"/>
      <c r="J39" s="352"/>
      <c r="K39" s="352"/>
      <c r="L39" s="352"/>
    </row>
    <row r="40" spans="1:12" ht="12.75">
      <c r="A40" s="351"/>
      <c r="B40" s="351"/>
      <c r="C40" s="1066" t="s">
        <v>498</v>
      </c>
      <c r="D40" s="1066"/>
      <c r="E40" s="1066"/>
      <c r="F40" s="1066"/>
      <c r="G40" s="1066"/>
      <c r="H40" s="1066"/>
      <c r="I40" s="1066"/>
      <c r="J40" s="1066"/>
      <c r="K40" s="1066"/>
      <c r="L40" s="1066"/>
    </row>
    <row r="41" spans="1:12" ht="12.75">
      <c r="A41" s="351"/>
      <c r="B41" s="351"/>
      <c r="C41" s="1066"/>
      <c r="D41" s="1066"/>
      <c r="E41" s="1066"/>
      <c r="F41" s="1066"/>
      <c r="G41" s="1066"/>
      <c r="H41" s="1066"/>
      <c r="I41" s="1066"/>
      <c r="J41" s="1066"/>
      <c r="K41" s="1066"/>
      <c r="L41" s="1066"/>
    </row>
    <row r="42" spans="1:12" ht="12.75">
      <c r="A42" s="351"/>
      <c r="B42" s="351"/>
      <c r="C42" s="351"/>
      <c r="D42" s="1068"/>
      <c r="E42" s="1069"/>
      <c r="F42" s="1069"/>
      <c r="G42" s="1069"/>
      <c r="H42" s="1069"/>
      <c r="I42" s="1069"/>
      <c r="J42" s="1069"/>
      <c r="K42" s="1069"/>
      <c r="L42" s="1064"/>
    </row>
    <row r="43" spans="1:12" ht="12.75">
      <c r="A43" s="351"/>
      <c r="B43" s="351"/>
      <c r="C43" s="351"/>
      <c r="D43" s="1063"/>
      <c r="E43" s="1061"/>
      <c r="F43" s="1061"/>
      <c r="G43" s="1061"/>
      <c r="H43" s="1061"/>
      <c r="I43" s="1061"/>
      <c r="J43" s="1061"/>
      <c r="K43" s="1061"/>
      <c r="L43" s="1062"/>
    </row>
    <row r="44" spans="1:12" ht="7.5" customHeight="1">
      <c r="A44" s="351"/>
      <c r="B44" s="351"/>
      <c r="C44" s="351"/>
      <c r="D44" s="351"/>
      <c r="E44" s="351"/>
      <c r="F44" s="351"/>
      <c r="G44" s="351"/>
      <c r="H44" s="351"/>
      <c r="I44" s="351"/>
      <c r="J44" s="351"/>
      <c r="K44" s="351"/>
      <c r="L44" s="351"/>
    </row>
    <row r="45" spans="1:12" ht="12.75">
      <c r="A45" s="351"/>
      <c r="B45" s="351"/>
      <c r="C45" s="347" t="s">
        <v>499</v>
      </c>
      <c r="D45" s="351"/>
      <c r="E45" s="351"/>
      <c r="F45" s="351"/>
      <c r="G45" s="351"/>
      <c r="H45" s="351"/>
      <c r="I45" s="351"/>
      <c r="J45" s="351"/>
      <c r="K45" s="351"/>
      <c r="L45" s="351"/>
    </row>
    <row r="46" spans="1:12" ht="12.75">
      <c r="A46" s="351"/>
      <c r="B46" s="351"/>
      <c r="C46" s="351"/>
      <c r="D46" s="1068"/>
      <c r="E46" s="1069"/>
      <c r="F46" s="1069"/>
      <c r="G46" s="1069"/>
      <c r="H46" s="1069"/>
      <c r="I46" s="1069"/>
      <c r="J46" s="1069"/>
      <c r="K46" s="1069"/>
      <c r="L46" s="1064"/>
    </row>
    <row r="47" spans="1:12" ht="12.75">
      <c r="A47" s="351"/>
      <c r="B47" s="351"/>
      <c r="C47" s="351"/>
      <c r="D47" s="1063"/>
      <c r="E47" s="1061"/>
      <c r="F47" s="1061"/>
      <c r="G47" s="1061"/>
      <c r="H47" s="1061"/>
      <c r="I47" s="1061"/>
      <c r="J47" s="1061"/>
      <c r="K47" s="1061"/>
      <c r="L47" s="1062"/>
    </row>
    <row r="48" spans="1:12" ht="7.5" customHeight="1">
      <c r="A48" s="351"/>
      <c r="B48" s="351"/>
      <c r="C48" s="351"/>
      <c r="D48" s="351"/>
      <c r="E48" s="351"/>
      <c r="F48" s="351"/>
      <c r="G48" s="351"/>
      <c r="H48" s="351"/>
      <c r="I48" s="351"/>
      <c r="J48" s="351"/>
      <c r="K48" s="351"/>
      <c r="L48" s="351"/>
    </row>
    <row r="49" spans="1:12" ht="12.75">
      <c r="A49" s="351"/>
      <c r="B49" s="351"/>
      <c r="C49" s="351"/>
      <c r="D49" s="347" t="s">
        <v>519</v>
      </c>
      <c r="E49" s="353"/>
      <c r="F49" s="351"/>
      <c r="G49" s="990"/>
      <c r="H49" s="351" t="s">
        <v>522</v>
      </c>
      <c r="I49" s="351"/>
      <c r="J49" s="351"/>
      <c r="K49" s="351"/>
      <c r="L49" s="351"/>
    </row>
    <row r="50" spans="1:12" ht="12.75">
      <c r="A50" s="351"/>
      <c r="B50" s="351"/>
      <c r="C50" s="351"/>
      <c r="D50" s="347" t="s">
        <v>520</v>
      </c>
      <c r="E50" s="353"/>
      <c r="F50" s="351"/>
      <c r="G50" s="992"/>
      <c r="H50" s="351" t="s">
        <v>522</v>
      </c>
      <c r="I50" s="351"/>
      <c r="J50" s="351"/>
      <c r="K50" s="351"/>
      <c r="L50" s="351"/>
    </row>
    <row r="51" spans="1:12" ht="12.75">
      <c r="A51" s="351"/>
      <c r="B51" s="351"/>
      <c r="C51" s="351"/>
      <c r="D51" s="347" t="s">
        <v>521</v>
      </c>
      <c r="E51" s="351"/>
      <c r="F51" s="351"/>
      <c r="G51" s="992"/>
      <c r="H51" s="351" t="s">
        <v>523</v>
      </c>
      <c r="I51" s="351"/>
      <c r="J51" s="351"/>
      <c r="K51" s="351"/>
      <c r="L51" s="351"/>
    </row>
    <row r="52" spans="1:12" ht="11.25" customHeight="1">
      <c r="A52" s="351"/>
      <c r="B52" s="351"/>
      <c r="C52" s="351"/>
      <c r="D52" s="351"/>
      <c r="E52" s="351"/>
      <c r="F52" s="351"/>
      <c r="G52" s="351"/>
      <c r="H52" s="351"/>
      <c r="I52" s="351"/>
      <c r="J52" s="351"/>
      <c r="K52" s="351"/>
      <c r="L52" s="351"/>
    </row>
    <row r="53" spans="1:12" ht="12.75">
      <c r="A53" s="351"/>
      <c r="B53" s="351"/>
      <c r="C53" s="347" t="s">
        <v>500</v>
      </c>
      <c r="D53" s="351"/>
      <c r="E53" s="351"/>
      <c r="F53" s="351"/>
      <c r="G53" s="351"/>
      <c r="H53" s="988"/>
      <c r="I53" s="351"/>
      <c r="J53" s="351"/>
      <c r="K53" s="351"/>
      <c r="L53" s="351"/>
    </row>
    <row r="54" spans="1:12" ht="8.25" customHeight="1">
      <c r="A54" s="351"/>
      <c r="B54" s="351"/>
      <c r="C54" s="353"/>
      <c r="D54" s="351"/>
      <c r="E54" s="351"/>
      <c r="F54" s="351"/>
      <c r="G54" s="351"/>
      <c r="H54" s="351"/>
      <c r="I54" s="351"/>
      <c r="J54" s="351"/>
      <c r="K54" s="351"/>
      <c r="L54" s="351"/>
    </row>
    <row r="55" spans="1:12" ht="12.75">
      <c r="A55" s="351"/>
      <c r="B55" s="351"/>
      <c r="C55" s="347" t="s">
        <v>501</v>
      </c>
      <c r="D55" s="351"/>
      <c r="E55" s="1079"/>
      <c r="F55" s="1079"/>
      <c r="G55" s="1079"/>
      <c r="H55" s="1079"/>
      <c r="I55" s="1079"/>
      <c r="J55" s="1079"/>
      <c r="K55" s="1079"/>
      <c r="L55" s="1079"/>
    </row>
    <row r="56" spans="1:12" ht="7.5" customHeight="1">
      <c r="A56" s="351"/>
      <c r="B56" s="351"/>
      <c r="C56" s="351"/>
      <c r="D56" s="351"/>
      <c r="E56" s="351"/>
      <c r="F56" s="351"/>
      <c r="G56" s="351"/>
      <c r="H56" s="351"/>
      <c r="I56" s="351"/>
      <c r="J56" s="351"/>
      <c r="K56" s="351"/>
      <c r="L56" s="351"/>
    </row>
    <row r="57" spans="1:12" ht="12.75">
      <c r="A57" s="351"/>
      <c r="B57" s="351"/>
      <c r="C57" s="347" t="s">
        <v>502</v>
      </c>
      <c r="D57" s="351"/>
      <c r="E57" s="351"/>
      <c r="F57" s="351"/>
      <c r="G57" s="351"/>
      <c r="H57" s="351"/>
      <c r="I57" s="351"/>
      <c r="J57" s="351"/>
      <c r="K57" s="351"/>
      <c r="L57" s="988"/>
    </row>
    <row r="58" spans="1:12" ht="7.5" customHeight="1">
      <c r="A58" s="351"/>
      <c r="B58" s="351"/>
      <c r="C58" s="353"/>
      <c r="D58" s="351"/>
      <c r="E58" s="351"/>
      <c r="F58" s="351"/>
      <c r="G58" s="351"/>
      <c r="H58" s="351"/>
      <c r="I58" s="351"/>
      <c r="J58" s="351"/>
      <c r="K58" s="351"/>
      <c r="L58" s="351"/>
    </row>
    <row r="59" spans="1:12" ht="12.75">
      <c r="A59" s="351"/>
      <c r="B59" s="351"/>
      <c r="C59" s="347" t="s">
        <v>503</v>
      </c>
      <c r="D59" s="351"/>
      <c r="E59" s="1080"/>
      <c r="F59" s="1081"/>
      <c r="G59" s="1081"/>
      <c r="H59" s="1081"/>
      <c r="I59" s="1081"/>
      <c r="J59" s="1081"/>
      <c r="K59" s="1081"/>
      <c r="L59" s="1082"/>
    </row>
    <row r="60" spans="1:12" ht="12.75">
      <c r="A60" s="351"/>
      <c r="B60" s="351"/>
      <c r="C60" s="351"/>
      <c r="D60" s="351"/>
      <c r="E60" s="1083"/>
      <c r="F60" s="1084"/>
      <c r="G60" s="1084"/>
      <c r="H60" s="1084"/>
      <c r="I60" s="1084"/>
      <c r="J60" s="1084"/>
      <c r="K60" s="1084"/>
      <c r="L60" s="1085"/>
    </row>
    <row r="61" spans="1:12" ht="12.75">
      <c r="A61" s="351"/>
      <c r="B61" s="351"/>
      <c r="C61" s="351"/>
      <c r="D61" s="351"/>
      <c r="E61" s="351"/>
      <c r="F61" s="351"/>
      <c r="G61" s="351"/>
      <c r="H61" s="351"/>
      <c r="I61" s="351"/>
      <c r="J61" s="351"/>
      <c r="K61" s="351"/>
      <c r="L61" s="351"/>
    </row>
  </sheetData>
  <sheetProtection password="CC96" sheet="1" objects="1" scenarios="1"/>
  <mergeCells count="30">
    <mergeCell ref="A1:I1"/>
    <mergeCell ref="A2:F2"/>
    <mergeCell ref="B4:D4"/>
    <mergeCell ref="E4:I4"/>
    <mergeCell ref="K4:L4"/>
    <mergeCell ref="C10:E10"/>
    <mergeCell ref="F10:L10"/>
    <mergeCell ref="C11:E11"/>
    <mergeCell ref="F11:L11"/>
    <mergeCell ref="C12:E12"/>
    <mergeCell ref="F12:L12"/>
    <mergeCell ref="C13:E13"/>
    <mergeCell ref="F13:L13"/>
    <mergeCell ref="C14:E14"/>
    <mergeCell ref="F14:G14"/>
    <mergeCell ref="I14:J14"/>
    <mergeCell ref="C15:E15"/>
    <mergeCell ref="F15:L15"/>
    <mergeCell ref="C16:E16"/>
    <mergeCell ref="F16:L16"/>
    <mergeCell ref="C21:L24"/>
    <mergeCell ref="D31:L33"/>
    <mergeCell ref="C18:L18"/>
    <mergeCell ref="C19:L19"/>
    <mergeCell ref="E55:L55"/>
    <mergeCell ref="E59:L60"/>
    <mergeCell ref="D36:L38"/>
    <mergeCell ref="C40:L41"/>
    <mergeCell ref="D42:L43"/>
    <mergeCell ref="D46:L47"/>
  </mergeCells>
  <dataValidations count="3">
    <dataValidation type="list" allowBlank="1" showInputMessage="1" showErrorMessage="1" sqref="L57 I29 H53">
      <formula1>$T$21:$T$23</formula1>
    </dataValidation>
    <dataValidation type="list" allowBlank="1" showInputMessage="1" showErrorMessage="1" sqref="I14:J14">
      <formula1>$T$10:$T$18</formula1>
    </dataValidation>
    <dataValidation type="list" allowBlank="1" showInputMessage="1" showErrorMessage="1" sqref="L29">
      <formula1>$T$28:$T$32</formula1>
    </dataValidation>
  </dataValidations>
  <printOptions/>
  <pageMargins left="0.75" right="0.75" top="0.5" bottom="0.5" header="0.25" footer="0.2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indexed="47"/>
  </sheetPr>
  <dimension ref="A1:AE36"/>
  <sheetViews>
    <sheetView showZeros="0" workbookViewId="0" topLeftCell="A1">
      <selection activeCell="A10" sqref="A10"/>
    </sheetView>
  </sheetViews>
  <sheetFormatPr defaultColWidth="9.140625" defaultRowHeight="12.75"/>
  <cols>
    <col min="1" max="1" width="17.7109375" style="46" customWidth="1"/>
    <col min="2" max="4" width="7.7109375" style="46" customWidth="1"/>
    <col min="5" max="5" width="9.00390625" style="46" customWidth="1"/>
    <col min="6" max="6" width="10.00390625" style="46" customWidth="1"/>
    <col min="7" max="8" width="8.7109375" style="46" customWidth="1"/>
    <col min="9" max="9" width="7.8515625" style="46" customWidth="1"/>
    <col min="10" max="14" width="7.7109375" style="46" customWidth="1"/>
    <col min="15" max="17" width="9.140625" style="46" customWidth="1"/>
    <col min="18" max="18" width="0" style="46" hidden="1" customWidth="1"/>
    <col min="19" max="29" width="9.7109375" style="46" hidden="1" customWidth="1"/>
    <col min="30" max="30" width="0" style="46" hidden="1" customWidth="1"/>
    <col min="31" max="16384" width="9.140625" style="46" customWidth="1"/>
  </cols>
  <sheetData>
    <row r="1" spans="1:14" ht="15.75">
      <c r="A1" s="1040" t="s">
        <v>120</v>
      </c>
      <c r="B1" s="1041"/>
      <c r="C1" s="1041"/>
      <c r="D1" s="1041"/>
      <c r="E1" s="1041"/>
      <c r="F1" s="45"/>
      <c r="G1" s="45"/>
      <c r="H1" s="45"/>
      <c r="I1" s="45"/>
      <c r="J1" s="45"/>
      <c r="K1" s="45"/>
      <c r="N1" s="716" t="s">
        <v>66</v>
      </c>
    </row>
    <row r="2" spans="1:13" ht="12" customHeight="1">
      <c r="A2" s="712"/>
      <c r="B2" s="713"/>
      <c r="C2" s="713"/>
      <c r="D2" s="713"/>
      <c r="E2" s="713"/>
      <c r="F2" s="713"/>
      <c r="G2" s="713"/>
      <c r="H2" s="713"/>
      <c r="I2" s="713"/>
      <c r="J2" s="713"/>
      <c r="K2" s="713"/>
      <c r="L2" s="48"/>
      <c r="M2" s="48"/>
    </row>
    <row r="3" spans="1:14" ht="15" customHeight="1">
      <c r="A3" s="714" t="s">
        <v>172</v>
      </c>
      <c r="B3" s="1030">
        <f>'Basic Info'!F10</f>
        <v>0</v>
      </c>
      <c r="C3" s="1031"/>
      <c r="D3" s="1031"/>
      <c r="E3" s="1031"/>
      <c r="F3" s="715"/>
      <c r="G3" s="715"/>
      <c r="H3" s="214" t="s">
        <v>177</v>
      </c>
      <c r="I3" s="716" t="s">
        <v>174</v>
      </c>
      <c r="J3" s="987"/>
      <c r="K3" s="716" t="s">
        <v>752</v>
      </c>
      <c r="L3" s="987"/>
      <c r="M3" s="716" t="s">
        <v>758</v>
      </c>
      <c r="N3" s="990"/>
    </row>
    <row r="4" spans="1:13" ht="9" customHeight="1">
      <c r="A4" s="48"/>
      <c r="B4" s="48"/>
      <c r="C4" s="48"/>
      <c r="D4" s="48"/>
      <c r="E4" s="48"/>
      <c r="F4" s="48"/>
      <c r="G4" s="48"/>
      <c r="H4" s="48"/>
      <c r="I4" s="48"/>
      <c r="J4" s="48"/>
      <c r="K4" s="48"/>
      <c r="L4" s="48"/>
      <c r="M4" s="48"/>
    </row>
    <row r="5" spans="1:14" ht="15" customHeight="1">
      <c r="A5" s="714" t="s">
        <v>52</v>
      </c>
      <c r="B5" s="1030">
        <f>'Basic Info'!E4</f>
        <v>0</v>
      </c>
      <c r="C5" s="1030"/>
      <c r="D5" s="1093"/>
      <c r="E5" s="714" t="s">
        <v>173</v>
      </c>
      <c r="F5" s="717">
        <f>'Basic Info'!K4</f>
        <v>0</v>
      </c>
      <c r="H5" s="714" t="s">
        <v>57</v>
      </c>
      <c r="I5" s="1090"/>
      <c r="J5" s="1089"/>
      <c r="K5" s="714"/>
      <c r="L5" s="714" t="s">
        <v>173</v>
      </c>
      <c r="M5" s="1088"/>
      <c r="N5" s="1089"/>
    </row>
    <row r="6" ht="6" customHeight="1">
      <c r="I6" s="47"/>
    </row>
    <row r="7" spans="1:14" ht="12.75">
      <c r="A7" s="926" t="s">
        <v>19</v>
      </c>
      <c r="B7" s="927" t="s">
        <v>20</v>
      </c>
      <c r="C7" s="928" t="s">
        <v>21</v>
      </c>
      <c r="D7" s="927" t="s">
        <v>22</v>
      </c>
      <c r="E7" s="927" t="s">
        <v>23</v>
      </c>
      <c r="F7" s="929" t="s">
        <v>24</v>
      </c>
      <c r="G7" s="928" t="s">
        <v>25</v>
      </c>
      <c r="H7" s="927" t="s">
        <v>38</v>
      </c>
      <c r="I7" s="930" t="s">
        <v>45</v>
      </c>
      <c r="J7" s="927" t="s">
        <v>45</v>
      </c>
      <c r="K7" s="931" t="s">
        <v>59</v>
      </c>
      <c r="L7" s="932" t="s">
        <v>60</v>
      </c>
      <c r="M7" s="933" t="s">
        <v>755</v>
      </c>
      <c r="N7" s="934" t="s">
        <v>756</v>
      </c>
    </row>
    <row r="8" spans="1:14" ht="12.75">
      <c r="A8" s="85" t="s">
        <v>149</v>
      </c>
      <c r="B8" s="870"/>
      <c r="C8" s="871" t="s">
        <v>28</v>
      </c>
      <c r="D8" s="870" t="s">
        <v>30</v>
      </c>
      <c r="E8" s="870" t="s">
        <v>33</v>
      </c>
      <c r="F8" s="872" t="s">
        <v>48</v>
      </c>
      <c r="G8" s="873" t="s">
        <v>56</v>
      </c>
      <c r="H8" s="874"/>
      <c r="I8" s="873" t="s">
        <v>524</v>
      </c>
      <c r="J8" s="875"/>
      <c r="K8" s="876"/>
      <c r="L8" s="1025" t="s">
        <v>58</v>
      </c>
      <c r="M8" s="1086"/>
      <c r="N8" s="1087"/>
    </row>
    <row r="9" spans="1:24" ht="12.75">
      <c r="A9" s="85" t="s">
        <v>53</v>
      </c>
      <c r="B9" s="870" t="s">
        <v>27</v>
      </c>
      <c r="C9" s="871" t="s">
        <v>29</v>
      </c>
      <c r="D9" s="870" t="s">
        <v>31</v>
      </c>
      <c r="E9" s="870" t="s">
        <v>50</v>
      </c>
      <c r="F9" s="872" t="s">
        <v>34</v>
      </c>
      <c r="G9" s="878" t="s">
        <v>35</v>
      </c>
      <c r="H9" s="877" t="s">
        <v>36</v>
      </c>
      <c r="I9" s="878" t="s">
        <v>54</v>
      </c>
      <c r="J9" s="877" t="s">
        <v>907</v>
      </c>
      <c r="K9" s="877" t="s">
        <v>754</v>
      </c>
      <c r="L9" s="879" t="s">
        <v>54</v>
      </c>
      <c r="M9" s="879" t="s">
        <v>907</v>
      </c>
      <c r="N9" s="869" t="s">
        <v>754</v>
      </c>
      <c r="S9" s="68" t="s">
        <v>142</v>
      </c>
      <c r="T9" s="69"/>
      <c r="U9" s="68" t="s">
        <v>143</v>
      </c>
      <c r="V9" s="69"/>
      <c r="W9" s="68" t="s">
        <v>151</v>
      </c>
      <c r="X9" s="69"/>
    </row>
    <row r="10" spans="1:24" ht="13.5" thickBot="1">
      <c r="A10" s="859"/>
      <c r="B10" s="880" t="s">
        <v>32</v>
      </c>
      <c r="C10" s="881" t="s">
        <v>763</v>
      </c>
      <c r="D10" s="880" t="s">
        <v>49</v>
      </c>
      <c r="E10" s="880" t="s">
        <v>759</v>
      </c>
      <c r="F10" s="882" t="s">
        <v>62</v>
      </c>
      <c r="G10" s="883" t="s">
        <v>46</v>
      </c>
      <c r="H10" s="884" t="s">
        <v>760</v>
      </c>
      <c r="I10" s="883" t="s">
        <v>55</v>
      </c>
      <c r="J10" s="885" t="s">
        <v>55</v>
      </c>
      <c r="K10" s="885" t="s">
        <v>55</v>
      </c>
      <c r="L10" s="886" t="s">
        <v>761</v>
      </c>
      <c r="M10" s="886" t="s">
        <v>761</v>
      </c>
      <c r="N10" s="887" t="s">
        <v>761</v>
      </c>
      <c r="S10" s="66"/>
      <c r="T10" s="70"/>
      <c r="U10" s="66"/>
      <c r="V10" s="70"/>
      <c r="W10" s="66"/>
      <c r="X10" s="70"/>
    </row>
    <row r="11" spans="1:24" s="48" customFormat="1" ht="24" customHeight="1" thickTop="1">
      <c r="A11" s="860"/>
      <c r="B11" s="888"/>
      <c r="C11" s="889"/>
      <c r="D11" s="354">
        <f>B11*C11/1000</f>
        <v>0</v>
      </c>
      <c r="E11" s="890"/>
      <c r="F11" s="894">
        <f>IF(D11&gt;0,VLOOKUP(A11,Tables!$A$6:$M$29,2,FALSE),"")</f>
      </c>
      <c r="G11" s="355">
        <f>IF(D11&gt;0,D11*F11,"")</f>
      </c>
      <c r="H11" s="380">
        <f>IF(E11&gt;0,(E11*G11)/2000,"")</f>
      </c>
      <c r="I11" s="897">
        <f>IF($H11="","",IF($J$3&gt;0,$J$3,VLOOKUP($A$10,Tables!$A$69:$F$90,3,FALSE)))</f>
      </c>
      <c r="J11" s="898">
        <f>IF($H11="","",IF($L$3&gt;0,$L$3,VLOOKUP($A$10,Tables!$A$69:$F$90,5,FALSE)))</f>
      </c>
      <c r="K11" s="898">
        <f>IF($H11="","",IF($N$3&gt;0,$N$3,VLOOKUP($A$10,Tables!$A$69:$F$90,6,FALSE)))</f>
      </c>
      <c r="L11" s="354">
        <f>IF(H11="","",H11*I11)</f>
      </c>
      <c r="M11" s="356">
        <f>IF(J11="","",H11*J11)</f>
      </c>
      <c r="N11" s="809">
        <f>IF(K11="","",H11*K11)</f>
      </c>
      <c r="S11" s="66" t="s">
        <v>39</v>
      </c>
      <c r="T11" s="71"/>
      <c r="U11" s="66" t="s">
        <v>144</v>
      </c>
      <c r="V11" s="71"/>
      <c r="W11" s="66">
        <f>IF(ISTEXT(A10),VLOOKUP(A10,$S$24:$Z$33,2,FALSE),"")</f>
      </c>
      <c r="X11" s="71"/>
    </row>
    <row r="12" spans="1:24" s="48" customFormat="1" ht="24" customHeight="1">
      <c r="A12" s="860"/>
      <c r="B12" s="890"/>
      <c r="C12" s="890"/>
      <c r="D12" s="354">
        <f>B12*C12/1000</f>
        <v>0</v>
      </c>
      <c r="E12" s="890"/>
      <c r="F12" s="895">
        <f>IF(D12&gt;0,VLOOKUP(A12,Tables!$A$6:$M$29,2,FALSE),"")</f>
      </c>
      <c r="G12" s="355">
        <f>IF(D12&gt;0,D12*F12,"")</f>
      </c>
      <c r="H12" s="380">
        <f>IF(E12&gt;0,(E12*G12)/2000,"")</f>
      </c>
      <c r="I12" s="899">
        <f>IF($H12="","",IF($J$3&gt;0,$J$3,VLOOKUP($A$10,Tables!$A$69:$F$90,3,FALSE)))</f>
      </c>
      <c r="J12" s="900">
        <f>IF($H12="","",IF($L$3&gt;0,$L$3,VLOOKUP($A$10,Tables!$A$69:$F$90,5,FALSE)))</f>
      </c>
      <c r="K12" s="900">
        <f>IF($H12="","",IF($N$3&gt;0,$N$3,VLOOKUP($A$10,Tables!$A$69:$F$90,6,FALSE)))</f>
      </c>
      <c r="L12" s="354">
        <f>IF(H12="","",H12*I12)</f>
      </c>
      <c r="M12" s="354">
        <f>IF(J12="","",H12*J12)</f>
      </c>
      <c r="N12" s="810">
        <f>IF(K12="","",H12*K12)</f>
      </c>
      <c r="S12" s="66" t="s">
        <v>42</v>
      </c>
      <c r="T12" s="71"/>
      <c r="U12" s="66" t="s">
        <v>145</v>
      </c>
      <c r="V12" s="71"/>
      <c r="W12" s="66">
        <f>IF(ISTEXT(A10),VLOOKUP(A10,$S$24:$Z$33,3,FALSE),"")</f>
      </c>
      <c r="X12" s="71"/>
    </row>
    <row r="13" spans="1:24" s="48" customFormat="1" ht="24" customHeight="1">
      <c r="A13" s="860"/>
      <c r="B13" s="888"/>
      <c r="C13" s="889"/>
      <c r="D13" s="358">
        <f>B13*C13/1000</f>
        <v>0</v>
      </c>
      <c r="E13" s="888"/>
      <c r="F13" s="896">
        <f>IF(D13&gt;0,VLOOKUP(A13,Tables!$A$6:$M$29,2,FALSE),"")</f>
      </c>
      <c r="G13" s="355">
        <f>IF(D13&gt;0,D13*F13,"")</f>
      </c>
      <c r="H13" s="354">
        <f>IF(E13&gt;0,(E13*G13)/2000,"")</f>
      </c>
      <c r="I13" s="899">
        <f>IF($H13="","",IF($J$3&gt;0,$J$3,VLOOKUP($A$10,Tables!$A$69:$F$90,3,FALSE)))</f>
      </c>
      <c r="J13" s="900">
        <f>IF($H13="","",IF($L$3&gt;0,$L$3,VLOOKUP($A$10,Tables!$A$69:$F$90,5,FALSE)))</f>
      </c>
      <c r="K13" s="900">
        <f>IF($H13="","",IF($N$3&gt;0,$N$3,VLOOKUP($A$10,Tables!$A$69:$F$90,6,FALSE)))</f>
      </c>
      <c r="L13" s="354">
        <f>IF(H13="","",H13*I13)</f>
      </c>
      <c r="M13" s="354">
        <f>IF(J13="","",H13*J13)</f>
      </c>
      <c r="N13" s="810">
        <f>IF(K13="","",H13*K13)</f>
      </c>
      <c r="S13" s="66" t="s">
        <v>78</v>
      </c>
      <c r="T13" s="71"/>
      <c r="U13" s="66" t="s">
        <v>104</v>
      </c>
      <c r="V13" s="71"/>
      <c r="W13" s="66">
        <f>IF(ISTEXT(A10),VLOOKUP(A10,$S$24:$Z$33,4,FALSE),"")</f>
      </c>
      <c r="X13" s="71"/>
    </row>
    <row r="14" spans="1:24" s="48" customFormat="1" ht="24" customHeight="1">
      <c r="A14" s="860" t="s">
        <v>621</v>
      </c>
      <c r="B14" s="890"/>
      <c r="C14" s="891"/>
      <c r="D14" s="354">
        <f>B14*C14/1000</f>
        <v>0</v>
      </c>
      <c r="E14" s="890"/>
      <c r="F14" s="894">
        <f>IF(D14&gt;0,VLOOKUP(A14,Tables!$A$6:$M$29,2,FALSE),"")</f>
      </c>
      <c r="G14" s="355">
        <f>IF(D14&gt;0,D14*F14,"")</f>
      </c>
      <c r="H14" s="354">
        <f>IF(E14&gt;0,(E14*G14)/2000,"")</f>
      </c>
      <c r="I14" s="899">
        <f>IF($H14="","",IF($J$3&gt;0,$J$3,VLOOKUP($A$10,Tables!$A$69:$F$90,3,FALSE)))</f>
      </c>
      <c r="J14" s="900">
        <f>IF($H14="","",IF($L$3&gt;0,$L$3,VLOOKUP($A$10,Tables!$A$69:$F$90,5,FALSE)))</f>
      </c>
      <c r="K14" s="900">
        <f>IF($H14="","",IF($N$3&gt;0,$N$3,VLOOKUP($A$10,Tables!$A$69:$F$90,6,FALSE)))</f>
      </c>
      <c r="L14" s="354">
        <f>IF(H14="","",H14*I14)</f>
      </c>
      <c r="M14" s="354">
        <f>IF(J14="","",H14*J14)</f>
      </c>
      <c r="N14" s="810">
        <f>IF(K14="","",H14*K14)</f>
      </c>
      <c r="S14" s="66" t="s">
        <v>175</v>
      </c>
      <c r="T14" s="71"/>
      <c r="U14" s="66" t="s">
        <v>146</v>
      </c>
      <c r="V14" s="71"/>
      <c r="W14" s="66">
        <f>IF(ISTEXT(A10),VLOOKUP(A10,$S$24:$Z$33,5,FALSE),"")</f>
      </c>
      <c r="X14" s="71"/>
    </row>
    <row r="15" spans="1:24" s="48" customFormat="1" ht="24" customHeight="1">
      <c r="A15" s="860"/>
      <c r="B15" s="892"/>
      <c r="C15" s="893"/>
      <c r="D15" s="354">
        <f>B15*C15/1000</f>
        <v>0</v>
      </c>
      <c r="E15" s="892"/>
      <c r="F15" s="894">
        <f>IF(D15&gt;0,VLOOKUP(A15,Tables!$A$6:$M$29,2,FALSE),"")</f>
      </c>
      <c r="G15" s="355">
        <f>IF(D15&gt;0,D15*F15,"")</f>
      </c>
      <c r="H15" s="354">
        <f>IF(E15&gt;0,(E15*G15)/2000,"")</f>
      </c>
      <c r="I15" s="899">
        <f>IF($H15="","",IF($J$3&gt;0,$J$3,VLOOKUP($A$10,Tables!$A$69:$F$90,3,FALSE)))</f>
      </c>
      <c r="J15" s="900">
        <f>IF($H15="","",IF($L$3&gt;0,$L$3,VLOOKUP($A$10,Tables!$A$69:$F$90,5,FALSE)))</f>
      </c>
      <c r="K15" s="901">
        <f>IF($H15="","",IF($N$3&gt;0,$N$3,VLOOKUP($A$10,Tables!$A$69:$F$90,6,FALSE)))</f>
      </c>
      <c r="L15" s="354">
        <f>IF(H15="","",H15*I15)</f>
      </c>
      <c r="M15" s="358">
        <f>IF(J15="","",H15*J15)</f>
      </c>
      <c r="N15" s="811">
        <f>IF(K15="","",H15*K15)</f>
      </c>
      <c r="S15" s="66" t="s">
        <v>176</v>
      </c>
      <c r="T15" s="71"/>
      <c r="U15" s="66" t="s">
        <v>160</v>
      </c>
      <c r="V15" s="71"/>
      <c r="W15" s="66">
        <f>IF(ISTEXT(A10),VLOOKUP(A10,$S$24:$Z$33,6,FALSE),"")</f>
      </c>
      <c r="X15" s="71"/>
    </row>
    <row r="16" spans="1:24" s="48" customFormat="1" ht="13.5" customHeight="1">
      <c r="A16" s="861" t="s">
        <v>117</v>
      </c>
      <c r="B16" s="862"/>
      <c r="C16" s="862"/>
      <c r="D16" s="863"/>
      <c r="E16" s="864" t="s">
        <v>114</v>
      </c>
      <c r="F16" s="865"/>
      <c r="G16" s="866" t="s">
        <v>118</v>
      </c>
      <c r="H16" s="866" t="s">
        <v>37</v>
      </c>
      <c r="I16" s="867" t="s">
        <v>119</v>
      </c>
      <c r="J16" s="868" t="s">
        <v>119</v>
      </c>
      <c r="K16" s="868" t="s">
        <v>119</v>
      </c>
      <c r="L16" s="866" t="s">
        <v>115</v>
      </c>
      <c r="M16" s="866" t="s">
        <v>115</v>
      </c>
      <c r="N16" s="869" t="s">
        <v>115</v>
      </c>
      <c r="S16" s="66" t="s">
        <v>77</v>
      </c>
      <c r="T16" s="71"/>
      <c r="U16" s="66" t="s">
        <v>147</v>
      </c>
      <c r="V16" s="71"/>
      <c r="W16" s="66">
        <f>IF(ISTEXT(A10),VLOOKUP(A10,$S$24:$Z$33,7,FALSE),"")</f>
      </c>
      <c r="X16" s="71"/>
    </row>
    <row r="17" spans="1:24" s="48" customFormat="1" ht="18" customHeight="1">
      <c r="A17" s="1032"/>
      <c r="B17" s="1033"/>
      <c r="C17" s="1033"/>
      <c r="D17" s="1034"/>
      <c r="E17" s="1027"/>
      <c r="F17" s="1028"/>
      <c r="G17" s="890"/>
      <c r="H17" s="354">
        <f>E17*G17/2000</f>
        <v>0</v>
      </c>
      <c r="I17" s="902">
        <f>IF(H17="","",IF(J3="","",J3))</f>
      </c>
      <c r="J17" s="903">
        <f>IF(H17="","",IF(L3="","",L3))</f>
      </c>
      <c r="K17" s="903">
        <f>IF(H17="","",IF(N3="","",N3))</f>
      </c>
      <c r="L17" s="354">
        <f>IF(I17="","",H17*I17)</f>
      </c>
      <c r="M17" s="354">
        <f>IF(J17="","",H17*J17)</f>
      </c>
      <c r="N17" s="810">
        <f>IF(K17="","",H17*K17)</f>
      </c>
      <c r="S17" s="66" t="s">
        <v>44</v>
      </c>
      <c r="T17" s="71"/>
      <c r="U17" s="66" t="s">
        <v>148</v>
      </c>
      <c r="V17" s="71"/>
      <c r="W17" s="66">
        <f>IF(ISTEXT(A10),VLOOKUP(A10,$S$24:$Z$33,8,FALSE),"")</f>
      </c>
      <c r="X17" s="71"/>
    </row>
    <row r="18" spans="1:24" s="48" customFormat="1" ht="18" customHeight="1">
      <c r="A18" s="1032"/>
      <c r="B18" s="1033"/>
      <c r="C18" s="1033"/>
      <c r="D18" s="1034"/>
      <c r="E18" s="1027"/>
      <c r="F18" s="1028"/>
      <c r="G18" s="890"/>
      <c r="H18" s="354">
        <f>E18*G18/2000</f>
        <v>0</v>
      </c>
      <c r="I18" s="902">
        <f>IF(H18="","",IF(J3="","",J3))</f>
      </c>
      <c r="J18" s="903">
        <f>IF(H18="","",IF(L3="","",L3))</f>
      </c>
      <c r="K18" s="903">
        <f>IF(H18="","",IF(N4="","",N4))</f>
      </c>
      <c r="L18" s="354">
        <f>IF(I18="","",H18*I18)</f>
      </c>
      <c r="M18" s="354">
        <f>IF(J18="","",H18*J18)</f>
      </c>
      <c r="N18" s="810">
        <f>IF(K18="","",H18*K18)</f>
      </c>
      <c r="S18" s="72"/>
      <c r="T18" s="71"/>
      <c r="U18" s="66"/>
      <c r="V18" s="71"/>
      <c r="W18" s="66"/>
      <c r="X18" s="71"/>
    </row>
    <row r="19" spans="1:24" ht="18" customHeight="1" thickBot="1">
      <c r="A19" s="1035"/>
      <c r="B19" s="1036"/>
      <c r="C19" s="1036"/>
      <c r="D19" s="1026"/>
      <c r="E19" s="1091"/>
      <c r="F19" s="1092"/>
      <c r="G19" s="906"/>
      <c r="H19" s="359">
        <f>E19*G19/2000</f>
        <v>0</v>
      </c>
      <c r="I19" s="904">
        <f>IF(H19="","",IF(J3="","",J3))</f>
      </c>
      <c r="J19" s="905">
        <f>IF(H19="","",IF(L3="","",L3))</f>
      </c>
      <c r="K19" s="905">
        <f>IF(H19="","",IF(N5="","",N5))</f>
      </c>
      <c r="L19" s="354">
        <f>IF(I19="","",H19*I19)</f>
      </c>
      <c r="M19" s="354">
        <f>IF(J19="","",H19*J19)</f>
      </c>
      <c r="N19" s="810">
        <f>IF(K19="","",H19*K19)</f>
      </c>
      <c r="S19" s="49"/>
      <c r="T19" s="73"/>
      <c r="U19" s="49"/>
      <c r="V19" s="73"/>
      <c r="W19" s="67"/>
      <c r="X19" s="73"/>
    </row>
    <row r="20" spans="1:14" ht="4.5" customHeight="1" thickTop="1">
      <c r="A20" s="908"/>
      <c r="B20" s="908"/>
      <c r="C20" s="908"/>
      <c r="D20" s="908"/>
      <c r="E20" s="908"/>
      <c r="F20" s="908"/>
      <c r="G20" s="908"/>
      <c r="H20" s="908"/>
      <c r="I20" s="908"/>
      <c r="J20" s="908"/>
      <c r="K20" s="908"/>
      <c r="L20" s="909"/>
      <c r="M20" s="910"/>
      <c r="N20" s="911"/>
    </row>
    <row r="21" spans="1:14" ht="12.75">
      <c r="A21" s="917"/>
      <c r="B21" s="918"/>
      <c r="C21" s="918"/>
      <c r="D21" s="918"/>
      <c r="E21" s="918"/>
      <c r="F21" s="912"/>
      <c r="G21" s="919" t="s">
        <v>555</v>
      </c>
      <c r="H21" s="812">
        <f>SUM(H11:H15)</f>
        <v>0</v>
      </c>
      <c r="I21" s="912"/>
      <c r="J21" s="912"/>
      <c r="K21" s="912"/>
      <c r="L21" s="923" t="s">
        <v>54</v>
      </c>
      <c r="M21" s="923" t="s">
        <v>753</v>
      </c>
      <c r="N21" s="913" t="s">
        <v>757</v>
      </c>
    </row>
    <row r="22" spans="1:14" ht="3" customHeight="1">
      <c r="A22" s="917"/>
      <c r="B22" s="918"/>
      <c r="C22" s="918"/>
      <c r="D22" s="918"/>
      <c r="E22" s="918"/>
      <c r="F22" s="912"/>
      <c r="G22" s="919"/>
      <c r="H22" s="914"/>
      <c r="I22" s="912"/>
      <c r="J22" s="912"/>
      <c r="K22" s="912"/>
      <c r="L22" s="924"/>
      <c r="M22" s="924"/>
      <c r="N22" s="915"/>
    </row>
    <row r="23" spans="1:14" ht="13.5">
      <c r="A23" s="920"/>
      <c r="B23" s="921"/>
      <c r="C23" s="916" t="s">
        <v>51</v>
      </c>
      <c r="D23" s="718">
        <f>SUM(D11:D15)</f>
        <v>0</v>
      </c>
      <c r="E23" s="922"/>
      <c r="F23" s="922"/>
      <c r="G23" s="916" t="s">
        <v>762</v>
      </c>
      <c r="H23" s="718">
        <f>SUM(H17:H19)</f>
        <v>0</v>
      </c>
      <c r="I23" s="925"/>
      <c r="J23" s="47"/>
      <c r="K23" s="916" t="s">
        <v>61</v>
      </c>
      <c r="L23" s="719">
        <f>SUM(L11:L19)</f>
        <v>0</v>
      </c>
      <c r="M23" s="718">
        <f>SUM(M11:M19)</f>
        <v>0</v>
      </c>
      <c r="N23" s="722">
        <f>SUM(N11:N19)</f>
        <v>0</v>
      </c>
    </row>
    <row r="24" spans="1:31" ht="17.25" customHeight="1">
      <c r="A24" s="115" t="s">
        <v>47</v>
      </c>
      <c r="S24" s="74" t="s">
        <v>42</v>
      </c>
      <c r="T24" s="83" t="s">
        <v>165</v>
      </c>
      <c r="U24" s="75" t="s">
        <v>446</v>
      </c>
      <c r="V24" s="75" t="s">
        <v>447</v>
      </c>
      <c r="W24" s="75" t="s">
        <v>166</v>
      </c>
      <c r="X24" s="75" t="s">
        <v>167</v>
      </c>
      <c r="Y24" s="84"/>
      <c r="Z24" s="84"/>
      <c r="AA24" s="84"/>
      <c r="AB24" s="84"/>
      <c r="AC24" s="76"/>
      <c r="AD24" s="85"/>
      <c r="AE24" s="86"/>
    </row>
    <row r="25" spans="1:31" ht="12" customHeight="1">
      <c r="A25" s="1029" t="s">
        <v>125</v>
      </c>
      <c r="B25" s="1029"/>
      <c r="C25" s="1029"/>
      <c r="D25" s="1029"/>
      <c r="E25" s="1029"/>
      <c r="F25" s="1029"/>
      <c r="G25" s="1029"/>
      <c r="H25" s="1029"/>
      <c r="I25" s="1029"/>
      <c r="J25" s="1029"/>
      <c r="K25" s="1029"/>
      <c r="L25" s="1029"/>
      <c r="M25" s="1029"/>
      <c r="S25" s="88" t="s">
        <v>39</v>
      </c>
      <c r="T25" s="79" t="s">
        <v>152</v>
      </c>
      <c r="U25" s="77" t="s">
        <v>153</v>
      </c>
      <c r="V25" s="77" t="s">
        <v>159</v>
      </c>
      <c r="W25" s="77"/>
      <c r="X25" s="77"/>
      <c r="Y25" s="77"/>
      <c r="Z25" s="77"/>
      <c r="AA25" s="77"/>
      <c r="AB25" s="77"/>
      <c r="AC25" s="78"/>
      <c r="AD25" s="87"/>
      <c r="AE25" s="86"/>
    </row>
    <row r="26" spans="1:31" ht="12" customHeight="1">
      <c r="A26" s="1029" t="s">
        <v>63</v>
      </c>
      <c r="B26" s="1029"/>
      <c r="C26" s="1029"/>
      <c r="D26" s="1029"/>
      <c r="E26" s="1029"/>
      <c r="F26" s="1029"/>
      <c r="G26" s="1029"/>
      <c r="H26" s="1029"/>
      <c r="I26" s="1029"/>
      <c r="J26" s="1029"/>
      <c r="K26" s="1029"/>
      <c r="L26" s="1029"/>
      <c r="M26" s="1029"/>
      <c r="S26" s="88" t="s">
        <v>78</v>
      </c>
      <c r="T26" s="79" t="s">
        <v>154</v>
      </c>
      <c r="U26" s="77" t="s">
        <v>155</v>
      </c>
      <c r="V26" s="417" t="s">
        <v>168</v>
      </c>
      <c r="W26" s="77" t="s">
        <v>156</v>
      </c>
      <c r="X26" s="77" t="s">
        <v>157</v>
      </c>
      <c r="Y26" s="77" t="s">
        <v>158</v>
      </c>
      <c r="Z26" s="77"/>
      <c r="AA26" s="77"/>
      <c r="AB26" s="77"/>
      <c r="AC26" s="78"/>
      <c r="AD26" s="87"/>
      <c r="AE26" s="86"/>
    </row>
    <row r="27" spans="1:31" ht="12" customHeight="1">
      <c r="A27" s="1029" t="s">
        <v>169</v>
      </c>
      <c r="B27" s="1029"/>
      <c r="C27" s="1029"/>
      <c r="D27" s="1029"/>
      <c r="E27" s="1029"/>
      <c r="F27" s="1029"/>
      <c r="G27" s="1029"/>
      <c r="H27" s="1029"/>
      <c r="I27" s="1029"/>
      <c r="J27" s="1029"/>
      <c r="K27" s="1029"/>
      <c r="L27" s="1029"/>
      <c r="M27" s="1029"/>
      <c r="S27" s="88" t="s">
        <v>175</v>
      </c>
      <c r="T27" s="79" t="s">
        <v>161</v>
      </c>
      <c r="U27" s="77" t="s">
        <v>162</v>
      </c>
      <c r="V27" s="77" t="s">
        <v>163</v>
      </c>
      <c r="W27" s="77"/>
      <c r="X27" s="77"/>
      <c r="Y27" s="77"/>
      <c r="Z27" s="77"/>
      <c r="AA27" s="77"/>
      <c r="AB27" s="77"/>
      <c r="AC27" s="78"/>
      <c r="AD27" s="87"/>
      <c r="AE27" s="86"/>
    </row>
    <row r="28" spans="1:31" ht="12" customHeight="1">
      <c r="A28" s="1029" t="s">
        <v>126</v>
      </c>
      <c r="B28" s="1029"/>
      <c r="C28" s="1029"/>
      <c r="D28" s="1029"/>
      <c r="E28" s="1029"/>
      <c r="F28" s="1029"/>
      <c r="G28" s="1029"/>
      <c r="H28" s="1029"/>
      <c r="I28" s="1029"/>
      <c r="J28" s="1029"/>
      <c r="K28" s="1029"/>
      <c r="L28" s="1029"/>
      <c r="M28" s="1029"/>
      <c r="S28" s="88" t="s">
        <v>176</v>
      </c>
      <c r="T28" s="79" t="s">
        <v>164</v>
      </c>
      <c r="U28" s="77"/>
      <c r="V28" s="77"/>
      <c r="W28" s="77"/>
      <c r="X28" s="77"/>
      <c r="Y28" s="77"/>
      <c r="Z28" s="77"/>
      <c r="AA28" s="77"/>
      <c r="AB28" s="77"/>
      <c r="AC28" s="78"/>
      <c r="AD28" s="87"/>
      <c r="AE28" s="86"/>
    </row>
    <row r="29" spans="1:31" ht="12" customHeight="1">
      <c r="A29" s="1029" t="s">
        <v>137</v>
      </c>
      <c r="B29" s="1029"/>
      <c r="C29" s="1029"/>
      <c r="D29" s="1029"/>
      <c r="E29" s="1029"/>
      <c r="F29" s="1029"/>
      <c r="G29" s="1029"/>
      <c r="H29" s="1029"/>
      <c r="I29" s="1029"/>
      <c r="J29" s="1029"/>
      <c r="K29" s="1029"/>
      <c r="L29" s="1029"/>
      <c r="M29" s="1029"/>
      <c r="S29" s="88" t="s">
        <v>77</v>
      </c>
      <c r="T29" s="79" t="s">
        <v>77</v>
      </c>
      <c r="U29" s="77"/>
      <c r="V29" s="77"/>
      <c r="W29" s="77"/>
      <c r="X29" s="77"/>
      <c r="Y29" s="77"/>
      <c r="Z29" s="77"/>
      <c r="AA29" s="77"/>
      <c r="AB29" s="77"/>
      <c r="AC29" s="78"/>
      <c r="AD29" s="87"/>
      <c r="AE29" s="86"/>
    </row>
    <row r="30" spans="1:31" ht="12" customHeight="1">
      <c r="A30" s="1029" t="s">
        <v>138</v>
      </c>
      <c r="B30" s="1029"/>
      <c r="C30" s="1029"/>
      <c r="D30" s="1029"/>
      <c r="E30" s="1029"/>
      <c r="F30" s="1029"/>
      <c r="G30" s="1029"/>
      <c r="H30" s="1029"/>
      <c r="I30" s="1029"/>
      <c r="J30" s="1029"/>
      <c r="K30" s="1029"/>
      <c r="L30" s="1029"/>
      <c r="M30" s="1029"/>
      <c r="S30" s="88" t="s">
        <v>44</v>
      </c>
      <c r="T30" s="79" t="s">
        <v>44</v>
      </c>
      <c r="U30" s="77"/>
      <c r="V30" s="77"/>
      <c r="W30" s="77"/>
      <c r="X30" s="77"/>
      <c r="Y30" s="77"/>
      <c r="Z30" s="77"/>
      <c r="AA30" s="77"/>
      <c r="AB30" s="77"/>
      <c r="AC30" s="78"/>
      <c r="AD30" s="87"/>
      <c r="AE30" s="86"/>
    </row>
    <row r="31" spans="1:31" ht="12" customHeight="1">
      <c r="A31" s="1029" t="s">
        <v>139</v>
      </c>
      <c r="B31" s="1029"/>
      <c r="C31" s="1029"/>
      <c r="D31" s="1029"/>
      <c r="E31" s="1029"/>
      <c r="F31" s="1029"/>
      <c r="G31" s="1029"/>
      <c r="H31" s="1029"/>
      <c r="I31" s="1029"/>
      <c r="J31" s="1029"/>
      <c r="K31" s="1029"/>
      <c r="L31" s="1029"/>
      <c r="M31" s="1029"/>
      <c r="S31" s="88"/>
      <c r="T31" s="79"/>
      <c r="U31" s="77"/>
      <c r="V31" s="77"/>
      <c r="W31" s="77"/>
      <c r="X31" s="77"/>
      <c r="Y31" s="77"/>
      <c r="Z31" s="77"/>
      <c r="AA31" s="77"/>
      <c r="AB31" s="77"/>
      <c r="AC31" s="78"/>
      <c r="AD31" s="87"/>
      <c r="AE31" s="86"/>
    </row>
    <row r="32" spans="1:31" ht="12" customHeight="1">
      <c r="A32" s="1029" t="s">
        <v>140</v>
      </c>
      <c r="B32" s="1029"/>
      <c r="C32" s="1029"/>
      <c r="D32" s="1029"/>
      <c r="E32" s="1029"/>
      <c r="F32" s="1029"/>
      <c r="G32" s="1029"/>
      <c r="H32" s="1029"/>
      <c r="I32" s="1029"/>
      <c r="J32" s="1029"/>
      <c r="K32" s="1029"/>
      <c r="L32" s="1029"/>
      <c r="M32" s="1029"/>
      <c r="S32" s="88"/>
      <c r="T32" s="79"/>
      <c r="U32" s="77"/>
      <c r="V32" s="77"/>
      <c r="W32" s="77"/>
      <c r="X32" s="77"/>
      <c r="Y32" s="77"/>
      <c r="Z32" s="77"/>
      <c r="AA32" s="77"/>
      <c r="AB32" s="77"/>
      <c r="AC32" s="78"/>
      <c r="AD32" s="87"/>
      <c r="AE32" s="86"/>
    </row>
    <row r="33" spans="1:31" ht="12" customHeight="1">
      <c r="A33" s="1029" t="s">
        <v>141</v>
      </c>
      <c r="B33" s="1029"/>
      <c r="C33" s="1029"/>
      <c r="D33" s="1029"/>
      <c r="E33" s="1029"/>
      <c r="F33" s="1029"/>
      <c r="G33" s="1029"/>
      <c r="H33" s="1029"/>
      <c r="I33" s="1029"/>
      <c r="J33" s="1029"/>
      <c r="K33" s="1029"/>
      <c r="L33" s="1029"/>
      <c r="M33" s="1029"/>
      <c r="S33" s="89"/>
      <c r="T33" s="82"/>
      <c r="U33" s="80"/>
      <c r="V33" s="80"/>
      <c r="W33" s="80"/>
      <c r="X33" s="80"/>
      <c r="Y33" s="80"/>
      <c r="Z33" s="80"/>
      <c r="AA33" s="80"/>
      <c r="AB33" s="80"/>
      <c r="AC33" s="81"/>
      <c r="AD33" s="87"/>
      <c r="AE33" s="86"/>
    </row>
    <row r="34" spans="1:13" ht="12" customHeight="1">
      <c r="A34" s="1029" t="s">
        <v>170</v>
      </c>
      <c r="B34" s="1029"/>
      <c r="C34" s="1029"/>
      <c r="D34" s="1029"/>
      <c r="E34" s="1029"/>
      <c r="F34" s="1029"/>
      <c r="G34" s="1029"/>
      <c r="H34" s="1029"/>
      <c r="I34" s="1029"/>
      <c r="J34" s="1029"/>
      <c r="K34" s="1029"/>
      <c r="L34" s="1029"/>
      <c r="M34" s="1029"/>
    </row>
    <row r="35" spans="1:13" ht="12" customHeight="1">
      <c r="A35" s="114" t="s">
        <v>76</v>
      </c>
      <c r="B35" s="114"/>
      <c r="C35" s="114"/>
      <c r="D35" s="114"/>
      <c r="E35" s="114"/>
      <c r="F35" s="114"/>
      <c r="G35" s="114"/>
      <c r="H35" s="114"/>
      <c r="I35" s="114"/>
      <c r="J35" s="114"/>
      <c r="K35" s="114"/>
      <c r="L35" s="114"/>
      <c r="M35" s="114"/>
    </row>
    <row r="36" spans="1:13" ht="12" customHeight="1">
      <c r="A36" s="1029" t="s">
        <v>171</v>
      </c>
      <c r="B36" s="1029"/>
      <c r="C36" s="1029"/>
      <c r="D36" s="1029"/>
      <c r="E36" s="1029"/>
      <c r="F36" s="1029"/>
      <c r="G36" s="1029"/>
      <c r="H36" s="1029"/>
      <c r="I36" s="1029"/>
      <c r="J36" s="1029"/>
      <c r="K36" s="1029"/>
      <c r="L36" s="1029"/>
      <c r="M36" s="1029"/>
    </row>
  </sheetData>
  <sheetProtection password="CC96" sheet="1" objects="1" scenarios="1"/>
  <mergeCells count="23">
    <mergeCell ref="M5:N5"/>
    <mergeCell ref="I5:J5"/>
    <mergeCell ref="A34:M34"/>
    <mergeCell ref="A27:M27"/>
    <mergeCell ref="A28:M28"/>
    <mergeCell ref="E18:F18"/>
    <mergeCell ref="E19:F19"/>
    <mergeCell ref="B5:D5"/>
    <mergeCell ref="A36:M36"/>
    <mergeCell ref="A29:M29"/>
    <mergeCell ref="A30:M30"/>
    <mergeCell ref="A31:M31"/>
    <mergeCell ref="A32:M32"/>
    <mergeCell ref="A1:E1"/>
    <mergeCell ref="A33:M33"/>
    <mergeCell ref="A25:M25"/>
    <mergeCell ref="A26:M26"/>
    <mergeCell ref="B3:E3"/>
    <mergeCell ref="A17:D17"/>
    <mergeCell ref="A18:D18"/>
    <mergeCell ref="A19:D19"/>
    <mergeCell ref="E17:F17"/>
    <mergeCell ref="L8:N8"/>
  </mergeCells>
  <dataValidations count="3">
    <dataValidation type="list" allowBlank="1" showInputMessage="1" showErrorMessage="1" sqref="A10">
      <formula1>$S$10:$S$19</formula1>
    </dataValidation>
    <dataValidation type="list" allowBlank="1" showInputMessage="1" showErrorMessage="1" sqref="A17:A19">
      <formula1>$U$10:$U$17</formula1>
    </dataValidation>
    <dataValidation type="list" allowBlank="1" showInputMessage="1" showErrorMessage="1" sqref="A11:A15">
      <formula1>$W$10:$W$19</formula1>
    </dataValidation>
  </dataValidations>
  <printOptions/>
  <pageMargins left="0.75" right="0.75" top="0.5" bottom="0.75" header="0.25" footer="0.4"/>
  <pageSetup horizontalDpi="600" verticalDpi="600" orientation="landscape" r:id="rId1"/>
  <headerFooter alignWithMargins="0">
    <oddHeader>&amp;L&amp;"Tahoma,Bold"&amp;11CNMP Planning Tool&amp;R&amp;"Arial,Bold"Manure and Wastewater Handling and Storage</oddHeader>
    <oddFooter>&amp;L&amp;"Arial,Bold"FOTG, Section I
CNMP Workbook&amp;R&amp;"Arial,Bold"NRCS, CO
March 2005</oddFooter>
  </headerFooter>
</worksheet>
</file>

<file path=xl/worksheets/sheet4.xml><?xml version="1.0" encoding="utf-8"?>
<worksheet xmlns="http://schemas.openxmlformats.org/spreadsheetml/2006/main" xmlns:r="http://schemas.openxmlformats.org/officeDocument/2006/relationships">
  <sheetPr>
    <tabColor indexed="43"/>
  </sheetPr>
  <dimension ref="A1:AH38"/>
  <sheetViews>
    <sheetView showZeros="0" workbookViewId="0" topLeftCell="A1">
      <selection activeCell="A12" sqref="A12"/>
    </sheetView>
  </sheetViews>
  <sheetFormatPr defaultColWidth="9.140625" defaultRowHeight="12.75"/>
  <cols>
    <col min="1" max="1" width="18.28125" style="46" customWidth="1"/>
    <col min="2" max="2" width="6.7109375" style="46" customWidth="1"/>
    <col min="3" max="5" width="7.7109375" style="46" customWidth="1"/>
    <col min="6" max="6" width="9.7109375" style="46" customWidth="1"/>
    <col min="7" max="7" width="7.7109375" style="46" customWidth="1"/>
    <col min="8" max="11" width="8.7109375" style="46" customWidth="1"/>
    <col min="12" max="14" width="7.7109375" style="46" customWidth="1"/>
    <col min="15" max="18" width="9.140625" style="46" customWidth="1"/>
    <col min="19" max="23" width="9.140625" style="46" hidden="1" customWidth="1"/>
    <col min="24" max="25" width="9.7109375" style="46" hidden="1" customWidth="1"/>
    <col min="26" max="32" width="9.140625" style="46" hidden="1" customWidth="1"/>
    <col min="33" max="35" width="0" style="46" hidden="1" customWidth="1"/>
    <col min="36" max="16384" width="9.140625" style="46" customWidth="1"/>
  </cols>
  <sheetData>
    <row r="1" spans="1:14" ht="15.75">
      <c r="A1" s="993" t="s">
        <v>121</v>
      </c>
      <c r="B1" s="994"/>
      <c r="C1" s="994"/>
      <c r="D1" s="994"/>
      <c r="E1" s="994"/>
      <c r="F1" s="994"/>
      <c r="G1" s="994"/>
      <c r="H1" s="994"/>
      <c r="I1" s="994"/>
      <c r="J1" s="994"/>
      <c r="K1" s="994"/>
      <c r="L1" s="994"/>
      <c r="M1" s="994"/>
      <c r="N1" s="716" t="s">
        <v>67</v>
      </c>
    </row>
    <row r="2" spans="1:13" ht="12" customHeight="1">
      <c r="A2" s="723"/>
      <c r="B2" s="723"/>
      <c r="C2" s="723"/>
      <c r="D2" s="723"/>
      <c r="E2" s="723"/>
      <c r="F2" s="723"/>
      <c r="G2" s="723"/>
      <c r="H2" s="723"/>
      <c r="I2" s="723"/>
      <c r="J2" s="723"/>
      <c r="K2" s="723"/>
      <c r="L2" s="723"/>
      <c r="M2" s="723"/>
    </row>
    <row r="3" spans="1:14" ht="15" customHeight="1">
      <c r="A3" s="724" t="s">
        <v>172</v>
      </c>
      <c r="B3" s="1110">
        <f>'Solid Manure Inv'!B3</f>
        <v>0</v>
      </c>
      <c r="C3" s="1111"/>
      <c r="D3" s="1111"/>
      <c r="E3" s="803"/>
      <c r="F3" s="725"/>
      <c r="G3" s="726"/>
      <c r="H3" s="727" t="s">
        <v>749</v>
      </c>
      <c r="I3" s="728" t="s">
        <v>174</v>
      </c>
      <c r="J3" s="989"/>
      <c r="K3" s="728" t="s">
        <v>765</v>
      </c>
      <c r="L3" s="989"/>
      <c r="M3" s="806" t="s">
        <v>758</v>
      </c>
      <c r="N3" s="2109"/>
    </row>
    <row r="4" spans="1:13" ht="9" customHeight="1">
      <c r="A4" s="729"/>
      <c r="B4" s="730"/>
      <c r="C4" s="731"/>
      <c r="D4" s="731"/>
      <c r="E4" s="804"/>
      <c r="F4" s="731"/>
      <c r="G4" s="723"/>
      <c r="H4" s="729"/>
      <c r="I4" s="731"/>
      <c r="J4" s="731"/>
      <c r="K4" s="731"/>
      <c r="L4" s="723"/>
      <c r="M4" s="723"/>
    </row>
    <row r="5" spans="1:13" ht="15" customHeight="1">
      <c r="A5" s="724" t="s">
        <v>52</v>
      </c>
      <c r="B5" s="1110">
        <f>'Solid Manure Inv'!B5</f>
        <v>0</v>
      </c>
      <c r="C5" s="1111"/>
      <c r="D5" s="1111"/>
      <c r="E5" s="805"/>
      <c r="F5" s="724" t="s">
        <v>173</v>
      </c>
      <c r="G5" s="1105">
        <f>'Solid Manure Inv'!F5</f>
        <v>0</v>
      </c>
      <c r="H5" s="1106"/>
      <c r="I5" s="732" t="s">
        <v>558</v>
      </c>
      <c r="J5" s="346"/>
      <c r="K5" s="346"/>
      <c r="L5" s="733"/>
      <c r="M5" s="346"/>
    </row>
    <row r="6" spans="1:13" ht="9" customHeight="1">
      <c r="A6" s="723"/>
      <c r="B6" s="723"/>
      <c r="C6" s="723"/>
      <c r="D6" s="723"/>
      <c r="E6" s="804"/>
      <c r="F6" s="723"/>
      <c r="G6" s="723"/>
      <c r="H6" s="723"/>
      <c r="I6" s="731"/>
      <c r="J6" s="723"/>
      <c r="K6" s="723"/>
      <c r="L6" s="723"/>
      <c r="M6" s="723"/>
    </row>
    <row r="7" spans="1:13" ht="15" customHeight="1">
      <c r="A7" s="724" t="s">
        <v>557</v>
      </c>
      <c r="B7" s="1112"/>
      <c r="C7" s="1112"/>
      <c r="D7" s="1112"/>
      <c r="E7" s="805"/>
      <c r="F7" s="724" t="s">
        <v>173</v>
      </c>
      <c r="G7" s="1116"/>
      <c r="H7" s="1116"/>
      <c r="I7" s="448"/>
      <c r="J7" s="1115"/>
      <c r="K7" s="1115"/>
      <c r="L7" s="1115"/>
      <c r="M7" s="1115"/>
    </row>
    <row r="8" spans="1:13" ht="12.75">
      <c r="A8" s="723"/>
      <c r="B8" s="723"/>
      <c r="C8" s="723"/>
      <c r="D8" s="723"/>
      <c r="E8" s="723"/>
      <c r="F8" s="723"/>
      <c r="G8" s="723"/>
      <c r="H8" s="723"/>
      <c r="I8" s="731"/>
      <c r="J8" s="723"/>
      <c r="K8" s="723"/>
      <c r="L8" s="723"/>
      <c r="M8" s="723"/>
    </row>
    <row r="9" spans="1:27" ht="12.75">
      <c r="A9" s="926" t="s">
        <v>19</v>
      </c>
      <c r="B9" s="927" t="s">
        <v>20</v>
      </c>
      <c r="C9" s="928" t="s">
        <v>21</v>
      </c>
      <c r="D9" s="927" t="s">
        <v>22</v>
      </c>
      <c r="E9" s="927" t="s">
        <v>23</v>
      </c>
      <c r="F9" s="929" t="s">
        <v>24</v>
      </c>
      <c r="G9" s="928" t="s">
        <v>25</v>
      </c>
      <c r="H9" s="927" t="s">
        <v>38</v>
      </c>
      <c r="I9" s="930" t="s">
        <v>45</v>
      </c>
      <c r="J9" s="927" t="s">
        <v>45</v>
      </c>
      <c r="K9" s="931" t="s">
        <v>59</v>
      </c>
      <c r="L9" s="931" t="s">
        <v>60</v>
      </c>
      <c r="M9" s="927" t="s">
        <v>755</v>
      </c>
      <c r="N9" s="935" t="s">
        <v>756</v>
      </c>
      <c r="V9" s="68" t="s">
        <v>533</v>
      </c>
      <c r="W9" s="69"/>
      <c r="X9" s="68" t="s">
        <v>525</v>
      </c>
      <c r="Y9" s="384"/>
      <c r="Z9" s="68" t="s">
        <v>53</v>
      </c>
      <c r="AA9" s="393"/>
    </row>
    <row r="10" spans="1:27" ht="12.75">
      <c r="A10" s="936" t="s">
        <v>149</v>
      </c>
      <c r="B10" s="907"/>
      <c r="C10" s="937" t="s">
        <v>28</v>
      </c>
      <c r="D10" s="907" t="s">
        <v>30</v>
      </c>
      <c r="E10" s="907" t="s">
        <v>33</v>
      </c>
      <c r="F10" s="938" t="s">
        <v>48</v>
      </c>
      <c r="G10" s="1113" t="s">
        <v>110</v>
      </c>
      <c r="H10" s="1114"/>
      <c r="I10" s="940" t="s">
        <v>764</v>
      </c>
      <c r="J10" s="941"/>
      <c r="K10" s="942"/>
      <c r="L10" s="1119" t="s">
        <v>58</v>
      </c>
      <c r="M10" s="1086"/>
      <c r="N10" s="1087"/>
      <c r="V10" s="66"/>
      <c r="W10" s="70"/>
      <c r="X10" s="66"/>
      <c r="Y10" s="340"/>
      <c r="Z10" s="394"/>
      <c r="AA10" s="395"/>
    </row>
    <row r="11" spans="1:27" ht="12.75">
      <c r="A11" s="936" t="s">
        <v>53</v>
      </c>
      <c r="B11" s="907" t="s">
        <v>535</v>
      </c>
      <c r="C11" s="937" t="s">
        <v>29</v>
      </c>
      <c r="D11" s="907" t="s">
        <v>31</v>
      </c>
      <c r="E11" s="907" t="s">
        <v>50</v>
      </c>
      <c r="F11" s="938" t="s">
        <v>34</v>
      </c>
      <c r="G11" s="939" t="s">
        <v>35</v>
      </c>
      <c r="H11" s="943" t="s">
        <v>36</v>
      </c>
      <c r="I11" s="939" t="s">
        <v>54</v>
      </c>
      <c r="J11" s="943" t="s">
        <v>753</v>
      </c>
      <c r="K11" s="943" t="s">
        <v>757</v>
      </c>
      <c r="L11" s="944" t="s">
        <v>54</v>
      </c>
      <c r="M11" s="943" t="s">
        <v>753</v>
      </c>
      <c r="N11" s="945" t="s">
        <v>908</v>
      </c>
      <c r="T11" s="336" t="s">
        <v>142</v>
      </c>
      <c r="V11" s="66">
        <f>IF(ISTEXT($A$12),VLOOKUP($A$12,$T$22:$AD$30,2,FALSE),"")</f>
      </c>
      <c r="W11" s="70"/>
      <c r="X11" s="66">
        <f>IF(ISTEXT($A$12),VLOOKUP($A$12,$T$32:$Y$32,2,FALSE),"")</f>
      </c>
      <c r="Y11" s="340"/>
      <c r="Z11" s="394">
        <f>IF(ISTEXT($A$12),VLOOKUP($A$12,$T$26:$AD$30,2,FALSE),"")</f>
      </c>
      <c r="AA11" s="395"/>
    </row>
    <row r="12" spans="1:27" ht="13.5" thickBot="1">
      <c r="A12" s="859"/>
      <c r="B12" s="946" t="s">
        <v>774</v>
      </c>
      <c r="C12" s="947" t="s">
        <v>773</v>
      </c>
      <c r="D12" s="946" t="s">
        <v>772</v>
      </c>
      <c r="E12" s="946" t="s">
        <v>771</v>
      </c>
      <c r="F12" s="948" t="s">
        <v>770</v>
      </c>
      <c r="G12" s="949" t="s">
        <v>769</v>
      </c>
      <c r="H12" s="950" t="s">
        <v>768</v>
      </c>
      <c r="I12" s="949" t="s">
        <v>767</v>
      </c>
      <c r="J12" s="951" t="s">
        <v>767</v>
      </c>
      <c r="K12" s="951" t="s">
        <v>767</v>
      </c>
      <c r="L12" s="951" t="s">
        <v>761</v>
      </c>
      <c r="M12" s="950" t="s">
        <v>761</v>
      </c>
      <c r="N12" s="952" t="s">
        <v>775</v>
      </c>
      <c r="T12" s="65"/>
      <c r="V12" s="66">
        <f>IF(ISTEXT($A$12),VLOOKUP($A$12,$T$22:$AD$30,3,FALSE),"")</f>
      </c>
      <c r="W12" s="70"/>
      <c r="X12" s="66">
        <f>IF(ISTEXT($A$12),VLOOKUP($A$12,$T$32:$Y$32,3,FALSE),"")</f>
      </c>
      <c r="Y12" s="340"/>
      <c r="Z12" s="394">
        <f>IF(ISTEXT($A$12),VLOOKUP($A$12,$T$26:$AD$30,3,FALSE),"")</f>
      </c>
      <c r="AA12" s="395"/>
    </row>
    <row r="13" spans="1:27" s="48" customFormat="1" ht="24" customHeight="1" thickTop="1">
      <c r="A13" s="953"/>
      <c r="B13" s="888"/>
      <c r="C13" s="889"/>
      <c r="D13" s="354">
        <f aca="true" t="shared" si="0" ref="D13:D18">IF(C13="","",(B13*C13)/1000)</f>
      </c>
      <c r="E13" s="890"/>
      <c r="F13" s="894">
        <f>IF(D13="","",VLOOKUP($A13,Tables!$A$38:$C$43,2,FALSE))</f>
      </c>
      <c r="G13" s="449">
        <f aca="true" t="shared" si="1" ref="G13:G18">IF(F13="","",D13*F13)</f>
      </c>
      <c r="H13" s="380">
        <f aca="true" t="shared" si="2" ref="H13:H18">IF(G13="","",E13*G13/1000)</f>
      </c>
      <c r="I13" s="957">
        <f>IF(H13="","",IF($J$7="","",IF($J$3&gt;0,$J$3,VLOOKUP($J$7,Tables!$A$79:$F$90,3,FALSE))))</f>
      </c>
      <c r="J13" s="358">
        <f>IF(H13="","",IF($J$7="","",IF($L$3&gt;0,$L$3,VLOOKUP($J$7,Tables!$A$79:$F$90,5,FALSE))))</f>
      </c>
      <c r="K13" s="358">
        <f>IF(H13="","",IF($J$7="","",IF($L$3&gt;0,$L$3,VLOOKUP($J$7,Tables!$A$79:$F$90,6,FALSE))))</f>
      </c>
      <c r="L13" s="720">
        <f aca="true" t="shared" si="3" ref="L13:L18">IF(I13="","",H13*I13)</f>
      </c>
      <c r="M13" s="356">
        <f aca="true" t="shared" si="4" ref="M13:M18">IF(J13="","",H13*J13)</f>
      </c>
      <c r="N13" s="735">
        <f aca="true" t="shared" si="5" ref="N13:N18">IF(K13="","",H13*K13)</f>
      </c>
      <c r="T13" s="65" t="s">
        <v>42</v>
      </c>
      <c r="V13" s="66">
        <f>IF(ISTEXT($A$12),VLOOKUP($A$12,$T$22:$AD$30,4,FALSE),"")</f>
      </c>
      <c r="W13" s="71"/>
      <c r="X13" s="66">
        <f>IF(ISTEXT($A$12),VLOOKUP($A$12,$T$32:$Y$32,4,FALSE),"")</f>
      </c>
      <c r="Y13" s="340"/>
      <c r="Z13" s="394">
        <f>IF(ISTEXT($A$12),VLOOKUP($A$12,$T$26:$AD$30,4,FALSE),"")</f>
      </c>
      <c r="AA13" s="395"/>
    </row>
    <row r="14" spans="1:27" s="48" customFormat="1" ht="24" customHeight="1">
      <c r="A14" s="953" t="s">
        <v>621</v>
      </c>
      <c r="B14" s="888"/>
      <c r="C14" s="889"/>
      <c r="D14" s="354">
        <f t="shared" si="0"/>
      </c>
      <c r="E14" s="890"/>
      <c r="F14" s="894">
        <f>IF(D14="","",VLOOKUP($A14,Tables!$A$38:$C$43,2,FALSE))</f>
      </c>
      <c r="G14" s="355">
        <f t="shared" si="1"/>
      </c>
      <c r="H14" s="380">
        <f t="shared" si="2"/>
      </c>
      <c r="I14" s="957">
        <f>IF(H14="","",IF($J$7="","",IF($J$3&gt;0,$J$3,VLOOKUP($J$7,Tables!$A$79:$F$90,3,FALSE))))</f>
      </c>
      <c r="J14" s="358">
        <f>IF(H14="","",IF($J$7="","",IF($L$3&gt;0,$L$3,VLOOKUP($J$7,Tables!$A$79:$F$90,5,FALSE))))</f>
      </c>
      <c r="K14" s="358">
        <f>IF(H14="","",IF($J$7="","",IF($L$3&gt;0,$L$3,VLOOKUP($J$7,Tables!$A$79:$F$90,6,FALSE))))</f>
      </c>
      <c r="L14" s="380">
        <f t="shared" si="3"/>
      </c>
      <c r="M14" s="354">
        <f t="shared" si="4"/>
      </c>
      <c r="N14" s="736">
        <f t="shared" si="5"/>
      </c>
      <c r="T14" s="65" t="s">
        <v>39</v>
      </c>
      <c r="V14" s="66">
        <f>IF(ISTEXT($A$12),VLOOKUP($A$12,$T$22:$AD$30,5,FALSE),"")</f>
      </c>
      <c r="W14" s="71"/>
      <c r="X14" s="66">
        <f>IF(ISTEXT($A$12),VLOOKUP($A$12,$T$32:$Y$32,5,FALSE),"")</f>
      </c>
      <c r="Y14" s="340"/>
      <c r="Z14" s="394">
        <f>IF(ISTEXT($A$12),VLOOKUP($A$12,$T$26:$AD$30,5,FALSE),"")</f>
      </c>
      <c r="AA14" s="395"/>
    </row>
    <row r="15" spans="1:27" s="48" customFormat="1" ht="24" customHeight="1">
      <c r="A15" s="953"/>
      <c r="B15" s="888"/>
      <c r="C15" s="889"/>
      <c r="D15" s="354">
        <f t="shared" si="0"/>
      </c>
      <c r="E15" s="890"/>
      <c r="F15" s="894">
        <f>IF(D15="","",VLOOKUP($A15,Tables!$A$38:$C$43,2,FALSE))</f>
      </c>
      <c r="G15" s="355">
        <f t="shared" si="1"/>
      </c>
      <c r="H15" s="380">
        <f t="shared" si="2"/>
      </c>
      <c r="I15" s="957">
        <f>IF(H15="","",IF($J$7="","",IF($J$3&gt;0,$J$3,VLOOKUP($J$7,Tables!$A$79:$F$90,3,FALSE))))</f>
      </c>
      <c r="J15" s="358">
        <f>IF(H15="","",IF($J$7="","",IF($L$3&gt;0,$L$3,VLOOKUP($J$7,Tables!$A$79:$F$90,5,FALSE))))</f>
      </c>
      <c r="K15" s="358">
        <f>IF(H15="","",IF($J$7="","",IF($L$3&gt;0,$L$3,VLOOKUP($J$7,Tables!$A$79:$F$90,6,FALSE))))</f>
      </c>
      <c r="L15" s="380">
        <f t="shared" si="3"/>
      </c>
      <c r="M15" s="354">
        <f t="shared" si="4"/>
      </c>
      <c r="N15" s="736">
        <f t="shared" si="5"/>
      </c>
      <c r="T15" s="65" t="s">
        <v>78</v>
      </c>
      <c r="V15" s="66">
        <f>IF(ISTEXT($A$12),VLOOKUP($A$12,$T$22:$AD$30,6,FALSE),"")</f>
      </c>
      <c r="W15" s="71"/>
      <c r="X15" s="66">
        <f>IF(ISTEXT($A$12),VLOOKUP($A$12,$T$32:$Y$32,6,FALSE),"")</f>
      </c>
      <c r="Y15" s="340"/>
      <c r="Z15" s="394">
        <f>IF(ISTEXT($A$12),VLOOKUP($A$12,$T$26:$AD$30,6,FALSE),"")</f>
      </c>
      <c r="AA15" s="395"/>
    </row>
    <row r="16" spans="1:27" s="48" customFormat="1" ht="24" customHeight="1">
      <c r="A16" s="953"/>
      <c r="B16" s="890"/>
      <c r="C16" s="891"/>
      <c r="D16" s="354">
        <f t="shared" si="0"/>
      </c>
      <c r="E16" s="890"/>
      <c r="F16" s="894">
        <f>IF(D16="","",VLOOKUP($A16,Tables!$A$38:$C$43,2,FALSE))</f>
      </c>
      <c r="G16" s="355">
        <f t="shared" si="1"/>
      </c>
      <c r="H16" s="380">
        <f t="shared" si="2"/>
      </c>
      <c r="I16" s="957">
        <f>IF(H16="","",IF($J$7="","",IF($J$3&gt;0,$J$3,VLOOKUP($J$7,Tables!$A$79:$F$90,3,FALSE))))</f>
      </c>
      <c r="J16" s="358">
        <f>IF(H16="","",IF($J$7="","",IF($L$3&gt;0,$L$3,VLOOKUP($J$7,Tables!$A$79:$F$90,5,FALSE))))</f>
      </c>
      <c r="K16" s="358">
        <f>IF(H16="","",IF($J$7="","",IF($L$3&gt;0,$L$3,VLOOKUP($J$7,Tables!$A$79:$F$90,6,FALSE))))</f>
      </c>
      <c r="L16" s="380">
        <f t="shared" si="3"/>
      </c>
      <c r="M16" s="354">
        <f t="shared" si="4"/>
      </c>
      <c r="N16" s="736">
        <f t="shared" si="5"/>
      </c>
      <c r="T16" s="65"/>
      <c r="V16" s="66">
        <f>IF(ISTEXT($A$12),VLOOKUP($A$12,$T$22:$AD$30,7,FALSE),"")</f>
      </c>
      <c r="W16" s="71"/>
      <c r="X16" s="66"/>
      <c r="Y16" s="340"/>
      <c r="Z16" s="394">
        <f>IF(ISTEXT($A$12),VLOOKUP($A$12,$T$26:$AD$30,7,FALSE),"")</f>
      </c>
      <c r="AA16" s="395"/>
    </row>
    <row r="17" spans="1:27" s="48" customFormat="1" ht="24" customHeight="1">
      <c r="A17" s="953"/>
      <c r="B17" s="892"/>
      <c r="C17" s="893"/>
      <c r="D17" s="354">
        <f t="shared" si="0"/>
      </c>
      <c r="E17" s="892"/>
      <c r="F17" s="894">
        <f>IF(D17="","",VLOOKUP($A17,Tables!$A$38:$C$43,2,FALSE))</f>
      </c>
      <c r="G17" s="355">
        <f t="shared" si="1"/>
      </c>
      <c r="H17" s="380">
        <f t="shared" si="2"/>
      </c>
      <c r="I17" s="957">
        <f>IF(H17="","",IF($J$7="","",IF($J$3&gt;0,$J$3,VLOOKUP($J$7,Tables!$A$79:$F$90,3,FALSE))))</f>
      </c>
      <c r="J17" s="358">
        <f>IF(H17="","",IF($J$7="","",IF($L$3&gt;0,$L$3,VLOOKUP($J$7,Tables!$A$79:$F$90,5,FALSE))))</f>
      </c>
      <c r="K17" s="358">
        <f>IF(H17="","",IF($J$7="","",IF($L$3&gt;0,$L$3,VLOOKUP($J$7,Tables!$A$79:$F$90,6,FALSE))))</f>
      </c>
      <c r="L17" s="814">
        <f t="shared" si="3"/>
      </c>
      <c r="M17" s="815">
        <f t="shared" si="4"/>
      </c>
      <c r="N17" s="816">
        <f t="shared" si="5"/>
      </c>
      <c r="T17" s="65"/>
      <c r="V17" s="66">
        <f>IF(ISTEXT($A$12),VLOOKUP($A$12,$T$22:$AD$30,8,FALSE),"")</f>
      </c>
      <c r="W17" s="71"/>
      <c r="X17" s="66"/>
      <c r="Y17" s="340"/>
      <c r="Z17" s="394">
        <f>IF(ISTEXT($A$12),VLOOKUP($A$12,$T$26:$AD$30,8,FALSE),"")</f>
      </c>
      <c r="AA17" s="395"/>
    </row>
    <row r="18" spans="1:27" s="48" customFormat="1" ht="24" customHeight="1" thickBot="1">
      <c r="A18" s="953"/>
      <c r="B18" s="892"/>
      <c r="C18" s="893"/>
      <c r="D18" s="354">
        <f t="shared" si="0"/>
      </c>
      <c r="E18" s="892"/>
      <c r="F18" s="894">
        <f>IF(D18="","",VLOOKUP($A18,Tables!$A$38:$C$43,2,FALSE))</f>
      </c>
      <c r="G18" s="818">
        <f t="shared" si="1"/>
      </c>
      <c r="H18" s="380">
        <f t="shared" si="2"/>
      </c>
      <c r="I18" s="957">
        <f>IF(H18="","",IF($J$7="","",IF($J$3&gt;0,$J$3,VLOOKUP($J$7,Tables!$A$79:$F$90,3,FALSE))))</f>
      </c>
      <c r="J18" s="358">
        <f>IF(H18="","",IF($J$7="","",IF($L$3&gt;0,$L$3,VLOOKUP($J$7,Tables!$A$79:$F$90,5,FALSE))))</f>
      </c>
      <c r="K18" s="358">
        <f>IF(H18="","",IF($J$7="","",IF($L$3&gt;0,$L$3,VLOOKUP($J$7,Tables!$A$79:$F$90,6,FALSE))))</f>
      </c>
      <c r="L18" s="357">
        <f t="shared" si="3"/>
      </c>
      <c r="M18" s="357">
        <f t="shared" si="4"/>
      </c>
      <c r="N18" s="817">
        <f t="shared" si="5"/>
      </c>
      <c r="T18" s="65"/>
      <c r="V18" s="66"/>
      <c r="W18" s="71"/>
      <c r="X18" s="66"/>
      <c r="Y18" s="340"/>
      <c r="Z18" s="394"/>
      <c r="AA18" s="395"/>
    </row>
    <row r="19" spans="1:27" s="48" customFormat="1" ht="24" thickBot="1" thickTop="1">
      <c r="A19" s="1107" t="s">
        <v>111</v>
      </c>
      <c r="B19" s="1108"/>
      <c r="C19" s="1108"/>
      <c r="D19" s="1109"/>
      <c r="E19" s="962" t="s">
        <v>771</v>
      </c>
      <c r="F19" s="963" t="s">
        <v>116</v>
      </c>
      <c r="G19" s="964"/>
      <c r="H19" s="965" t="s">
        <v>746</v>
      </c>
      <c r="I19" s="966" t="s">
        <v>748</v>
      </c>
      <c r="J19" s="967" t="s">
        <v>748</v>
      </c>
      <c r="K19" s="968" t="s">
        <v>748</v>
      </c>
      <c r="L19" s="962" t="s">
        <v>775</v>
      </c>
      <c r="M19" s="969" t="s">
        <v>775</v>
      </c>
      <c r="N19" s="970" t="s">
        <v>775</v>
      </c>
      <c r="T19" s="341"/>
      <c r="V19" s="66">
        <f>IF(ISTEXT($A$12),VLOOKUP($A$12,$T$22:$AD$30,9,FALSE),"")</f>
      </c>
      <c r="W19" s="71"/>
      <c r="X19" s="66"/>
      <c r="Y19" s="340"/>
      <c r="Z19" s="394">
        <f>IF(ISTEXT($A$12),VLOOKUP($A$12,$T$26:$AD$30,9,FALSE),"")</f>
      </c>
      <c r="AA19" s="395"/>
    </row>
    <row r="20" spans="1:27" s="48" customFormat="1" ht="18" customHeight="1" thickTop="1">
      <c r="A20" s="1102"/>
      <c r="B20" s="1103"/>
      <c r="C20" s="1103"/>
      <c r="D20" s="1104"/>
      <c r="E20" s="954"/>
      <c r="F20" s="1096"/>
      <c r="G20" s="1097"/>
      <c r="H20" s="358">
        <f>E20*F20/1000</f>
        <v>0</v>
      </c>
      <c r="I20" s="958">
        <f>IF($H20&gt;0,IF($J$3&gt;0,J3,VLOOKUP($A20,Tables!$A$88:$F$90,3,FALSE)),"")</f>
      </c>
      <c r="J20" s="959">
        <f>IF($H20&gt;0,IF($L$3&gt;0,L3,VLOOKUP($A20,Tables!$A$88:$F$90,5,FALSE)),"")</f>
      </c>
      <c r="K20" s="959">
        <f>IF($H20&gt;0,IF($N$3&gt;0,N3,VLOOKUP($A20,Tables!$A$88:$F$90,6,FALSE)),"")</f>
      </c>
      <c r="L20" s="721">
        <f>IF(I20="","",H20*I20)</f>
      </c>
      <c r="M20" s="358">
        <f aca="true" t="shared" si="6" ref="M20:N22">IF(J20="","",H20*J20)</f>
      </c>
      <c r="N20" s="737">
        <f t="shared" si="6"/>
      </c>
      <c r="V20" s="67">
        <f>IF(ISTEXT($A$12),VLOOKUP($A$12,$T$22:$AD$30,10,FALSE),"")</f>
      </c>
      <c r="W20" s="120"/>
      <c r="X20" s="67"/>
      <c r="Y20" s="385"/>
      <c r="Z20" s="396">
        <f>IF(ISTEXT($A$12),VLOOKUP($A$12,$T$26:$AD$30,10,FALSE),"")</f>
      </c>
      <c r="AA20" s="397"/>
    </row>
    <row r="21" spans="1:14" s="48" customFormat="1" ht="18" customHeight="1">
      <c r="A21" s="1032"/>
      <c r="B21" s="1117"/>
      <c r="C21" s="1117"/>
      <c r="D21" s="1118"/>
      <c r="E21" s="955"/>
      <c r="F21" s="1098"/>
      <c r="G21" s="1099"/>
      <c r="H21" s="358">
        <f>E21*F21/1000</f>
        <v>0</v>
      </c>
      <c r="I21" s="960">
        <f>IF($H21&gt;0,IF($J$3&gt;0,J4,VLOOKUP($A21,Tables!$A$88:$F$90,3,FALSE)),"")</f>
      </c>
      <c r="J21" s="961">
        <f>IF($H21&gt;0,IF($L$3&gt;0,L3,VLOOKUP($A21,Tables!$A$88:$F$90,5,FALSE)),"")</f>
      </c>
      <c r="K21" s="961">
        <f>IF($H21&gt;0,IF($N$3&gt;0,N4,VLOOKUP($A21,Tables!$A$88:$F$90,6,FALSE)),"")</f>
      </c>
      <c r="L21" s="721">
        <f>IF(I21="","",H21*I21)</f>
      </c>
      <c r="M21" s="358">
        <f t="shared" si="6"/>
      </c>
      <c r="N21" s="737">
        <f t="shared" si="6"/>
      </c>
    </row>
    <row r="22" spans="1:30" ht="18" customHeight="1" thickBot="1">
      <c r="A22" s="1035"/>
      <c r="B22" s="1094"/>
      <c r="C22" s="1094"/>
      <c r="D22" s="1095"/>
      <c r="E22" s="956"/>
      <c r="F22" s="1100"/>
      <c r="G22" s="1101"/>
      <c r="H22" s="359">
        <f>E22*F22/1000</f>
        <v>0</v>
      </c>
      <c r="I22" s="904">
        <f>IF($H22&gt;0,IF($J$3&gt;0,J5,VLOOKUP($A22,Tables!$A$88:$F$90,3,FALSE)),"")</f>
      </c>
      <c r="J22" s="905">
        <f>IF($H22&gt;0,IF($L$3&gt;0,L3,VLOOKUP($A22,Tables!$A$88:$F$90,5,FALSE)),"")</f>
      </c>
      <c r="K22" s="905">
        <f>IF($H22&gt;0,IF($N$3&gt;0,N5,VLOOKUP($A22,Tables!$A$88:$F$90,6,FALSE)),"")</f>
      </c>
      <c r="L22" s="721">
        <f>IF(I22="","",H22*I22)</f>
      </c>
      <c r="M22" s="358">
        <f t="shared" si="6"/>
      </c>
      <c r="N22" s="737">
        <f t="shared" si="6"/>
      </c>
      <c r="T22" s="68" t="s">
        <v>78</v>
      </c>
      <c r="U22" s="75" t="s">
        <v>532</v>
      </c>
      <c r="V22" s="75" t="s">
        <v>536</v>
      </c>
      <c r="W22" s="807" t="s">
        <v>537</v>
      </c>
      <c r="X22" s="75" t="s">
        <v>556</v>
      </c>
      <c r="Y22" s="75"/>
      <c r="Z22" s="118"/>
      <c r="AA22"/>
      <c r="AB22"/>
      <c r="AC22"/>
      <c r="AD22"/>
    </row>
    <row r="23" spans="1:26" ht="13.5" thickTop="1">
      <c r="A23" s="972"/>
      <c r="B23" s="973"/>
      <c r="C23" s="973"/>
      <c r="D23" s="973"/>
      <c r="E23" s="973"/>
      <c r="F23" s="974"/>
      <c r="G23" s="973"/>
      <c r="H23" s="973"/>
      <c r="I23" s="974"/>
      <c r="J23" s="974"/>
      <c r="K23" s="974"/>
      <c r="L23" s="980"/>
      <c r="M23" s="980"/>
      <c r="N23" s="981"/>
      <c r="T23" s="88" t="s">
        <v>39</v>
      </c>
      <c r="U23" s="339" t="s">
        <v>531</v>
      </c>
      <c r="V23" s="339"/>
      <c r="W23" s="339"/>
      <c r="X23" s="339"/>
      <c r="Y23" s="339"/>
      <c r="Z23" s="340"/>
    </row>
    <row r="24" spans="1:26" ht="13.5">
      <c r="A24" s="972"/>
      <c r="B24" s="973"/>
      <c r="C24" s="973"/>
      <c r="D24" s="973"/>
      <c r="E24" s="973"/>
      <c r="F24" s="974"/>
      <c r="G24" s="975" t="s">
        <v>559</v>
      </c>
      <c r="H24" s="971">
        <f>SUM(H13:H18)</f>
        <v>0</v>
      </c>
      <c r="I24" s="974"/>
      <c r="J24" s="974"/>
      <c r="K24" s="974"/>
      <c r="L24" s="982" t="s">
        <v>54</v>
      </c>
      <c r="M24" s="982" t="s">
        <v>150</v>
      </c>
      <c r="N24" s="983" t="s">
        <v>766</v>
      </c>
      <c r="T24" s="89" t="s">
        <v>42</v>
      </c>
      <c r="U24" s="337" t="s">
        <v>531</v>
      </c>
      <c r="V24" s="337"/>
      <c r="W24" s="337"/>
      <c r="X24" s="337"/>
      <c r="Y24" s="337"/>
      <c r="Z24" s="385"/>
    </row>
    <row r="25" spans="1:23" ht="3.75" customHeight="1">
      <c r="A25" s="972"/>
      <c r="B25" s="973"/>
      <c r="C25" s="973"/>
      <c r="D25" s="973"/>
      <c r="E25" s="973"/>
      <c r="F25" s="974"/>
      <c r="G25" s="973"/>
      <c r="H25" s="973"/>
      <c r="I25" s="974"/>
      <c r="J25" s="974"/>
      <c r="K25" s="974"/>
      <c r="L25" s="984"/>
      <c r="M25" s="984"/>
      <c r="N25" s="985"/>
      <c r="W25" s="808"/>
    </row>
    <row r="26" spans="1:30" ht="14.25" customHeight="1">
      <c r="A26" s="976"/>
      <c r="B26" s="977" t="s">
        <v>51</v>
      </c>
      <c r="C26" s="381">
        <f>SUM(D13:D17)</f>
        <v>0</v>
      </c>
      <c r="D26" s="978"/>
      <c r="E26" s="979"/>
      <c r="F26" s="979"/>
      <c r="G26" s="977" t="s">
        <v>747</v>
      </c>
      <c r="H26" s="381">
        <f>SUM(H20:H22)</f>
        <v>0</v>
      </c>
      <c r="I26" s="986"/>
      <c r="J26" s="977"/>
      <c r="K26" s="977" t="s">
        <v>61</v>
      </c>
      <c r="L26" s="734">
        <f>SUM(L13:L22)</f>
        <v>0</v>
      </c>
      <c r="M26" s="446">
        <f>SUM(M13:M22)</f>
        <v>0</v>
      </c>
      <c r="N26" s="117">
        <f>SUM(N13:N22)</f>
        <v>0</v>
      </c>
      <c r="T26" s="338" t="s">
        <v>78</v>
      </c>
      <c r="U26" s="339" t="s">
        <v>534</v>
      </c>
      <c r="V26" s="339" t="s">
        <v>155</v>
      </c>
      <c r="W26" s="447" t="s">
        <v>168</v>
      </c>
      <c r="X26" s="339" t="s">
        <v>156</v>
      </c>
      <c r="Y26" s="339" t="s">
        <v>157</v>
      </c>
      <c r="Z26" s="339" t="s">
        <v>158</v>
      </c>
      <c r="AA26" s="339"/>
      <c r="AB26" s="339"/>
      <c r="AC26" s="339"/>
      <c r="AD26" s="340"/>
    </row>
    <row r="27" spans="1:30" ht="19.5" customHeight="1">
      <c r="A27" s="50"/>
      <c r="T27" s="338" t="s">
        <v>39</v>
      </c>
      <c r="U27" s="339" t="s">
        <v>39</v>
      </c>
      <c r="V27" s="339"/>
      <c r="W27" s="447"/>
      <c r="X27" s="339"/>
      <c r="Y27" s="339"/>
      <c r="Z27" s="339"/>
      <c r="AA27" s="339"/>
      <c r="AB27" s="339"/>
      <c r="AC27" s="339"/>
      <c r="AD27" s="340"/>
    </row>
    <row r="28" spans="1:30" ht="12.75">
      <c r="A28" s="51"/>
      <c r="T28" s="338" t="s">
        <v>42</v>
      </c>
      <c r="U28" s="339" t="s">
        <v>42</v>
      </c>
      <c r="V28" s="339"/>
      <c r="W28" s="447"/>
      <c r="X28" s="339"/>
      <c r="Y28" s="339"/>
      <c r="Z28" s="339"/>
      <c r="AA28" s="339"/>
      <c r="AB28" s="339"/>
      <c r="AC28" s="339"/>
      <c r="AD28" s="340"/>
    </row>
    <row r="29" spans="1:34" ht="12.75">
      <c r="A29" s="48"/>
      <c r="T29" s="338"/>
      <c r="U29" s="339"/>
      <c r="V29" s="339"/>
      <c r="W29" s="339"/>
      <c r="X29" s="339"/>
      <c r="Y29" s="339"/>
      <c r="Z29" s="339"/>
      <c r="AA29" s="339"/>
      <c r="AB29" s="339"/>
      <c r="AC29" s="339"/>
      <c r="AD29" s="340"/>
      <c r="AE29" s="87" t="s">
        <v>541</v>
      </c>
      <c r="AF29" s="86" t="s">
        <v>542</v>
      </c>
      <c r="AG29" s="86" t="s">
        <v>546</v>
      </c>
      <c r="AH29" s="86" t="s">
        <v>547</v>
      </c>
    </row>
    <row r="30" spans="1:34" ht="12.75">
      <c r="A30" s="48"/>
      <c r="T30" s="119"/>
      <c r="U30" s="337"/>
      <c r="V30" s="337"/>
      <c r="W30" s="337"/>
      <c r="X30" s="337"/>
      <c r="Y30" s="337"/>
      <c r="Z30" s="337"/>
      <c r="AA30" s="337"/>
      <c r="AB30" s="337"/>
      <c r="AC30" s="337"/>
      <c r="AD30" s="385"/>
      <c r="AE30" s="87" t="s">
        <v>545</v>
      </c>
      <c r="AF30" s="86" t="s">
        <v>542</v>
      </c>
      <c r="AG30" s="86" t="s">
        <v>543</v>
      </c>
      <c r="AH30" s="86" t="s">
        <v>544</v>
      </c>
    </row>
    <row r="31" ht="12.75">
      <c r="A31" s="48"/>
    </row>
    <row r="32" spans="1:25" ht="12.75">
      <c r="A32" s="48"/>
      <c r="T32" s="388" t="s">
        <v>39</v>
      </c>
      <c r="U32" s="386" t="s">
        <v>526</v>
      </c>
      <c r="V32" s="386" t="s">
        <v>527</v>
      </c>
      <c r="W32" s="386" t="s">
        <v>528</v>
      </c>
      <c r="X32" s="386"/>
      <c r="Y32" s="387"/>
    </row>
    <row r="33" ht="12.75">
      <c r="A33" s="48"/>
    </row>
    <row r="34" ht="12.75">
      <c r="A34" s="48"/>
    </row>
    <row r="35" ht="12.75">
      <c r="A35" s="48"/>
    </row>
    <row r="36" ht="12.75">
      <c r="A36" s="48"/>
    </row>
    <row r="37" ht="12.75">
      <c r="A37" s="48"/>
    </row>
    <row r="38" ht="12.75">
      <c r="A38" s="48"/>
    </row>
  </sheetData>
  <sheetProtection password="CC96" sheet="1" objects="1" scenarios="1"/>
  <mergeCells count="15">
    <mergeCell ref="J7:M7"/>
    <mergeCell ref="G7:H7"/>
    <mergeCell ref="A21:D21"/>
    <mergeCell ref="L10:N10"/>
    <mergeCell ref="G5:H5"/>
    <mergeCell ref="A19:D19"/>
    <mergeCell ref="B3:D3"/>
    <mergeCell ref="B5:D5"/>
    <mergeCell ref="B7:D7"/>
    <mergeCell ref="G10:H10"/>
    <mergeCell ref="A22:D22"/>
    <mergeCell ref="F20:G20"/>
    <mergeCell ref="F21:G21"/>
    <mergeCell ref="F22:G22"/>
    <mergeCell ref="A20:D20"/>
  </mergeCells>
  <dataValidations count="4">
    <dataValidation type="list" allowBlank="1" showInputMessage="1" showErrorMessage="1" sqref="J7:M7">
      <formula1>$V$10:$V$20</formula1>
    </dataValidation>
    <dataValidation type="list" allowBlank="1" showInputMessage="1" showErrorMessage="1" sqref="A12">
      <formula1>$T$12:$T$19</formula1>
    </dataValidation>
    <dataValidation type="list" allowBlank="1" showInputMessage="1" showErrorMessage="1" sqref="A20:D22">
      <formula1>$X$10:$X$15</formula1>
    </dataValidation>
    <dataValidation type="list" allowBlank="1" showInputMessage="1" showErrorMessage="1" sqref="A13:A18">
      <formula1>$Z$10:$Z$20</formula1>
    </dataValidation>
  </dataValidations>
  <printOptions/>
  <pageMargins left="0.75" right="0.75" top="0.75" bottom="0.75" header="0.5" footer="0.4"/>
  <pageSetup horizontalDpi="600" verticalDpi="600" orientation="landscape" r:id="rId1"/>
  <headerFooter alignWithMargins="0">
    <oddHeader>&amp;L&amp;"Tahoma,Bold"&amp;11CNMP Planning Tool&amp;R&amp;"Arial,Bold"Manure and Wastewater Handling and Storage</oddHeader>
    <oddFooter>&amp;L&amp;"Arial,Bold"FOTG, Section I
CNMP Workbook&amp;R&amp;"Arial,Bold"NRCS, CO
March 2005</oddFooter>
  </headerFooter>
</worksheet>
</file>

<file path=xl/worksheets/sheet5.xml><?xml version="1.0" encoding="utf-8"?>
<worksheet xmlns="http://schemas.openxmlformats.org/spreadsheetml/2006/main" xmlns:r="http://schemas.openxmlformats.org/officeDocument/2006/relationships">
  <dimension ref="A1:L98"/>
  <sheetViews>
    <sheetView workbookViewId="0" topLeftCell="A1">
      <selection activeCell="A1" sqref="A1:C2"/>
    </sheetView>
  </sheetViews>
  <sheetFormatPr defaultColWidth="9.140625" defaultRowHeight="12.75"/>
  <cols>
    <col min="1" max="1" width="28.421875" style="3" customWidth="1"/>
    <col min="2" max="3" width="12.7109375" style="4" customWidth="1"/>
    <col min="4" max="7" width="8.7109375" style="0" customWidth="1"/>
    <col min="8" max="9" width="10.7109375" style="0" customWidth="1"/>
  </cols>
  <sheetData>
    <row r="1" spans="1:7" ht="17.25" customHeight="1">
      <c r="A1" s="1133" t="s">
        <v>136</v>
      </c>
      <c r="B1" s="1133"/>
      <c r="C1" s="1133"/>
      <c r="D1" s="61"/>
      <c r="E1" s="61"/>
      <c r="F1" s="61"/>
      <c r="G1" s="61"/>
    </row>
    <row r="2" spans="1:7" ht="17.25" customHeight="1">
      <c r="A2" s="1133"/>
      <c r="B2" s="1133"/>
      <c r="C2" s="1133"/>
      <c r="D2" s="61"/>
      <c r="E2" s="61"/>
      <c r="F2" s="61"/>
      <c r="G2" s="61"/>
    </row>
    <row r="3" spans="1:3" ht="14.25" customHeight="1">
      <c r="A3" s="1122" t="s">
        <v>26</v>
      </c>
      <c r="B3" s="1137" t="s">
        <v>56</v>
      </c>
      <c r="C3" s="1137" t="s">
        <v>132</v>
      </c>
    </row>
    <row r="4" spans="1:3" ht="15" customHeight="1">
      <c r="A4" s="1135"/>
      <c r="B4" s="1138"/>
      <c r="C4" s="1138"/>
    </row>
    <row r="5" spans="1:3" ht="25.5">
      <c r="A5" s="1136"/>
      <c r="B5" s="63" t="s">
        <v>131</v>
      </c>
      <c r="C5" s="63" t="s">
        <v>81</v>
      </c>
    </row>
    <row r="6" spans="1:3" ht="12.75">
      <c r="A6" s="90" t="s">
        <v>39</v>
      </c>
      <c r="B6" s="91"/>
      <c r="C6" s="92"/>
    </row>
    <row r="7" spans="1:3" s="1" customFormat="1" ht="12">
      <c r="A7" s="104" t="s">
        <v>152</v>
      </c>
      <c r="B7" s="107">
        <v>18.5</v>
      </c>
      <c r="C7" s="93">
        <v>46</v>
      </c>
    </row>
    <row r="8" spans="1:3" s="1" customFormat="1" ht="12">
      <c r="A8" s="104" t="s">
        <v>153</v>
      </c>
      <c r="B8" s="107">
        <v>17.6</v>
      </c>
      <c r="C8" s="93">
        <v>46</v>
      </c>
    </row>
    <row r="9" spans="1:3" s="1" customFormat="1" ht="12.75" thickBot="1">
      <c r="A9" s="105" t="s">
        <v>159</v>
      </c>
      <c r="B9" s="108">
        <v>16.9</v>
      </c>
      <c r="C9" s="94">
        <v>46</v>
      </c>
    </row>
    <row r="10" spans="1:8" s="5" customFormat="1" ht="13.5" thickTop="1">
      <c r="A10" s="95" t="s">
        <v>42</v>
      </c>
      <c r="B10" s="109"/>
      <c r="C10" s="96"/>
      <c r="H10" s="64"/>
    </row>
    <row r="11" spans="1:3" s="1" customFormat="1" ht="12">
      <c r="A11" s="104" t="s">
        <v>446</v>
      </c>
      <c r="B11" s="107">
        <v>10.1</v>
      </c>
      <c r="C11" s="93">
        <v>32</v>
      </c>
    </row>
    <row r="12" spans="1:3" s="1" customFormat="1" ht="12">
      <c r="A12" s="104" t="s">
        <v>447</v>
      </c>
      <c r="B12" s="107">
        <v>8.7</v>
      </c>
      <c r="C12" s="93">
        <v>32</v>
      </c>
    </row>
    <row r="13" spans="1:3" s="1" customFormat="1" ht="12">
      <c r="A13" s="104" t="s">
        <v>165</v>
      </c>
      <c r="B13" s="107">
        <v>11.2</v>
      </c>
      <c r="C13" s="93">
        <v>32</v>
      </c>
    </row>
    <row r="14" spans="1:3" s="1" customFormat="1" ht="12">
      <c r="A14" s="104" t="s">
        <v>166</v>
      </c>
      <c r="B14" s="107">
        <v>10.7</v>
      </c>
      <c r="C14" s="93">
        <v>32</v>
      </c>
    </row>
    <row r="15" spans="1:3" s="1" customFormat="1" ht="12.75" thickBot="1">
      <c r="A15" s="105" t="s">
        <v>167</v>
      </c>
      <c r="B15" s="108">
        <v>2.8</v>
      </c>
      <c r="C15" s="94">
        <v>46</v>
      </c>
    </row>
    <row r="16" spans="1:3" s="1" customFormat="1" ht="12.75" thickTop="1">
      <c r="A16" s="97" t="s">
        <v>78</v>
      </c>
      <c r="B16" s="110"/>
      <c r="C16" s="98"/>
    </row>
    <row r="17" spans="1:3" s="1" customFormat="1" ht="12">
      <c r="A17" s="104" t="s">
        <v>154</v>
      </c>
      <c r="B17" s="107">
        <v>21.6</v>
      </c>
      <c r="C17" s="93">
        <v>82</v>
      </c>
    </row>
    <row r="18" spans="1:3" s="1" customFormat="1" ht="12">
      <c r="A18" s="104" t="s">
        <v>155</v>
      </c>
      <c r="B18" s="107">
        <v>12.9</v>
      </c>
      <c r="C18" s="93">
        <v>82</v>
      </c>
    </row>
    <row r="19" spans="1:3" s="1" customFormat="1" ht="12">
      <c r="A19" s="104" t="s">
        <v>168</v>
      </c>
      <c r="B19" s="107">
        <v>6.7</v>
      </c>
      <c r="C19" s="93">
        <v>82</v>
      </c>
    </row>
    <row r="20" spans="1:3" s="1" customFormat="1" ht="12">
      <c r="A20" s="104" t="s">
        <v>156</v>
      </c>
      <c r="B20" s="107">
        <v>5.1</v>
      </c>
      <c r="C20" s="93">
        <v>82</v>
      </c>
    </row>
    <row r="21" spans="1:3" s="1" customFormat="1" ht="12">
      <c r="A21" s="104" t="s">
        <v>157</v>
      </c>
      <c r="B21" s="107">
        <v>12.2</v>
      </c>
      <c r="C21" s="93">
        <v>82</v>
      </c>
    </row>
    <row r="22" spans="1:3" s="1" customFormat="1" ht="12.75" thickBot="1">
      <c r="A22" s="106" t="s">
        <v>158</v>
      </c>
      <c r="B22" s="111">
        <v>3.9</v>
      </c>
      <c r="C22" s="99">
        <v>82</v>
      </c>
    </row>
    <row r="23" spans="1:3" s="5" customFormat="1" ht="13.5" thickTop="1">
      <c r="A23" s="95" t="s">
        <v>43</v>
      </c>
      <c r="B23" s="109"/>
      <c r="C23" s="96"/>
    </row>
    <row r="24" spans="1:3" s="1" customFormat="1" ht="12">
      <c r="A24" s="104" t="s">
        <v>161</v>
      </c>
      <c r="B24" s="107">
        <v>25.2</v>
      </c>
      <c r="C24" s="93">
        <v>40</v>
      </c>
    </row>
    <row r="25" spans="1:3" s="1" customFormat="1" ht="12">
      <c r="A25" s="104" t="s">
        <v>162</v>
      </c>
      <c r="B25" s="107">
        <v>19</v>
      </c>
      <c r="C25" s="93">
        <v>40</v>
      </c>
    </row>
    <row r="26" spans="1:3" s="1" customFormat="1" ht="12">
      <c r="A26" s="104" t="s">
        <v>163</v>
      </c>
      <c r="B26" s="107">
        <v>33.3</v>
      </c>
      <c r="C26" s="93">
        <v>40</v>
      </c>
    </row>
    <row r="27" spans="1:3" s="1" customFormat="1" ht="12.75" thickBot="1">
      <c r="A27" s="105" t="s">
        <v>164</v>
      </c>
      <c r="B27" s="108">
        <v>18.2</v>
      </c>
      <c r="C27" s="94">
        <v>40</v>
      </c>
    </row>
    <row r="28" spans="1:3" s="5" customFormat="1" ht="14.25" thickBot="1" thickTop="1">
      <c r="A28" s="100" t="s">
        <v>77</v>
      </c>
      <c r="B28" s="112">
        <v>14.1</v>
      </c>
      <c r="C28" s="101">
        <v>22</v>
      </c>
    </row>
    <row r="29" spans="1:3" s="5" customFormat="1" ht="13.5" thickTop="1">
      <c r="A29" s="102" t="s">
        <v>44</v>
      </c>
      <c r="B29" s="113">
        <v>14.5</v>
      </c>
      <c r="C29" s="103">
        <v>31</v>
      </c>
    </row>
    <row r="30" spans="1:3" ht="15">
      <c r="A30" s="7"/>
      <c r="B30" s="6"/>
      <c r="C30" s="6"/>
    </row>
    <row r="31" spans="1:7" ht="15" customHeight="1">
      <c r="A31" s="62"/>
      <c r="B31" s="62"/>
      <c r="C31" s="62"/>
      <c r="D31" s="62"/>
      <c r="E31" s="62"/>
      <c r="F31" s="62"/>
      <c r="G31" s="62"/>
    </row>
    <row r="32" spans="1:7" ht="17.25" customHeight="1">
      <c r="A32" s="1133" t="s">
        <v>129</v>
      </c>
      <c r="B32" s="1133"/>
      <c r="C32" s="1133"/>
      <c r="D32" s="61"/>
      <c r="E32" s="61"/>
      <c r="F32" s="61"/>
      <c r="G32" s="61"/>
    </row>
    <row r="33" spans="1:7" ht="17.25" customHeight="1">
      <c r="A33" s="1133"/>
      <c r="B33" s="1133"/>
      <c r="C33" s="1133"/>
      <c r="D33" s="61"/>
      <c r="E33" s="61"/>
      <c r="F33" s="61"/>
      <c r="G33" s="61"/>
    </row>
    <row r="34" spans="1:7" ht="15.75" customHeight="1">
      <c r="A34" s="1134"/>
      <c r="B34" s="1134"/>
      <c r="C34" s="1134"/>
      <c r="D34" s="61"/>
      <c r="E34" s="61"/>
      <c r="F34" s="61"/>
      <c r="G34" s="61"/>
    </row>
    <row r="35" spans="1:3" ht="12.75">
      <c r="A35" s="360"/>
      <c r="B35" s="361" t="s">
        <v>80</v>
      </c>
      <c r="C35" s="362" t="s">
        <v>40</v>
      </c>
    </row>
    <row r="36" spans="1:12" ht="12.75">
      <c r="A36" s="363" t="s">
        <v>79</v>
      </c>
      <c r="B36" s="364" t="s">
        <v>34</v>
      </c>
      <c r="C36" s="365" t="s">
        <v>41</v>
      </c>
      <c r="H36" s="401" t="s">
        <v>539</v>
      </c>
      <c r="I36" s="402"/>
      <c r="J36" s="403" t="s">
        <v>540</v>
      </c>
      <c r="K36" s="400"/>
      <c r="L36" s="400"/>
    </row>
    <row r="37" spans="1:12" ht="26.25" thickBot="1">
      <c r="A37" s="366"/>
      <c r="B37" s="368" t="s">
        <v>134</v>
      </c>
      <c r="C37" s="367" t="s">
        <v>81</v>
      </c>
      <c r="H37" s="404" t="s">
        <v>78</v>
      </c>
      <c r="I37" s="405"/>
      <c r="J37" s="406"/>
      <c r="K37" s="346"/>
      <c r="L37" s="346"/>
    </row>
    <row r="38" spans="1:12" ht="13.5" thickTop="1">
      <c r="A38" s="121" t="s">
        <v>534</v>
      </c>
      <c r="B38" s="122">
        <v>12.8</v>
      </c>
      <c r="C38" s="123">
        <v>90</v>
      </c>
      <c r="H38" s="407" t="s">
        <v>534</v>
      </c>
      <c r="I38" s="408"/>
      <c r="J38" s="409">
        <v>0.3</v>
      </c>
      <c r="K38" s="346"/>
      <c r="L38" s="346"/>
    </row>
    <row r="39" spans="1:12" ht="12.75">
      <c r="A39" s="124" t="s">
        <v>155</v>
      </c>
      <c r="B39" s="125">
        <v>7.5</v>
      </c>
      <c r="C39" s="126">
        <v>90</v>
      </c>
      <c r="H39" s="407" t="s">
        <v>155</v>
      </c>
      <c r="I39" s="408"/>
      <c r="J39" s="409">
        <v>0.8</v>
      </c>
      <c r="K39" s="346"/>
      <c r="L39" s="346"/>
    </row>
    <row r="40" spans="1:12" ht="12.75">
      <c r="A40" s="124" t="s">
        <v>168</v>
      </c>
      <c r="B40" s="125">
        <v>4</v>
      </c>
      <c r="C40" s="126">
        <v>90</v>
      </c>
      <c r="H40" s="407" t="s">
        <v>538</v>
      </c>
      <c r="I40" s="408"/>
      <c r="J40" s="409">
        <v>1.6</v>
      </c>
      <c r="K40" s="346"/>
      <c r="L40" s="346"/>
    </row>
    <row r="41" spans="1:12" ht="12.75">
      <c r="A41" s="124" t="s">
        <v>156</v>
      </c>
      <c r="B41" s="127">
        <v>3.3</v>
      </c>
      <c r="C41" s="128">
        <v>91</v>
      </c>
      <c r="H41" s="407" t="s">
        <v>156</v>
      </c>
      <c r="I41" s="408"/>
      <c r="J41" s="409">
        <v>1.1</v>
      </c>
      <c r="K41" s="346"/>
      <c r="L41" s="346"/>
    </row>
    <row r="42" spans="1:12" ht="12.75">
      <c r="A42" s="124" t="s">
        <v>157</v>
      </c>
      <c r="B42" s="125">
        <v>7.2</v>
      </c>
      <c r="C42" s="126">
        <v>90</v>
      </c>
      <c r="H42" s="407" t="s">
        <v>157</v>
      </c>
      <c r="I42" s="408"/>
      <c r="J42" s="409">
        <v>2.7</v>
      </c>
      <c r="K42" s="346"/>
      <c r="L42" s="346"/>
    </row>
    <row r="43" spans="1:12" ht="12.75">
      <c r="A43" s="129" t="s">
        <v>158</v>
      </c>
      <c r="B43" s="130">
        <v>2.5</v>
      </c>
      <c r="C43" s="131">
        <v>91</v>
      </c>
      <c r="H43" s="407" t="s">
        <v>158</v>
      </c>
      <c r="I43" s="408"/>
      <c r="J43" s="409">
        <v>1.4</v>
      </c>
      <c r="K43" s="346"/>
      <c r="L43" s="346"/>
    </row>
    <row r="44" spans="1:12" ht="15">
      <c r="A44" s="8"/>
      <c r="B44" s="6"/>
      <c r="C44" s="6"/>
      <c r="H44" s="411" t="s">
        <v>39</v>
      </c>
      <c r="I44" s="412"/>
      <c r="J44" s="413"/>
      <c r="K44" s="346"/>
      <c r="L44" s="346"/>
    </row>
    <row r="45" spans="1:12" ht="14.25">
      <c r="A45" s="1120" t="s">
        <v>130</v>
      </c>
      <c r="B45" s="1120"/>
      <c r="C45" s="1120"/>
      <c r="D45" s="1120"/>
      <c r="E45" s="1120"/>
      <c r="F45" s="1120"/>
      <c r="G45" s="62"/>
      <c r="H45" s="407" t="s">
        <v>552</v>
      </c>
      <c r="I45" s="408"/>
      <c r="J45" s="409">
        <v>14.5</v>
      </c>
      <c r="K45" s="346"/>
      <c r="L45" s="346"/>
    </row>
    <row r="46" spans="1:12" ht="14.25">
      <c r="A46" s="1120"/>
      <c r="B46" s="1120"/>
      <c r="C46" s="1120"/>
      <c r="D46" s="1120"/>
      <c r="E46" s="1120"/>
      <c r="F46" s="1120"/>
      <c r="G46" s="62"/>
      <c r="H46" s="407" t="s">
        <v>549</v>
      </c>
      <c r="I46" s="408"/>
      <c r="J46" s="409">
        <v>10.4</v>
      </c>
      <c r="K46" s="346"/>
      <c r="L46" s="346"/>
    </row>
    <row r="47" spans="1:12" ht="17.25">
      <c r="A47" s="2" t="s">
        <v>124</v>
      </c>
      <c r="B47"/>
      <c r="C47"/>
      <c r="H47" s="407" t="s">
        <v>551</v>
      </c>
      <c r="I47" s="408"/>
      <c r="J47" s="409">
        <v>5.2</v>
      </c>
      <c r="K47" s="346"/>
      <c r="L47" s="346"/>
    </row>
    <row r="48" spans="1:12" ht="14.25" customHeight="1">
      <c r="A48" s="1127" t="s">
        <v>128</v>
      </c>
      <c r="B48" s="1128"/>
      <c r="C48" s="1129"/>
      <c r="H48" s="407" t="s">
        <v>553</v>
      </c>
      <c r="I48" s="408"/>
      <c r="J48" s="409">
        <v>2.6</v>
      </c>
      <c r="K48" s="346"/>
      <c r="L48" s="346"/>
    </row>
    <row r="49" spans="1:12" ht="14.25" customHeight="1">
      <c r="A49" s="1130"/>
      <c r="B49" s="1131"/>
      <c r="C49" s="1132"/>
      <c r="H49" s="414" t="s">
        <v>554</v>
      </c>
      <c r="I49" s="415"/>
      <c r="J49" s="416">
        <v>1.6</v>
      </c>
      <c r="K49" s="346"/>
      <c r="L49" s="346"/>
    </row>
    <row r="50" spans="1:12" ht="12.75">
      <c r="A50" s="1122" t="s">
        <v>99</v>
      </c>
      <c r="B50" s="55" t="s">
        <v>100</v>
      </c>
      <c r="C50" s="56" t="s">
        <v>101</v>
      </c>
      <c r="H50" s="410" t="s">
        <v>42</v>
      </c>
      <c r="I50" s="408"/>
      <c r="J50" s="409"/>
      <c r="K50" s="346"/>
      <c r="L50" s="346"/>
    </row>
    <row r="51" spans="1:12" ht="12.75">
      <c r="A51" s="1123"/>
      <c r="B51" s="1125" t="s">
        <v>127</v>
      </c>
      <c r="C51" s="1126"/>
      <c r="H51" s="407" t="s">
        <v>548</v>
      </c>
      <c r="I51" s="408"/>
      <c r="J51" s="409">
        <v>8.9</v>
      </c>
      <c r="K51" s="346"/>
      <c r="L51" s="346"/>
    </row>
    <row r="52" spans="1:12" ht="12.75">
      <c r="A52" s="53" t="s">
        <v>102</v>
      </c>
      <c r="B52" s="58">
        <v>4.25</v>
      </c>
      <c r="C52" s="58">
        <v>6.5</v>
      </c>
      <c r="H52" s="407" t="s">
        <v>549</v>
      </c>
      <c r="I52" s="408"/>
      <c r="J52" s="409">
        <v>7.1</v>
      </c>
      <c r="K52" s="346"/>
      <c r="L52" s="346"/>
    </row>
    <row r="53" spans="1:12" ht="12.75">
      <c r="A53" s="53" t="s">
        <v>103</v>
      </c>
      <c r="B53" s="59">
        <v>4</v>
      </c>
      <c r="C53" s="59">
        <v>6</v>
      </c>
      <c r="H53" s="407" t="s">
        <v>550</v>
      </c>
      <c r="I53" s="408"/>
      <c r="J53" s="409">
        <v>5.3</v>
      </c>
      <c r="K53" s="346"/>
      <c r="L53" s="346"/>
    </row>
    <row r="54" spans="1:12" ht="12.75">
      <c r="A54" s="53" t="s">
        <v>104</v>
      </c>
      <c r="B54" s="59">
        <v>2.5</v>
      </c>
      <c r="C54" s="59">
        <v>7</v>
      </c>
      <c r="H54" s="407" t="s">
        <v>551</v>
      </c>
      <c r="I54" s="408"/>
      <c r="J54" s="409">
        <v>3.6</v>
      </c>
      <c r="K54" s="346"/>
      <c r="L54" s="346"/>
    </row>
    <row r="55" spans="1:12" ht="12.75">
      <c r="A55" s="53" t="s">
        <v>105</v>
      </c>
      <c r="B55" s="59">
        <v>9</v>
      </c>
      <c r="C55" s="59"/>
      <c r="H55" s="407" t="s">
        <v>166</v>
      </c>
      <c r="I55" s="408"/>
      <c r="J55" s="409">
        <v>7.5</v>
      </c>
      <c r="K55" s="346"/>
      <c r="L55" s="346"/>
    </row>
    <row r="56" spans="1:12" ht="12.75">
      <c r="A56" s="53" t="s">
        <v>106</v>
      </c>
      <c r="B56" s="59">
        <v>12</v>
      </c>
      <c r="C56" s="59"/>
      <c r="H56" s="346"/>
      <c r="I56" s="346"/>
      <c r="J56" s="346"/>
      <c r="K56" s="346"/>
      <c r="L56" s="346"/>
    </row>
    <row r="57" spans="1:12" ht="12.75">
      <c r="A57" s="53" t="s">
        <v>107</v>
      </c>
      <c r="B57" s="59">
        <v>75</v>
      </c>
      <c r="C57" s="59"/>
      <c r="H57" s="346"/>
      <c r="I57" s="346"/>
      <c r="J57" s="346"/>
      <c r="K57" s="346"/>
      <c r="L57" s="346"/>
    </row>
    <row r="58" spans="1:12" ht="12.75">
      <c r="A58" s="53" t="s">
        <v>108</v>
      </c>
      <c r="B58" s="59">
        <v>105</v>
      </c>
      <c r="C58" s="59"/>
      <c r="H58" s="346"/>
      <c r="I58" s="346"/>
      <c r="J58" s="346"/>
      <c r="K58" s="346"/>
      <c r="L58" s="346"/>
    </row>
    <row r="59" spans="1:12" ht="12.75">
      <c r="A59" s="54" t="s">
        <v>109</v>
      </c>
      <c r="B59" s="60">
        <v>95</v>
      </c>
      <c r="C59" s="60"/>
      <c r="H59" s="346"/>
      <c r="I59" s="346"/>
      <c r="J59" s="346"/>
      <c r="K59" s="346"/>
      <c r="L59" s="346"/>
    </row>
    <row r="60" spans="1:12" ht="12.75">
      <c r="A60"/>
      <c r="B60" s="52"/>
      <c r="C60" s="52"/>
      <c r="H60" s="346"/>
      <c r="I60" s="346"/>
      <c r="J60" s="346"/>
      <c r="K60" s="346"/>
      <c r="L60" s="346"/>
    </row>
    <row r="61" spans="1:7" ht="12.75" customHeight="1">
      <c r="A61" s="1121" t="s">
        <v>135</v>
      </c>
      <c r="B61" s="1121"/>
      <c r="C61" s="1121"/>
      <c r="D61" s="1121"/>
      <c r="E61" s="1121"/>
      <c r="F61" s="1121"/>
      <c r="G61" s="391"/>
    </row>
    <row r="62" spans="1:7" ht="12.75">
      <c r="A62" s="57"/>
      <c r="B62" s="57"/>
      <c r="C62" s="57"/>
      <c r="D62" s="57"/>
      <c r="E62" s="57"/>
      <c r="F62" s="57"/>
      <c r="G62" s="57"/>
    </row>
    <row r="63" spans="1:7" ht="12.75">
      <c r="A63" s="16"/>
      <c r="B63" s="14"/>
      <c r="C63" s="11"/>
      <c r="D63" s="11"/>
      <c r="E63" s="11"/>
      <c r="F63" s="11"/>
      <c r="G63" s="11"/>
    </row>
    <row r="64" spans="1:7" ht="15" customHeight="1">
      <c r="A64" s="1124" t="s">
        <v>133</v>
      </c>
      <c r="B64" s="1124"/>
      <c r="C64" s="1124"/>
      <c r="D64" s="1124"/>
      <c r="E64" s="1124"/>
      <c r="F64" s="1124"/>
      <c r="G64" s="392"/>
    </row>
    <row r="65" spans="1:7" ht="15">
      <c r="A65" s="1124"/>
      <c r="B65" s="1124"/>
      <c r="C65" s="1124"/>
      <c r="D65" s="1124"/>
      <c r="E65" s="1124"/>
      <c r="F65" s="1124"/>
      <c r="G65" s="392"/>
    </row>
    <row r="66" spans="1:7" ht="12.75">
      <c r="A66" s="26"/>
      <c r="B66" s="27" t="s">
        <v>40</v>
      </c>
      <c r="C66" s="27"/>
      <c r="D66" s="27"/>
      <c r="E66" s="27"/>
      <c r="F66" s="28"/>
      <c r="G66" s="14"/>
    </row>
    <row r="67" spans="1:7" ht="15" thickBot="1">
      <c r="A67" s="29" t="s">
        <v>82</v>
      </c>
      <c r="B67" s="30" t="s">
        <v>41</v>
      </c>
      <c r="C67" s="31" t="s">
        <v>54</v>
      </c>
      <c r="D67" s="31" t="s">
        <v>90</v>
      </c>
      <c r="E67" s="31" t="s">
        <v>85</v>
      </c>
      <c r="F67" s="32" t="s">
        <v>84</v>
      </c>
      <c r="G67" s="450"/>
    </row>
    <row r="68" spans="1:7" ht="13.5" thickTop="1">
      <c r="A68" s="33" t="s">
        <v>86</v>
      </c>
      <c r="B68" s="34" t="s">
        <v>83</v>
      </c>
      <c r="C68" s="35" t="s">
        <v>122</v>
      </c>
      <c r="D68" s="34"/>
      <c r="E68" s="34"/>
      <c r="F68" s="36"/>
      <c r="G68" s="14"/>
    </row>
    <row r="69" spans="1:7" ht="12.75">
      <c r="A69" s="19" t="s">
        <v>78</v>
      </c>
      <c r="B69" s="9">
        <v>82</v>
      </c>
      <c r="C69" s="9">
        <v>10</v>
      </c>
      <c r="D69" s="9">
        <v>6</v>
      </c>
      <c r="E69" s="9">
        <v>9</v>
      </c>
      <c r="F69" s="10">
        <v>8</v>
      </c>
      <c r="G69" s="398"/>
    </row>
    <row r="70" spans="1:7" ht="12.75">
      <c r="A70" s="19" t="s">
        <v>42</v>
      </c>
      <c r="B70" s="9">
        <v>32</v>
      </c>
      <c r="C70" s="9">
        <v>23</v>
      </c>
      <c r="D70" s="9">
        <v>7</v>
      </c>
      <c r="E70" s="9">
        <v>24</v>
      </c>
      <c r="F70" s="10">
        <v>41</v>
      </c>
      <c r="G70" s="398"/>
    </row>
    <row r="71" spans="1:7" ht="12.75">
      <c r="A71" s="19" t="s">
        <v>39</v>
      </c>
      <c r="B71" s="9">
        <v>46</v>
      </c>
      <c r="C71" s="9">
        <v>13</v>
      </c>
      <c r="D71" s="9">
        <v>5</v>
      </c>
      <c r="E71" s="9">
        <v>16</v>
      </c>
      <c r="F71" s="10">
        <v>34</v>
      </c>
      <c r="G71" s="398"/>
    </row>
    <row r="72" spans="1:7" ht="12.75">
      <c r="A72" s="19" t="s">
        <v>44</v>
      </c>
      <c r="B72" s="9">
        <v>31</v>
      </c>
      <c r="C72" s="9">
        <v>29</v>
      </c>
      <c r="D72" s="9">
        <v>5</v>
      </c>
      <c r="E72" s="9">
        <v>26</v>
      </c>
      <c r="F72" s="10">
        <v>38</v>
      </c>
      <c r="G72" s="398"/>
    </row>
    <row r="73" spans="1:7" ht="12.75">
      <c r="A73" s="19" t="s">
        <v>87</v>
      </c>
      <c r="B73" s="9">
        <v>55</v>
      </c>
      <c r="C73" s="9">
        <v>33</v>
      </c>
      <c r="D73" s="9">
        <v>26</v>
      </c>
      <c r="E73" s="9">
        <v>48</v>
      </c>
      <c r="F73" s="10">
        <v>34</v>
      </c>
      <c r="G73" s="398"/>
    </row>
    <row r="74" spans="1:7" ht="12.75">
      <c r="A74" s="20" t="s">
        <v>88</v>
      </c>
      <c r="B74" s="9">
        <v>25</v>
      </c>
      <c r="C74" s="17">
        <v>56</v>
      </c>
      <c r="D74" s="17">
        <v>36</v>
      </c>
      <c r="E74" s="17">
        <v>45</v>
      </c>
      <c r="F74" s="18">
        <v>34</v>
      </c>
      <c r="G74" s="14"/>
    </row>
    <row r="75" spans="1:7" ht="12.75">
      <c r="A75" s="19" t="s">
        <v>89</v>
      </c>
      <c r="B75" s="9">
        <v>78</v>
      </c>
      <c r="C75" s="17">
        <v>27</v>
      </c>
      <c r="D75" s="17">
        <v>17</v>
      </c>
      <c r="E75" s="17">
        <v>20</v>
      </c>
      <c r="F75" s="18">
        <v>17</v>
      </c>
      <c r="G75" s="14"/>
    </row>
    <row r="76" spans="1:7" ht="12.75">
      <c r="A76" s="20" t="s">
        <v>88</v>
      </c>
      <c r="B76" s="17">
        <v>71</v>
      </c>
      <c r="C76" s="17">
        <v>20</v>
      </c>
      <c r="D76" s="17">
        <v>13</v>
      </c>
      <c r="E76" s="17">
        <v>16</v>
      </c>
      <c r="F76" s="18">
        <v>13</v>
      </c>
      <c r="G76" s="14"/>
    </row>
    <row r="77" spans="1:7" ht="13.5" thickBot="1">
      <c r="A77" s="38" t="s">
        <v>77</v>
      </c>
      <c r="B77" s="39">
        <v>22</v>
      </c>
      <c r="C77" s="39">
        <v>19</v>
      </c>
      <c r="D77" s="39">
        <v>4</v>
      </c>
      <c r="E77" s="39">
        <v>14</v>
      </c>
      <c r="F77" s="40">
        <v>36</v>
      </c>
      <c r="G77" s="14"/>
    </row>
    <row r="78" spans="1:7" ht="13.5" thickTop="1">
      <c r="A78" s="41" t="s">
        <v>91</v>
      </c>
      <c r="B78" s="42" t="s">
        <v>83</v>
      </c>
      <c r="C78" s="43" t="s">
        <v>123</v>
      </c>
      <c r="D78" s="42"/>
      <c r="E78" s="42"/>
      <c r="F78" s="44"/>
      <c r="G78" s="14"/>
    </row>
    <row r="79" spans="1:7" ht="12.75">
      <c r="A79" s="20" t="s">
        <v>78</v>
      </c>
      <c r="B79" s="17"/>
      <c r="C79" s="23"/>
      <c r="D79" s="23"/>
      <c r="E79" s="23"/>
      <c r="F79" s="24"/>
      <c r="G79" s="399"/>
    </row>
    <row r="80" spans="1:7" ht="12.75">
      <c r="A80" s="389" t="s">
        <v>529</v>
      </c>
      <c r="B80" s="17">
        <v>96</v>
      </c>
      <c r="C80" s="23">
        <v>36</v>
      </c>
      <c r="D80" s="23">
        <v>26</v>
      </c>
      <c r="E80" s="23">
        <v>27</v>
      </c>
      <c r="F80" s="24">
        <v>22</v>
      </c>
      <c r="G80" s="399"/>
    </row>
    <row r="81" spans="1:7" ht="12.75">
      <c r="A81" s="389" t="s">
        <v>536</v>
      </c>
      <c r="B81" s="17">
        <v>99</v>
      </c>
      <c r="C81" s="23">
        <v>7</v>
      </c>
      <c r="D81" s="23">
        <v>6</v>
      </c>
      <c r="E81" s="23">
        <v>2</v>
      </c>
      <c r="F81" s="24">
        <v>7</v>
      </c>
      <c r="G81" s="399"/>
    </row>
    <row r="82" spans="1:7" ht="12.75">
      <c r="A82" s="389" t="s">
        <v>537</v>
      </c>
      <c r="B82" s="17">
        <v>99</v>
      </c>
      <c r="C82" s="23">
        <v>4</v>
      </c>
      <c r="D82" s="23">
        <v>3</v>
      </c>
      <c r="E82" s="23">
        <v>2</v>
      </c>
      <c r="F82" s="24">
        <v>7</v>
      </c>
      <c r="G82" s="399"/>
    </row>
    <row r="83" spans="1:7" ht="12.75">
      <c r="A83" s="20" t="s">
        <v>42</v>
      </c>
      <c r="B83" s="17"/>
      <c r="C83" s="23"/>
      <c r="D83" s="23"/>
      <c r="E83" s="17"/>
      <c r="F83" s="18"/>
      <c r="G83" s="14"/>
    </row>
    <row r="84" spans="1:7" ht="12.75">
      <c r="A84" s="389" t="s">
        <v>530</v>
      </c>
      <c r="B84" s="17">
        <v>99</v>
      </c>
      <c r="C84" s="23">
        <v>2</v>
      </c>
      <c r="D84" s="23">
        <v>1.5</v>
      </c>
      <c r="E84" s="17"/>
      <c r="F84" s="18">
        <v>9</v>
      </c>
      <c r="G84" s="14"/>
    </row>
    <row r="85" spans="1:7" ht="12.75">
      <c r="A85" s="20" t="s">
        <v>39</v>
      </c>
      <c r="B85" s="17"/>
      <c r="C85" s="23"/>
      <c r="D85" s="23"/>
      <c r="E85" s="17"/>
      <c r="F85" s="18"/>
      <c r="G85" s="14"/>
    </row>
    <row r="86" spans="1:7" ht="12.75">
      <c r="A86" s="389" t="s">
        <v>530</v>
      </c>
      <c r="B86" s="17">
        <v>99</v>
      </c>
      <c r="C86" s="23">
        <v>2</v>
      </c>
      <c r="D86" s="23">
        <v>1.5</v>
      </c>
      <c r="E86" s="17"/>
      <c r="F86" s="18">
        <v>9</v>
      </c>
      <c r="G86" s="14"/>
    </row>
    <row r="87" spans="1:7" ht="12.75">
      <c r="A87" s="20" t="s">
        <v>112</v>
      </c>
      <c r="B87" s="17"/>
      <c r="C87" s="23"/>
      <c r="D87" s="23"/>
      <c r="E87" s="17"/>
      <c r="F87" s="18"/>
      <c r="G87" s="14"/>
    </row>
    <row r="88" spans="1:7" ht="12.75">
      <c r="A88" s="389" t="s">
        <v>526</v>
      </c>
      <c r="B88" s="17">
        <v>99.7</v>
      </c>
      <c r="C88" s="23">
        <v>0.5</v>
      </c>
      <c r="D88" s="23" t="s">
        <v>113</v>
      </c>
      <c r="E88" s="17">
        <v>1</v>
      </c>
      <c r="F88" s="18">
        <v>1</v>
      </c>
      <c r="G88" s="14"/>
    </row>
    <row r="89" spans="1:7" ht="12.75">
      <c r="A89" s="389" t="s">
        <v>527</v>
      </c>
      <c r="B89" s="17">
        <v>99.4</v>
      </c>
      <c r="C89" s="23">
        <v>1</v>
      </c>
      <c r="D89" s="23" t="s">
        <v>113</v>
      </c>
      <c r="E89" s="17">
        <v>2</v>
      </c>
      <c r="F89" s="18">
        <v>2</v>
      </c>
      <c r="G89" s="14"/>
    </row>
    <row r="90" spans="1:7" ht="12.75">
      <c r="A90" s="390" t="s">
        <v>528</v>
      </c>
      <c r="B90" s="21">
        <v>98.5</v>
      </c>
      <c r="C90" s="25">
        <v>5</v>
      </c>
      <c r="D90" s="25" t="s">
        <v>113</v>
      </c>
      <c r="E90" s="21">
        <v>2</v>
      </c>
      <c r="F90" s="37">
        <v>3</v>
      </c>
      <c r="G90" s="14"/>
    </row>
    <row r="91" spans="1:7" ht="12.75">
      <c r="A91" s="13" t="s">
        <v>92</v>
      </c>
      <c r="B91" s="14"/>
      <c r="C91" s="12"/>
      <c r="D91" s="12"/>
      <c r="E91" s="12"/>
      <c r="F91" s="12"/>
      <c r="G91" s="12"/>
    </row>
    <row r="92" spans="1:7" ht="12.75">
      <c r="A92" s="13" t="s">
        <v>97</v>
      </c>
      <c r="B92" s="14"/>
      <c r="C92" s="12"/>
      <c r="D92" s="12"/>
      <c r="E92" s="12"/>
      <c r="F92" s="12"/>
      <c r="G92" s="12"/>
    </row>
    <row r="93" spans="1:7" ht="12.75">
      <c r="A93" s="13" t="s">
        <v>98</v>
      </c>
      <c r="B93" s="14"/>
      <c r="C93" s="12"/>
      <c r="D93" s="12"/>
      <c r="E93" s="12"/>
      <c r="F93" s="12"/>
      <c r="G93" s="12"/>
    </row>
    <row r="94" spans="1:7" ht="12.75">
      <c r="A94" s="13" t="s">
        <v>93</v>
      </c>
      <c r="B94" s="14"/>
      <c r="C94" s="12"/>
      <c r="D94" s="12"/>
      <c r="E94" s="12"/>
      <c r="F94" s="12"/>
      <c r="G94" s="12"/>
    </row>
    <row r="95" spans="1:7" ht="12.75">
      <c r="A95" s="13" t="s">
        <v>94</v>
      </c>
      <c r="B95" s="14"/>
      <c r="C95" s="12"/>
      <c r="D95" s="12"/>
      <c r="E95" s="12"/>
      <c r="F95" s="12"/>
      <c r="G95" s="12"/>
    </row>
    <row r="96" spans="1:7" ht="12.75">
      <c r="A96" s="15"/>
      <c r="B96" s="14"/>
      <c r="C96" s="12"/>
      <c r="D96" s="12"/>
      <c r="E96" s="12"/>
      <c r="F96" s="12"/>
      <c r="G96" s="12"/>
    </row>
    <row r="97" spans="1:7" ht="12.75">
      <c r="A97" s="22" t="s">
        <v>95</v>
      </c>
      <c r="B97" s="12"/>
      <c r="C97" s="12"/>
      <c r="D97" s="12"/>
      <c r="E97" s="12"/>
      <c r="F97" s="12"/>
      <c r="G97" s="12"/>
    </row>
    <row r="98" spans="1:7" ht="12.75">
      <c r="A98" s="12" t="s">
        <v>96</v>
      </c>
      <c r="B98" s="12"/>
      <c r="C98" s="12"/>
      <c r="D98" s="12"/>
      <c r="E98" s="12"/>
      <c r="F98" s="12"/>
      <c r="G98" s="12"/>
    </row>
  </sheetData>
  <mergeCells count="11">
    <mergeCell ref="A1:C2"/>
    <mergeCell ref="A32:C34"/>
    <mergeCell ref="A3:A5"/>
    <mergeCell ref="B3:B4"/>
    <mergeCell ref="C3:C4"/>
    <mergeCell ref="A45:F46"/>
    <mergeCell ref="A61:F61"/>
    <mergeCell ref="A50:A51"/>
    <mergeCell ref="A64:F65"/>
    <mergeCell ref="B51:C51"/>
    <mergeCell ref="A48:C49"/>
  </mergeCells>
  <printOptions/>
  <pageMargins left="1" right="0.25" top="0.75" bottom="0.75" header="0.5" footer="0.5"/>
  <pageSetup horizontalDpi="600" verticalDpi="600" orientation="portrait" r:id="rId1"/>
  <headerFooter alignWithMargins="0">
    <oddHeader>&amp;RManure and Wastewater Handling and Storage</oddHeader>
    <oddFooter>&amp;LFOTG, Section I
CNMP Workbook&amp;RNRCS, CO
March 2005</oddFooter>
  </headerFooter>
  <rowBreaks count="1" manualBreakCount="1">
    <brk id="46" max="5" man="1"/>
  </rowBreaks>
</worksheet>
</file>

<file path=xl/worksheets/sheet6.xml><?xml version="1.0" encoding="utf-8"?>
<worksheet xmlns="http://schemas.openxmlformats.org/spreadsheetml/2006/main" xmlns:r="http://schemas.openxmlformats.org/officeDocument/2006/relationships">
  <sheetPr>
    <tabColor indexed="41"/>
  </sheetPr>
  <dimension ref="A1:AB128"/>
  <sheetViews>
    <sheetView workbookViewId="0" topLeftCell="A1">
      <selection activeCell="I4" sqref="I4:J4"/>
    </sheetView>
  </sheetViews>
  <sheetFormatPr defaultColWidth="9.140625" defaultRowHeight="12.75"/>
  <cols>
    <col min="1" max="1" width="3.7109375" style="46" customWidth="1"/>
    <col min="2" max="2" width="12.7109375" style="46" customWidth="1"/>
    <col min="3" max="3" width="6.8515625" style="46" customWidth="1"/>
    <col min="4" max="4" width="9.140625" style="46" customWidth="1"/>
    <col min="5" max="5" width="5.7109375" style="46" customWidth="1"/>
    <col min="6" max="6" width="9.140625" style="46" customWidth="1"/>
    <col min="7" max="7" width="6.7109375" style="46" customWidth="1"/>
    <col min="8" max="8" width="9.140625" style="46" customWidth="1"/>
    <col min="9" max="9" width="8.7109375" style="46" customWidth="1"/>
    <col min="10" max="18" width="9.140625" style="46" customWidth="1"/>
    <col min="19" max="19" width="9.140625" style="46" hidden="1" customWidth="1"/>
    <col min="20" max="20" width="14.7109375" style="46" hidden="1" customWidth="1"/>
    <col min="21" max="21" width="11.7109375" style="46" hidden="1" customWidth="1"/>
    <col min="22" max="29" width="9.140625" style="46" hidden="1" customWidth="1"/>
    <col min="30" max="16384" width="9.140625" style="46" customWidth="1"/>
  </cols>
  <sheetData>
    <row r="1" spans="1:11" ht="15.75">
      <c r="A1" s="1012" t="s">
        <v>178</v>
      </c>
      <c r="B1" s="997"/>
      <c r="C1" s="997"/>
      <c r="D1" s="997"/>
      <c r="E1" s="997"/>
      <c r="F1" s="997"/>
      <c r="G1" s="997"/>
      <c r="H1" s="997"/>
      <c r="I1" s="995"/>
      <c r="J1" s="995"/>
      <c r="K1" s="213" t="s">
        <v>68</v>
      </c>
    </row>
    <row r="2" spans="1:11" ht="8.25" customHeight="1">
      <c r="A2" s="210"/>
      <c r="B2" s="211"/>
      <c r="C2" s="212"/>
      <c r="D2" s="212"/>
      <c r="E2" s="212"/>
      <c r="F2" s="212"/>
      <c r="G2" s="212"/>
      <c r="H2" s="212"/>
      <c r="I2" s="212"/>
      <c r="J2" s="212"/>
      <c r="K2" s="212"/>
    </row>
    <row r="3" spans="1:21" ht="11.25" customHeight="1">
      <c r="A3" s="210"/>
      <c r="B3" s="211"/>
      <c r="C3" s="212"/>
      <c r="D3" s="212"/>
      <c r="E3" s="212"/>
      <c r="F3" s="212"/>
      <c r="G3" s="212"/>
      <c r="H3" s="212"/>
      <c r="I3" s="212"/>
      <c r="J3" s="212"/>
      <c r="K3" s="212"/>
      <c r="T3" s="418" t="s">
        <v>231</v>
      </c>
      <c r="U3" s="418" t="s">
        <v>441</v>
      </c>
    </row>
    <row r="4" spans="1:21" ht="15" customHeight="1">
      <c r="A4" s="210"/>
      <c r="B4" s="382" t="s">
        <v>179</v>
      </c>
      <c r="C4" s="1141">
        <f>IF('Basic Info'!F10="","",'Basic Info'!F10)</f>
      </c>
      <c r="D4" s="1141"/>
      <c r="E4" s="1141"/>
      <c r="F4" s="1141"/>
      <c r="G4" s="212"/>
      <c r="H4" s="383" t="s">
        <v>440</v>
      </c>
      <c r="I4" s="1142"/>
      <c r="J4" s="1142"/>
      <c r="K4" s="215"/>
      <c r="T4" s="419"/>
      <c r="U4" s="420"/>
    </row>
    <row r="5" spans="1:28" ht="12" customHeight="1">
      <c r="A5" s="210"/>
      <c r="B5" s="212"/>
      <c r="C5" s="216"/>
      <c r="D5" s="215"/>
      <c r="E5" s="215"/>
      <c r="F5" s="215"/>
      <c r="G5" s="215"/>
      <c r="H5" s="215"/>
      <c r="I5" s="215"/>
      <c r="J5" s="215"/>
      <c r="K5" s="215"/>
      <c r="T5" s="419" t="e">
        <f>VLOOKUP($I$4,$U$5:$AB$71,2,FALSE)</f>
        <v>#N/A</v>
      </c>
      <c r="U5" s="333" t="s">
        <v>234</v>
      </c>
      <c r="V5" s="421" t="s">
        <v>234</v>
      </c>
      <c r="W5" s="422"/>
      <c r="X5" s="422"/>
      <c r="Y5" s="422"/>
      <c r="Z5" s="422"/>
      <c r="AA5" s="423"/>
      <c r="AB5" s="424"/>
    </row>
    <row r="6" spans="1:28" ht="15" customHeight="1">
      <c r="A6" s="210"/>
      <c r="B6" s="382" t="s">
        <v>52</v>
      </c>
      <c r="C6" s="1141">
        <f>IF('Basic Info'!E4="","",'Basic Info'!E4)</f>
      </c>
      <c r="D6" s="1141"/>
      <c r="E6" s="1141"/>
      <c r="F6" s="425"/>
      <c r="G6" s="212"/>
      <c r="H6" s="382" t="s">
        <v>439</v>
      </c>
      <c r="I6" s="1142"/>
      <c r="J6" s="1142"/>
      <c r="K6" s="212"/>
      <c r="T6" s="419" t="e">
        <f>VLOOKUP($I$4,$U$5:$AB$71,3,FALSE)</f>
        <v>#N/A</v>
      </c>
      <c r="U6" s="426" t="s">
        <v>235</v>
      </c>
      <c r="V6" s="427" t="s">
        <v>236</v>
      </c>
      <c r="W6" s="428" t="s">
        <v>237</v>
      </c>
      <c r="X6" s="428"/>
      <c r="Y6" s="428"/>
      <c r="Z6" s="428"/>
      <c r="AA6" s="429"/>
      <c r="AB6" s="430"/>
    </row>
    <row r="7" spans="1:28" s="432" customFormat="1" ht="12" customHeight="1">
      <c r="A7" s="210"/>
      <c r="B7" s="213"/>
      <c r="C7" s="431"/>
      <c r="D7" s="431"/>
      <c r="E7" s="213"/>
      <c r="F7" s="425"/>
      <c r="G7" s="212"/>
      <c r="H7" s="212"/>
      <c r="I7" s="213"/>
      <c r="J7" s="431"/>
      <c r="K7" s="212"/>
      <c r="T7" s="419" t="e">
        <f>VLOOKUP($I$4,$U$5:$AB$71,4,FALSE)</f>
        <v>#N/A</v>
      </c>
      <c r="U7" s="426" t="s">
        <v>238</v>
      </c>
      <c r="V7" s="427" t="s">
        <v>442</v>
      </c>
      <c r="W7" s="428"/>
      <c r="X7" s="428"/>
      <c r="Y7" s="428"/>
      <c r="Z7" s="428"/>
      <c r="AA7" s="429"/>
      <c r="AB7" s="430"/>
    </row>
    <row r="8" spans="1:28" ht="15" customHeight="1">
      <c r="A8" s="210"/>
      <c r="B8" s="116" t="s">
        <v>173</v>
      </c>
      <c r="C8" s="1143">
        <f>IF('Basic Info'!K4="","",'Basic Info'!K4)</f>
      </c>
      <c r="D8" s="1141"/>
      <c r="E8" s="1141"/>
      <c r="F8" s="425"/>
      <c r="G8" s="382" t="s">
        <v>57</v>
      </c>
      <c r="H8" s="1146"/>
      <c r="I8" s="1146"/>
      <c r="J8" s="1146"/>
      <c r="K8" s="212"/>
      <c r="T8" s="419" t="e">
        <f>VLOOKUP($I$4,$U$5:$AB$71,5,FALSE)</f>
        <v>#N/A</v>
      </c>
      <c r="U8" s="426" t="s">
        <v>239</v>
      </c>
      <c r="V8" s="427" t="s">
        <v>240</v>
      </c>
      <c r="W8" s="428" t="s">
        <v>241</v>
      </c>
      <c r="X8" s="428"/>
      <c r="Y8" s="428"/>
      <c r="Z8" s="428"/>
      <c r="AA8" s="429"/>
      <c r="AB8" s="430"/>
    </row>
    <row r="9" spans="1:28" ht="12" customHeight="1" thickBot="1">
      <c r="A9" s="210"/>
      <c r="B9" s="215"/>
      <c r="C9" s="217"/>
      <c r="D9" s="217"/>
      <c r="E9" s="217"/>
      <c r="F9" s="217"/>
      <c r="G9" s="217"/>
      <c r="H9" s="217"/>
      <c r="I9" s="217"/>
      <c r="J9" s="217"/>
      <c r="K9" s="217"/>
      <c r="T9" s="419" t="e">
        <f>VLOOKUP($I$4,$U$5:$AB$71,6,FALSE)</f>
        <v>#N/A</v>
      </c>
      <c r="U9" s="426" t="s">
        <v>242</v>
      </c>
      <c r="V9" s="427" t="s">
        <v>243</v>
      </c>
      <c r="W9" s="428" t="s">
        <v>244</v>
      </c>
      <c r="X9" s="428" t="s">
        <v>245</v>
      </c>
      <c r="Y9" s="428"/>
      <c r="Z9" s="428"/>
      <c r="AA9" s="429"/>
      <c r="AB9" s="430"/>
    </row>
    <row r="10" spans="1:28" ht="13.5" thickTop="1">
      <c r="A10" s="218"/>
      <c r="B10" s="219" t="s">
        <v>180</v>
      </c>
      <c r="C10" s="220"/>
      <c r="D10" s="220"/>
      <c r="E10" s="220"/>
      <c r="F10" s="220"/>
      <c r="G10" s="220"/>
      <c r="H10" s="220"/>
      <c r="I10" s="220"/>
      <c r="J10" s="221"/>
      <c r="K10" s="212"/>
      <c r="T10" s="419" t="e">
        <f>VLOOKUP($I$4,$U$5:$AB$71,7,FALSE)</f>
        <v>#N/A</v>
      </c>
      <c r="U10" s="426" t="s">
        <v>246</v>
      </c>
      <c r="V10" s="427" t="s">
        <v>247</v>
      </c>
      <c r="W10" s="428" t="s">
        <v>248</v>
      </c>
      <c r="X10" s="428"/>
      <c r="Y10" s="428"/>
      <c r="Z10" s="428"/>
      <c r="AA10" s="429"/>
      <c r="AB10" s="430"/>
    </row>
    <row r="11" spans="1:28" ht="9" customHeight="1">
      <c r="A11" s="210"/>
      <c r="B11" s="216"/>
      <c r="C11" s="215"/>
      <c r="D11" s="215"/>
      <c r="E11" s="215"/>
      <c r="F11" s="222"/>
      <c r="G11" s="222"/>
      <c r="H11" s="222"/>
      <c r="I11" s="222"/>
      <c r="J11" s="212"/>
      <c r="K11" s="212"/>
      <c r="T11" s="433" t="e">
        <f>VLOOKUP($I$4,$U$5:$AB$71,8,FALSE)</f>
        <v>#N/A</v>
      </c>
      <c r="U11" s="426" t="s">
        <v>249</v>
      </c>
      <c r="V11" s="427" t="s">
        <v>250</v>
      </c>
      <c r="W11" s="428" t="s">
        <v>249</v>
      </c>
      <c r="X11" s="428" t="s">
        <v>251</v>
      </c>
      <c r="Y11" s="428"/>
      <c r="Z11" s="428"/>
      <c r="AA11" s="429"/>
      <c r="AB11" s="430"/>
    </row>
    <row r="12" spans="1:28" ht="15" customHeight="1">
      <c r="A12" s="210"/>
      <c r="B12" s="215"/>
      <c r="C12" s="223" t="s">
        <v>181</v>
      </c>
      <c r="D12" s="442">
        <f>IF(I6="","",VLOOKUP(I6,'Table 1. Climate'!B6:C123,2,FALSE))</f>
      </c>
      <c r="E12" s="222" t="s">
        <v>182</v>
      </c>
      <c r="F12" s="215"/>
      <c r="G12" s="215"/>
      <c r="H12" s="223" t="s">
        <v>183</v>
      </c>
      <c r="I12" s="442">
        <f>IF(I6="","",VLOOKUP(I6,'Table 1. Climate'!B6:G123,6,FALSE))</f>
      </c>
      <c r="J12" s="222" t="s">
        <v>182</v>
      </c>
      <c r="K12" s="212"/>
      <c r="T12" s="434"/>
      <c r="U12" s="332" t="s">
        <v>252</v>
      </c>
      <c r="V12" s="427" t="s">
        <v>253</v>
      </c>
      <c r="W12" s="428" t="s">
        <v>254</v>
      </c>
      <c r="X12" s="428"/>
      <c r="Y12" s="428"/>
      <c r="Z12" s="428"/>
      <c r="AA12" s="429"/>
      <c r="AB12" s="430"/>
    </row>
    <row r="13" spans="1:28" ht="12" customHeight="1" thickBot="1">
      <c r="A13" s="210"/>
      <c r="B13" s="217"/>
      <c r="C13" s="224"/>
      <c r="D13" s="217"/>
      <c r="E13" s="225"/>
      <c r="F13" s="217"/>
      <c r="G13" s="217"/>
      <c r="H13" s="224"/>
      <c r="I13" s="217"/>
      <c r="J13" s="225"/>
      <c r="K13" s="217"/>
      <c r="T13" s="434"/>
      <c r="U13" s="332" t="s">
        <v>255</v>
      </c>
      <c r="V13" s="427" t="s">
        <v>256</v>
      </c>
      <c r="W13" s="428" t="s">
        <v>257</v>
      </c>
      <c r="X13" s="428"/>
      <c r="Y13" s="428"/>
      <c r="Z13" s="428"/>
      <c r="AA13" s="429"/>
      <c r="AB13" s="430"/>
    </row>
    <row r="14" spans="1:28" ht="9" customHeight="1" thickTop="1">
      <c r="A14" s="218"/>
      <c r="B14" s="216"/>
      <c r="C14" s="226"/>
      <c r="D14" s="215"/>
      <c r="E14" s="215"/>
      <c r="F14" s="222"/>
      <c r="G14" s="222"/>
      <c r="H14" s="222"/>
      <c r="I14" s="222"/>
      <c r="J14" s="212"/>
      <c r="K14" s="212"/>
      <c r="U14" s="426" t="s">
        <v>258</v>
      </c>
      <c r="V14" s="427" t="s">
        <v>259</v>
      </c>
      <c r="W14" s="428"/>
      <c r="X14" s="428"/>
      <c r="Y14" s="428"/>
      <c r="Z14" s="428"/>
      <c r="AA14" s="429"/>
      <c r="AB14" s="430"/>
    </row>
    <row r="15" spans="1:28" ht="15" customHeight="1">
      <c r="A15" s="227"/>
      <c r="B15" s="215"/>
      <c r="C15" s="214" t="s">
        <v>184</v>
      </c>
      <c r="D15" s="442">
        <f>IF(D12&gt;0,D12,"")</f>
      </c>
      <c r="E15" s="228" t="s">
        <v>185</v>
      </c>
      <c r="F15" s="442">
        <f>IF(I12&gt;0,I12,"")</f>
      </c>
      <c r="G15" s="229" t="s">
        <v>186</v>
      </c>
      <c r="H15" s="443">
        <f>IF('Basic Info'!G49="","",'Basic Info'!G49)</f>
      </c>
      <c r="I15" s="230" t="s">
        <v>187</v>
      </c>
      <c r="J15" s="443">
        <f>IF(H15="","",(D15+F15)*H15/12)</f>
      </c>
      <c r="K15" s="212"/>
      <c r="U15" s="333" t="s">
        <v>260</v>
      </c>
      <c r="V15" s="427" t="s">
        <v>260</v>
      </c>
      <c r="W15" s="428"/>
      <c r="X15" s="428"/>
      <c r="Y15" s="428"/>
      <c r="Z15" s="428"/>
      <c r="AA15" s="429"/>
      <c r="AB15" s="430"/>
    </row>
    <row r="16" spans="1:28" ht="12.75">
      <c r="A16" s="231"/>
      <c r="B16" s="232" t="s">
        <v>188</v>
      </c>
      <c r="C16" s="233"/>
      <c r="D16" s="234" t="s">
        <v>189</v>
      </c>
      <c r="E16" s="228"/>
      <c r="F16" s="234" t="s">
        <v>190</v>
      </c>
      <c r="G16" s="235"/>
      <c r="H16" s="236" t="s">
        <v>191</v>
      </c>
      <c r="I16" s="237"/>
      <c r="J16" s="238" t="s">
        <v>192</v>
      </c>
      <c r="K16" s="233"/>
      <c r="U16" s="426" t="s">
        <v>261</v>
      </c>
      <c r="V16" s="427" t="s">
        <v>262</v>
      </c>
      <c r="W16" s="428" t="s">
        <v>263</v>
      </c>
      <c r="X16" s="428"/>
      <c r="Y16" s="428"/>
      <c r="Z16" s="428"/>
      <c r="AA16" s="429"/>
      <c r="AB16" s="430"/>
    </row>
    <row r="17" spans="1:28" ht="12.75">
      <c r="A17" s="231"/>
      <c r="B17" s="231"/>
      <c r="C17" s="239"/>
      <c r="D17" s="234" t="s">
        <v>193</v>
      </c>
      <c r="E17" s="228"/>
      <c r="F17" s="240" t="s">
        <v>193</v>
      </c>
      <c r="G17" s="235"/>
      <c r="H17" s="236" t="s">
        <v>194</v>
      </c>
      <c r="I17" s="237"/>
      <c r="J17" s="241" t="s">
        <v>195</v>
      </c>
      <c r="K17" s="231"/>
      <c r="U17" s="333" t="s">
        <v>264</v>
      </c>
      <c r="V17" s="427" t="s">
        <v>265</v>
      </c>
      <c r="W17" s="428"/>
      <c r="X17" s="428"/>
      <c r="Y17" s="428"/>
      <c r="Z17" s="428"/>
      <c r="AA17" s="429"/>
      <c r="AB17" s="430"/>
    </row>
    <row r="18" spans="1:28" ht="7.5" customHeight="1">
      <c r="A18" s="227"/>
      <c r="B18" s="215"/>
      <c r="C18" s="242"/>
      <c r="D18" s="243"/>
      <c r="E18" s="244"/>
      <c r="F18" s="245"/>
      <c r="G18" s="229"/>
      <c r="H18" s="242"/>
      <c r="I18" s="246"/>
      <c r="J18" s="247"/>
      <c r="K18" s="215"/>
      <c r="U18" s="333" t="s">
        <v>266</v>
      </c>
      <c r="V18" s="427" t="s">
        <v>267</v>
      </c>
      <c r="W18" s="428"/>
      <c r="X18" s="428"/>
      <c r="Y18" s="428"/>
      <c r="Z18" s="428"/>
      <c r="AA18" s="429"/>
      <c r="AB18" s="430"/>
    </row>
    <row r="19" spans="1:28" ht="15" customHeight="1">
      <c r="A19" s="227"/>
      <c r="B19" s="215"/>
      <c r="C19" s="214" t="s">
        <v>196</v>
      </c>
      <c r="D19" s="442">
        <f>IF(C21="","",D12*C21/100)</f>
      </c>
      <c r="E19" s="228" t="s">
        <v>185</v>
      </c>
      <c r="F19" s="444">
        <f>IF(I12="","",(I12-0.06)^2/(I12+0.25))</f>
      </c>
      <c r="G19" s="229" t="s">
        <v>186</v>
      </c>
      <c r="H19" s="443">
        <f>IF('Basic Info'!G50="","",'Basic Info'!G50)</f>
      </c>
      <c r="I19" s="230" t="s">
        <v>187</v>
      </c>
      <c r="J19" s="443">
        <f>IF(H19="","",(D19+F19)*H19/12)</f>
      </c>
      <c r="K19" s="215"/>
      <c r="U19" s="426" t="s">
        <v>268</v>
      </c>
      <c r="V19" s="427" t="s">
        <v>269</v>
      </c>
      <c r="W19" s="428" t="s">
        <v>268</v>
      </c>
      <c r="X19" s="428"/>
      <c r="Y19" s="428"/>
      <c r="Z19" s="428"/>
      <c r="AA19" s="429"/>
      <c r="AB19" s="430"/>
    </row>
    <row r="20" spans="1:28" ht="12.75">
      <c r="A20" s="215"/>
      <c r="B20" s="232" t="s">
        <v>188</v>
      </c>
      <c r="C20" s="233"/>
      <c r="D20" s="234" t="s">
        <v>189</v>
      </c>
      <c r="E20" s="228"/>
      <c r="F20" s="248" t="s">
        <v>190</v>
      </c>
      <c r="G20" s="239"/>
      <c r="H20" s="248" t="s">
        <v>197</v>
      </c>
      <c r="I20" s="237"/>
      <c r="J20" s="238" t="s">
        <v>192</v>
      </c>
      <c r="K20" s="215"/>
      <c r="U20" s="426" t="s">
        <v>270</v>
      </c>
      <c r="V20" s="427" t="s">
        <v>271</v>
      </c>
      <c r="W20" s="428"/>
      <c r="X20" s="428"/>
      <c r="Y20" s="428"/>
      <c r="Z20" s="428"/>
      <c r="AA20" s="429"/>
      <c r="AB20" s="430"/>
    </row>
    <row r="21" spans="1:28" ht="13.5" customHeight="1">
      <c r="A21" s="227"/>
      <c r="B21" s="249" t="s">
        <v>198</v>
      </c>
      <c r="C21" s="445">
        <f>IF($I$6="","",VLOOKUP($I$6,'Table 1. Climate'!$B$6:$F$123,4,FALSE)*100)</f>
      </c>
      <c r="D21" s="234" t="s">
        <v>188</v>
      </c>
      <c r="E21" s="228"/>
      <c r="F21" s="250" t="s">
        <v>188</v>
      </c>
      <c r="G21" s="239"/>
      <c r="H21" s="236" t="s">
        <v>194</v>
      </c>
      <c r="I21" s="237"/>
      <c r="J21" s="241" t="s">
        <v>195</v>
      </c>
      <c r="K21" s="215"/>
      <c r="U21" s="426" t="s">
        <v>272</v>
      </c>
      <c r="V21" s="427" t="s">
        <v>273</v>
      </c>
      <c r="W21" s="428"/>
      <c r="X21" s="428"/>
      <c r="Y21" s="428"/>
      <c r="Z21" s="428"/>
      <c r="AA21" s="429"/>
      <c r="AB21" s="430"/>
    </row>
    <row r="22" spans="1:28" ht="7.5" customHeight="1">
      <c r="A22" s="227"/>
      <c r="B22" s="215"/>
      <c r="C22" s="242"/>
      <c r="D22" s="243"/>
      <c r="E22" s="244"/>
      <c r="F22" s="251"/>
      <c r="G22" s="242"/>
      <c r="H22" s="251"/>
      <c r="I22" s="246"/>
      <c r="J22" s="247"/>
      <c r="K22" s="215"/>
      <c r="U22" s="426" t="s">
        <v>274</v>
      </c>
      <c r="V22" s="427" t="s">
        <v>275</v>
      </c>
      <c r="W22" s="428" t="s">
        <v>274</v>
      </c>
      <c r="X22" s="428"/>
      <c r="Y22" s="428"/>
      <c r="Z22" s="428"/>
      <c r="AA22" s="429"/>
      <c r="AB22" s="430"/>
    </row>
    <row r="23" spans="1:28" ht="15" customHeight="1">
      <c r="A23" s="227"/>
      <c r="B23" s="215"/>
      <c r="C23" s="214" t="s">
        <v>199</v>
      </c>
      <c r="D23" s="442">
        <f>IF(C25="","",D12*C25/100)</f>
      </c>
      <c r="E23" s="228" t="s">
        <v>185</v>
      </c>
      <c r="F23" s="444">
        <f>IF(I12="","",(I12-0.22)^2/(I12+0.89))</f>
      </c>
      <c r="G23" s="229" t="s">
        <v>200</v>
      </c>
      <c r="H23" s="443">
        <f>IF('Basic Info'!G51="","",'Basic Info'!G51)</f>
      </c>
      <c r="I23" s="230" t="s">
        <v>201</v>
      </c>
      <c r="J23" s="443">
        <f>IF(H23="","",(D23+F23)*H23*3630)</f>
      </c>
      <c r="K23" s="215"/>
      <c r="U23" s="426" t="s">
        <v>276</v>
      </c>
      <c r="V23" s="427" t="s">
        <v>277</v>
      </c>
      <c r="W23" s="428"/>
      <c r="X23" s="428"/>
      <c r="Y23" s="428"/>
      <c r="Z23" s="428"/>
      <c r="AA23" s="429"/>
      <c r="AB23" s="430"/>
    </row>
    <row r="24" spans="1:28" ht="12.75">
      <c r="A24" s="215"/>
      <c r="B24" s="232" t="s">
        <v>188</v>
      </c>
      <c r="C24" s="233"/>
      <c r="D24" s="236" t="s">
        <v>189</v>
      </c>
      <c r="E24" s="235"/>
      <c r="F24" s="236" t="s">
        <v>190</v>
      </c>
      <c r="G24" s="239"/>
      <c r="H24" s="236" t="s">
        <v>197</v>
      </c>
      <c r="I24" s="237"/>
      <c r="J24" s="238" t="s">
        <v>192</v>
      </c>
      <c r="K24" s="215"/>
      <c r="U24" s="333" t="s">
        <v>278</v>
      </c>
      <c r="V24" s="427" t="s">
        <v>279</v>
      </c>
      <c r="W24" s="428"/>
      <c r="X24" s="428"/>
      <c r="Y24" s="428"/>
      <c r="Z24" s="428"/>
      <c r="AA24" s="429"/>
      <c r="AB24" s="430"/>
    </row>
    <row r="25" spans="1:28" ht="13.5" customHeight="1">
      <c r="A25" s="227"/>
      <c r="B25" s="249" t="s">
        <v>198</v>
      </c>
      <c r="C25" s="445">
        <f>IF($I$6="","",VLOOKUP($I$6,'Table 1. Climate'!$B$6:$F$123,5,FALSE)*100)</f>
      </c>
      <c r="D25" s="236" t="s">
        <v>188</v>
      </c>
      <c r="E25" s="235"/>
      <c r="F25" s="249" t="s">
        <v>188</v>
      </c>
      <c r="G25" s="239"/>
      <c r="H25" s="236" t="s">
        <v>202</v>
      </c>
      <c r="I25" s="237"/>
      <c r="J25" s="241" t="s">
        <v>195</v>
      </c>
      <c r="K25" s="215"/>
      <c r="U25" s="333" t="s">
        <v>280</v>
      </c>
      <c r="V25" s="427" t="s">
        <v>280</v>
      </c>
      <c r="W25" s="428"/>
      <c r="X25" s="428"/>
      <c r="Y25" s="428"/>
      <c r="Z25" s="428"/>
      <c r="AA25" s="429"/>
      <c r="AB25" s="430"/>
    </row>
    <row r="26" spans="1:28" ht="7.5" customHeight="1" thickBot="1">
      <c r="A26" s="227"/>
      <c r="B26" s="215"/>
      <c r="C26" s="242"/>
      <c r="D26" s="252"/>
      <c r="E26" s="229"/>
      <c r="F26" s="242"/>
      <c r="G26" s="242"/>
      <c r="H26" s="242"/>
      <c r="I26" s="246"/>
      <c r="J26" s="247"/>
      <c r="K26" s="215"/>
      <c r="U26" s="426" t="s">
        <v>282</v>
      </c>
      <c r="V26" s="427" t="s">
        <v>283</v>
      </c>
      <c r="W26" s="428"/>
      <c r="X26" s="428"/>
      <c r="Y26" s="428"/>
      <c r="Z26" s="428"/>
      <c r="AA26" s="429"/>
      <c r="AB26" s="430"/>
    </row>
    <row r="27" spans="1:28" ht="15" customHeight="1" thickBot="1">
      <c r="A27" s="227"/>
      <c r="B27" s="215"/>
      <c r="C27" s="215"/>
      <c r="D27" s="215"/>
      <c r="E27" s="215"/>
      <c r="F27" s="215"/>
      <c r="G27" s="215"/>
      <c r="H27" s="253" t="s">
        <v>203</v>
      </c>
      <c r="I27" s="1147">
        <f>IF(J15="",0,J15+J19+J23)</f>
        <v>0</v>
      </c>
      <c r="J27" s="1148"/>
      <c r="K27" s="215"/>
      <c r="U27" s="426" t="s">
        <v>284</v>
      </c>
      <c r="V27" s="427" t="s">
        <v>285</v>
      </c>
      <c r="W27" s="428"/>
      <c r="X27" s="428"/>
      <c r="Y27" s="428"/>
      <c r="Z27" s="428"/>
      <c r="AA27" s="429"/>
      <c r="AB27" s="430"/>
    </row>
    <row r="28" spans="1:28" ht="12" customHeight="1" thickBot="1">
      <c r="A28" s="254"/>
      <c r="B28" s="255"/>
      <c r="C28" s="215"/>
      <c r="D28" s="215"/>
      <c r="E28" s="215"/>
      <c r="F28" s="215"/>
      <c r="G28" s="215"/>
      <c r="H28" s="215"/>
      <c r="I28" s="256" t="s">
        <v>195</v>
      </c>
      <c r="J28" s="221"/>
      <c r="K28" s="215"/>
      <c r="U28" s="333" t="s">
        <v>286</v>
      </c>
      <c r="V28" s="427" t="s">
        <v>286</v>
      </c>
      <c r="W28" s="428"/>
      <c r="X28" s="428"/>
      <c r="Y28" s="428"/>
      <c r="Z28" s="428"/>
      <c r="AA28" s="429"/>
      <c r="AB28" s="430"/>
    </row>
    <row r="29" spans="1:28" ht="13.5" thickTop="1">
      <c r="A29" s="210"/>
      <c r="B29" s="219" t="s">
        <v>204</v>
      </c>
      <c r="C29" s="257"/>
      <c r="D29" s="257"/>
      <c r="E29" s="257"/>
      <c r="F29" s="257"/>
      <c r="G29" s="257"/>
      <c r="H29" s="257"/>
      <c r="I29" s="257"/>
      <c r="J29" s="257"/>
      <c r="K29" s="257"/>
      <c r="U29" s="426" t="s">
        <v>288</v>
      </c>
      <c r="V29" s="427" t="s">
        <v>289</v>
      </c>
      <c r="W29" s="428" t="s">
        <v>443</v>
      </c>
      <c r="X29" s="428" t="s">
        <v>291</v>
      </c>
      <c r="Y29" s="428" t="s">
        <v>292</v>
      </c>
      <c r="Z29" s="428" t="s">
        <v>293</v>
      </c>
      <c r="AA29" s="428" t="s">
        <v>294</v>
      </c>
      <c r="AB29" s="435" t="s">
        <v>295</v>
      </c>
    </row>
    <row r="30" spans="1:28" ht="15" customHeight="1">
      <c r="A30" s="210"/>
      <c r="B30" s="212"/>
      <c r="C30" s="212"/>
      <c r="D30" s="212"/>
      <c r="E30" s="212"/>
      <c r="F30" s="212"/>
      <c r="G30" s="212"/>
      <c r="H30" s="258" t="s">
        <v>205</v>
      </c>
      <c r="I30" s="1139">
        <f>I27</f>
        <v>0</v>
      </c>
      <c r="J30" s="1030"/>
      <c r="K30" s="212"/>
      <c r="U30" s="426" t="s">
        <v>296</v>
      </c>
      <c r="V30" s="427" t="s">
        <v>297</v>
      </c>
      <c r="W30" s="428" t="s">
        <v>296</v>
      </c>
      <c r="X30" s="428" t="s">
        <v>298</v>
      </c>
      <c r="Y30" s="428" t="s">
        <v>299</v>
      </c>
      <c r="Z30" s="428"/>
      <c r="AA30" s="429"/>
      <c r="AB30" s="430"/>
    </row>
    <row r="31" spans="1:28" ht="12.75">
      <c r="A31" s="210"/>
      <c r="B31" s="212"/>
      <c r="C31" s="212"/>
      <c r="D31" s="212"/>
      <c r="E31" s="212"/>
      <c r="F31" s="259"/>
      <c r="G31" s="233"/>
      <c r="H31" s="260" t="s">
        <v>206</v>
      </c>
      <c r="I31" s="212"/>
      <c r="J31" s="212"/>
      <c r="K31" s="212"/>
      <c r="U31" s="333" t="s">
        <v>300</v>
      </c>
      <c r="V31" s="427" t="s">
        <v>301</v>
      </c>
      <c r="W31" s="428"/>
      <c r="X31" s="428"/>
      <c r="Y31" s="428"/>
      <c r="Z31" s="428"/>
      <c r="AA31" s="429"/>
      <c r="AB31" s="430"/>
    </row>
    <row r="32" spans="1:28" ht="15" customHeight="1">
      <c r="A32" s="210"/>
      <c r="B32" s="212"/>
      <c r="C32" s="212"/>
      <c r="D32" s="212"/>
      <c r="E32" s="212"/>
      <c r="F32" s="212"/>
      <c r="G32" s="212"/>
      <c r="H32" s="258" t="s">
        <v>207</v>
      </c>
      <c r="I32" s="1139">
        <f>IF('Basic Info'!L29="liquid",'Solid Manure Inv'!H21*50,0)</f>
        <v>0</v>
      </c>
      <c r="J32" s="1140"/>
      <c r="K32" s="212"/>
      <c r="U32" s="426" t="s">
        <v>302</v>
      </c>
      <c r="V32" s="427" t="s">
        <v>303</v>
      </c>
      <c r="W32" s="428"/>
      <c r="X32" s="428"/>
      <c r="Y32" s="428"/>
      <c r="Z32" s="428"/>
      <c r="AA32" s="429"/>
      <c r="AB32" s="430"/>
    </row>
    <row r="33" spans="1:28" ht="12.75">
      <c r="A33" s="210"/>
      <c r="B33" s="212"/>
      <c r="C33" s="212"/>
      <c r="D33" s="212"/>
      <c r="E33" s="212"/>
      <c r="F33" s="212"/>
      <c r="G33" s="259"/>
      <c r="H33" s="260" t="s">
        <v>208</v>
      </c>
      <c r="I33" s="212"/>
      <c r="J33" s="212"/>
      <c r="K33" s="212"/>
      <c r="U33" s="426" t="s">
        <v>304</v>
      </c>
      <c r="V33" s="427" t="s">
        <v>305</v>
      </c>
      <c r="W33" s="428"/>
      <c r="X33" s="428"/>
      <c r="Y33" s="428"/>
      <c r="Z33" s="428"/>
      <c r="AA33" s="429"/>
      <c r="AB33" s="430"/>
    </row>
    <row r="34" spans="1:28" ht="15" customHeight="1">
      <c r="A34" s="210"/>
      <c r="B34" s="212"/>
      <c r="C34" s="212"/>
      <c r="D34" s="212"/>
      <c r="E34" s="212"/>
      <c r="F34" s="212"/>
      <c r="G34" s="212"/>
      <c r="H34" s="258" t="s">
        <v>209</v>
      </c>
      <c r="I34" s="1139">
        <f>'Solid Manure Inv'!H23*50</f>
        <v>0</v>
      </c>
      <c r="J34" s="1140"/>
      <c r="K34" s="212"/>
      <c r="U34" s="333" t="s">
        <v>306</v>
      </c>
      <c r="V34" s="427" t="s">
        <v>307</v>
      </c>
      <c r="W34" s="428"/>
      <c r="X34" s="428"/>
      <c r="Y34" s="428"/>
      <c r="Z34" s="428"/>
      <c r="AA34" s="429"/>
      <c r="AB34" s="430"/>
    </row>
    <row r="35" spans="1:28" ht="12.75">
      <c r="A35" s="210"/>
      <c r="B35" s="212"/>
      <c r="C35" s="212"/>
      <c r="D35" s="212"/>
      <c r="E35" s="212"/>
      <c r="F35" s="212"/>
      <c r="G35" s="212"/>
      <c r="H35" s="259"/>
      <c r="I35" s="212"/>
      <c r="J35" s="212"/>
      <c r="K35" s="212"/>
      <c r="U35" s="426" t="s">
        <v>257</v>
      </c>
      <c r="V35" s="427" t="s">
        <v>308</v>
      </c>
      <c r="W35" s="428" t="s">
        <v>309</v>
      </c>
      <c r="X35" s="428" t="s">
        <v>310</v>
      </c>
      <c r="Y35" s="428"/>
      <c r="Z35" s="428"/>
      <c r="AA35" s="429"/>
      <c r="AB35" s="430"/>
    </row>
    <row r="36" spans="1:28" ht="15" customHeight="1">
      <c r="A36" s="210"/>
      <c r="B36" s="212"/>
      <c r="C36" s="212"/>
      <c r="D36" s="212"/>
      <c r="E36" s="212"/>
      <c r="F36" s="212"/>
      <c r="G36" s="212"/>
      <c r="H36" s="258" t="s">
        <v>210</v>
      </c>
      <c r="I36" s="1139">
        <f>'Liquid Waste'!H24*1000/7.5</f>
        <v>0</v>
      </c>
      <c r="J36" s="1140"/>
      <c r="K36" s="212"/>
      <c r="U36" s="332" t="s">
        <v>311</v>
      </c>
      <c r="V36" s="427" t="s">
        <v>312</v>
      </c>
      <c r="W36" s="428" t="s">
        <v>313</v>
      </c>
      <c r="X36" s="428" t="s">
        <v>314</v>
      </c>
      <c r="Y36" s="428" t="s">
        <v>315</v>
      </c>
      <c r="Z36" s="428"/>
      <c r="AA36" s="429"/>
      <c r="AB36" s="430"/>
    </row>
    <row r="37" spans="1:28" ht="12.75">
      <c r="A37" s="210"/>
      <c r="B37" s="212"/>
      <c r="C37" s="212"/>
      <c r="D37" s="212"/>
      <c r="E37" s="212"/>
      <c r="F37" s="212"/>
      <c r="G37" s="212"/>
      <c r="H37" s="260" t="s">
        <v>211</v>
      </c>
      <c r="I37" s="212"/>
      <c r="J37" s="212"/>
      <c r="K37" s="212"/>
      <c r="U37" s="426" t="s">
        <v>316</v>
      </c>
      <c r="V37" s="427" t="s">
        <v>317</v>
      </c>
      <c r="W37" s="428" t="s">
        <v>318</v>
      </c>
      <c r="X37" s="428"/>
      <c r="Y37" s="428"/>
      <c r="Z37" s="428"/>
      <c r="AA37" s="429"/>
      <c r="AB37" s="430"/>
    </row>
    <row r="38" spans="1:28" ht="15" customHeight="1">
      <c r="A38" s="210"/>
      <c r="B38" s="212"/>
      <c r="C38" s="212"/>
      <c r="D38" s="212"/>
      <c r="E38" s="212"/>
      <c r="F38" s="212"/>
      <c r="G38" s="212"/>
      <c r="H38" s="258" t="s">
        <v>212</v>
      </c>
      <c r="I38" s="1139">
        <f>'Liquid Waste'!H26*1000/7.5</f>
        <v>0</v>
      </c>
      <c r="J38" s="1140"/>
      <c r="K38" s="212"/>
      <c r="U38" s="426" t="s">
        <v>319</v>
      </c>
      <c r="V38" s="427" t="s">
        <v>320</v>
      </c>
      <c r="W38" s="428" t="s">
        <v>321</v>
      </c>
      <c r="X38" s="428"/>
      <c r="Y38" s="428"/>
      <c r="Z38" s="428"/>
      <c r="AA38" s="429"/>
      <c r="AB38" s="430"/>
    </row>
    <row r="39" spans="1:28" ht="13.5" thickBot="1">
      <c r="A39" s="210"/>
      <c r="B39" s="212"/>
      <c r="C39" s="212"/>
      <c r="D39" s="212"/>
      <c r="E39" s="212"/>
      <c r="F39" s="212"/>
      <c r="G39" s="212"/>
      <c r="H39" s="260" t="s">
        <v>211</v>
      </c>
      <c r="I39" s="212"/>
      <c r="J39" s="212"/>
      <c r="K39" s="212"/>
      <c r="U39" s="426" t="s">
        <v>248</v>
      </c>
      <c r="V39" s="427" t="s">
        <v>322</v>
      </c>
      <c r="W39" s="428" t="s">
        <v>323</v>
      </c>
      <c r="X39" s="428" t="s">
        <v>324</v>
      </c>
      <c r="Y39" s="428"/>
      <c r="Z39" s="428"/>
      <c r="AA39" s="429"/>
      <c r="AB39" s="430"/>
    </row>
    <row r="40" spans="1:28" ht="7.5" customHeight="1" thickBot="1" thickTop="1">
      <c r="A40" s="210"/>
      <c r="B40" s="212"/>
      <c r="C40" s="212"/>
      <c r="D40" s="212"/>
      <c r="E40" s="212"/>
      <c r="F40" s="212"/>
      <c r="G40" s="212"/>
      <c r="H40" s="212"/>
      <c r="I40" s="261"/>
      <c r="J40" s="261"/>
      <c r="K40" s="212"/>
      <c r="U40" s="426" t="s">
        <v>325</v>
      </c>
      <c r="V40" s="427" t="s">
        <v>326</v>
      </c>
      <c r="W40" s="428" t="s">
        <v>327</v>
      </c>
      <c r="X40" s="428" t="s">
        <v>328</v>
      </c>
      <c r="Y40" s="428" t="s">
        <v>329</v>
      </c>
      <c r="Z40" s="428"/>
      <c r="AA40" s="429"/>
      <c r="AB40" s="430"/>
    </row>
    <row r="41" spans="1:28" ht="16.5" customHeight="1" thickBot="1">
      <c r="A41" s="210"/>
      <c r="B41" s="212"/>
      <c r="C41" s="212"/>
      <c r="D41" s="212"/>
      <c r="E41" s="212"/>
      <c r="F41" s="212"/>
      <c r="G41" s="212"/>
      <c r="H41" s="258" t="s">
        <v>213</v>
      </c>
      <c r="I41" s="1147">
        <f>I30+I32+I34+I36+I38</f>
        <v>0</v>
      </c>
      <c r="J41" s="1148"/>
      <c r="K41" s="212"/>
      <c r="U41" s="426" t="s">
        <v>330</v>
      </c>
      <c r="V41" s="427" t="s">
        <v>331</v>
      </c>
      <c r="W41" s="428"/>
      <c r="X41" s="428"/>
      <c r="Y41" s="428"/>
      <c r="Z41" s="428"/>
      <c r="AA41" s="429"/>
      <c r="AB41" s="430"/>
    </row>
    <row r="42" spans="1:28" ht="13.5" thickBot="1">
      <c r="A42" s="210"/>
      <c r="B42" s="212"/>
      <c r="C42" s="212"/>
      <c r="D42" s="212"/>
      <c r="E42" s="212"/>
      <c r="F42" s="212"/>
      <c r="G42" s="212"/>
      <c r="H42" s="212"/>
      <c r="I42" s="221"/>
      <c r="J42" s="221"/>
      <c r="K42" s="212"/>
      <c r="U42" s="426" t="s">
        <v>332</v>
      </c>
      <c r="V42" s="427" t="s">
        <v>333</v>
      </c>
      <c r="W42" s="428" t="s">
        <v>334</v>
      </c>
      <c r="X42" s="428" t="s">
        <v>335</v>
      </c>
      <c r="Y42" s="428" t="s">
        <v>336</v>
      </c>
      <c r="Z42" s="428" t="s">
        <v>337</v>
      </c>
      <c r="AA42" s="429"/>
      <c r="AB42" s="430"/>
    </row>
    <row r="43" spans="1:28" ht="13.5" thickTop="1">
      <c r="A43" s="218"/>
      <c r="B43" s="219" t="s">
        <v>851</v>
      </c>
      <c r="C43" s="262"/>
      <c r="D43" s="262"/>
      <c r="E43" s="262"/>
      <c r="F43" s="262"/>
      <c r="G43" s="262"/>
      <c r="H43" s="262"/>
      <c r="I43" s="262"/>
      <c r="J43" s="262"/>
      <c r="K43" s="262"/>
      <c r="U43" s="426" t="s">
        <v>338</v>
      </c>
      <c r="V43" s="427" t="s">
        <v>339</v>
      </c>
      <c r="W43" s="428"/>
      <c r="X43" s="428"/>
      <c r="Y43" s="428"/>
      <c r="Z43" s="428"/>
      <c r="AA43" s="429"/>
      <c r="AB43" s="430"/>
    </row>
    <row r="44" spans="1:28" ht="7.5" customHeight="1">
      <c r="A44" s="210"/>
      <c r="B44" s="263"/>
      <c r="C44" s="215"/>
      <c r="D44" s="215"/>
      <c r="E44" s="215"/>
      <c r="F44" s="215"/>
      <c r="G44" s="215"/>
      <c r="H44" s="215"/>
      <c r="I44" s="215"/>
      <c r="J44" s="215"/>
      <c r="K44" s="215"/>
      <c r="U44" s="426" t="s">
        <v>340</v>
      </c>
      <c r="V44" s="427" t="s">
        <v>341</v>
      </c>
      <c r="W44" s="428" t="s">
        <v>444</v>
      </c>
      <c r="X44" s="428" t="s">
        <v>343</v>
      </c>
      <c r="Y44" s="428" t="s">
        <v>344</v>
      </c>
      <c r="Z44" s="428" t="s">
        <v>345</v>
      </c>
      <c r="AA44" s="429"/>
      <c r="AB44" s="430"/>
    </row>
    <row r="45" spans="1:28" ht="12.75">
      <c r="A45" s="210"/>
      <c r="B45" s="263"/>
      <c r="C45" s="215"/>
      <c r="D45" s="215"/>
      <c r="E45" s="259" t="s">
        <v>214</v>
      </c>
      <c r="F45" s="453">
        <f>IF($I$41&gt;0,VLOOKUP($I$41,'Table 3. Volume'!$U$3:$X$842,2,TRUE),0)</f>
        <v>0</v>
      </c>
      <c r="G45" s="233" t="s">
        <v>215</v>
      </c>
      <c r="H45" s="453">
        <f>IF($I$41&gt;0,VLOOKUP($I$41,'Table 3. Volume'!$U$3:$X$842,3,TRUE),0)</f>
        <v>0</v>
      </c>
      <c r="I45" s="259" t="s">
        <v>216</v>
      </c>
      <c r="J45" s="453">
        <f>IF($I$41&gt;0,VLOOKUP($I$41,'Table 3. Volume'!$U$3:$X$842,4,TRUE),0)</f>
        <v>0</v>
      </c>
      <c r="K45" s="222" t="s">
        <v>856</v>
      </c>
      <c r="U45" s="426" t="s">
        <v>346</v>
      </c>
      <c r="V45" s="427" t="s">
        <v>347</v>
      </c>
      <c r="W45" s="428" t="s">
        <v>348</v>
      </c>
      <c r="X45" s="428"/>
      <c r="Y45" s="428"/>
      <c r="Z45" s="428"/>
      <c r="AA45" s="429"/>
      <c r="AB45" s="430"/>
    </row>
    <row r="46" spans="1:28" ht="10.5" customHeight="1">
      <c r="A46" s="210"/>
      <c r="B46" s="263"/>
      <c r="C46" s="215"/>
      <c r="D46" s="215"/>
      <c r="E46" s="215"/>
      <c r="F46" s="215"/>
      <c r="G46" s="215"/>
      <c r="H46" s="215"/>
      <c r="I46" s="215"/>
      <c r="J46" s="215"/>
      <c r="K46" s="222"/>
      <c r="U46" s="426" t="s">
        <v>352</v>
      </c>
      <c r="V46" s="427" t="s">
        <v>353</v>
      </c>
      <c r="W46" s="428" t="s">
        <v>354</v>
      </c>
      <c r="X46" s="428"/>
      <c r="Y46" s="428"/>
      <c r="Z46" s="428"/>
      <c r="AA46" s="429"/>
      <c r="AB46" s="430"/>
    </row>
    <row r="47" spans="1:28" ht="12.75">
      <c r="A47" s="210"/>
      <c r="B47" s="259" t="s">
        <v>217</v>
      </c>
      <c r="C47" s="1144">
        <f>($J$45*$H$45*$F$45)-(3*$F$45^2*($J$45+$H$45))+(4*3^2*$F$45^3/3)</f>
        <v>0</v>
      </c>
      <c r="D47" s="1145"/>
      <c r="E47" s="215" t="s">
        <v>1182</v>
      </c>
      <c r="F47" s="1149">
        <f>C47/27</f>
        <v>0</v>
      </c>
      <c r="G47" s="1150"/>
      <c r="H47" s="215" t="s">
        <v>1183</v>
      </c>
      <c r="I47" s="1144">
        <f>(C47*7.48052)/27154</f>
        <v>0</v>
      </c>
      <c r="J47" s="1145"/>
      <c r="K47" s="222" t="s">
        <v>1184</v>
      </c>
      <c r="U47" s="333" t="s">
        <v>355</v>
      </c>
      <c r="V47" s="427" t="s">
        <v>356</v>
      </c>
      <c r="W47" s="428" t="s">
        <v>357</v>
      </c>
      <c r="X47" s="428"/>
      <c r="Y47" s="428"/>
      <c r="Z47" s="428"/>
      <c r="AA47" s="429"/>
      <c r="AB47" s="430"/>
    </row>
    <row r="48" spans="1:28" ht="7.5" customHeight="1">
      <c r="A48" s="210"/>
      <c r="B48" s="263"/>
      <c r="C48" s="215"/>
      <c r="D48" s="215"/>
      <c r="E48" s="215"/>
      <c r="F48" s="215"/>
      <c r="G48" s="215"/>
      <c r="H48" s="215"/>
      <c r="I48" s="215"/>
      <c r="J48" s="215"/>
      <c r="K48" s="222"/>
      <c r="U48" s="426" t="s">
        <v>358</v>
      </c>
      <c r="V48" s="427" t="s">
        <v>358</v>
      </c>
      <c r="W48" s="428"/>
      <c r="X48" s="428"/>
      <c r="Y48" s="428"/>
      <c r="Z48" s="428"/>
      <c r="AA48" s="429"/>
      <c r="AB48" s="430"/>
    </row>
    <row r="49" spans="1:28" ht="12.75">
      <c r="A49" s="210"/>
      <c r="B49" s="799" t="s">
        <v>854</v>
      </c>
      <c r="C49" s="215"/>
      <c r="D49" s="215"/>
      <c r="E49" s="215"/>
      <c r="F49" s="215"/>
      <c r="G49" s="215"/>
      <c r="H49" s="215"/>
      <c r="I49" s="215"/>
      <c r="J49" s="215"/>
      <c r="K49" s="222"/>
      <c r="U49" s="426" t="s">
        <v>359</v>
      </c>
      <c r="V49" s="427" t="s">
        <v>360</v>
      </c>
      <c r="W49" s="428" t="s">
        <v>361</v>
      </c>
      <c r="X49" s="428" t="s">
        <v>362</v>
      </c>
      <c r="Y49" s="428"/>
      <c r="Z49" s="428"/>
      <c r="AA49" s="429"/>
      <c r="AB49" s="430"/>
    </row>
    <row r="50" spans="1:28" ht="12.75">
      <c r="A50" s="210"/>
      <c r="B50" s="1013" t="s">
        <v>855</v>
      </c>
      <c r="C50" s="215"/>
      <c r="D50" s="215"/>
      <c r="E50" s="215"/>
      <c r="F50" s="215"/>
      <c r="G50" s="215"/>
      <c r="H50" s="215"/>
      <c r="I50" s="215"/>
      <c r="J50" s="215"/>
      <c r="K50" s="222"/>
      <c r="U50" s="426" t="s">
        <v>363</v>
      </c>
      <c r="V50" s="427" t="s">
        <v>364</v>
      </c>
      <c r="W50" s="428"/>
      <c r="X50" s="428"/>
      <c r="Y50" s="428"/>
      <c r="Z50" s="428"/>
      <c r="AA50" s="429"/>
      <c r="AB50" s="430"/>
    </row>
    <row r="51" spans="1:28" ht="7.5" customHeight="1">
      <c r="A51" s="210"/>
      <c r="B51" s="798"/>
      <c r="C51" s="215"/>
      <c r="D51" s="215"/>
      <c r="E51" s="215"/>
      <c r="F51" s="215"/>
      <c r="G51" s="215"/>
      <c r="H51" s="215"/>
      <c r="I51" s="215"/>
      <c r="J51" s="215"/>
      <c r="K51" s="222"/>
      <c r="U51" s="426" t="s">
        <v>298</v>
      </c>
      <c r="V51" s="427" t="s">
        <v>365</v>
      </c>
      <c r="W51" s="428"/>
      <c r="X51" s="428"/>
      <c r="Y51" s="428"/>
      <c r="Z51" s="428"/>
      <c r="AA51" s="429"/>
      <c r="AB51" s="430"/>
    </row>
    <row r="52" spans="1:28" ht="15" customHeight="1">
      <c r="A52" s="210"/>
      <c r="B52" s="210"/>
      <c r="C52" s="212"/>
      <c r="D52" s="212"/>
      <c r="E52" s="259" t="s">
        <v>214</v>
      </c>
      <c r="F52" s="854"/>
      <c r="G52" s="233" t="s">
        <v>215</v>
      </c>
      <c r="H52" s="854"/>
      <c r="I52" s="259" t="s">
        <v>216</v>
      </c>
      <c r="J52" s="854"/>
      <c r="K52" s="1014" t="s">
        <v>856</v>
      </c>
      <c r="L52"/>
      <c r="M52"/>
      <c r="U52" s="333" t="s">
        <v>366</v>
      </c>
      <c r="V52" s="427" t="s">
        <v>367</v>
      </c>
      <c r="W52" s="428" t="s">
        <v>368</v>
      </c>
      <c r="X52" s="428"/>
      <c r="Y52" s="428"/>
      <c r="Z52" s="428"/>
      <c r="AA52" s="429"/>
      <c r="AB52" s="430"/>
    </row>
    <row r="53" spans="1:28" ht="7.5" customHeight="1">
      <c r="A53" s="210"/>
      <c r="B53" s="264"/>
      <c r="C53" s="264"/>
      <c r="D53" s="264"/>
      <c r="E53" s="264"/>
      <c r="F53" s="264"/>
      <c r="G53" s="264"/>
      <c r="H53" s="264"/>
      <c r="I53" s="264"/>
      <c r="J53" s="264"/>
      <c r="K53" s="1015"/>
      <c r="U53" s="333" t="s">
        <v>369</v>
      </c>
      <c r="V53" s="427" t="s">
        <v>369</v>
      </c>
      <c r="W53" s="428" t="s">
        <v>370</v>
      </c>
      <c r="X53" s="428"/>
      <c r="Y53" s="428"/>
      <c r="Z53" s="428"/>
      <c r="AA53" s="429"/>
      <c r="AB53" s="430"/>
    </row>
    <row r="54" spans="1:28" ht="15" customHeight="1">
      <c r="A54" s="210"/>
      <c r="B54" s="259" t="s">
        <v>217</v>
      </c>
      <c r="C54" s="1144">
        <f>($J$52*$H$52*$F$52)-(3*$F$52^2*($J$52+$H$52))+(4*3^2*$F$52^3/3)</f>
        <v>0</v>
      </c>
      <c r="D54" s="1145"/>
      <c r="E54" s="212" t="s">
        <v>1182</v>
      </c>
      <c r="F54" s="1151">
        <f>C54/27</f>
        <v>0</v>
      </c>
      <c r="G54" s="1152"/>
      <c r="H54" s="212" t="s">
        <v>1183</v>
      </c>
      <c r="I54" s="1144">
        <f>(C54*7.48052)/27154</f>
        <v>0</v>
      </c>
      <c r="J54" s="1145"/>
      <c r="K54" s="1014" t="s">
        <v>1184</v>
      </c>
      <c r="U54" s="426" t="s">
        <v>371</v>
      </c>
      <c r="V54" s="427" t="s">
        <v>372</v>
      </c>
      <c r="W54" s="428" t="s">
        <v>373</v>
      </c>
      <c r="X54" s="428"/>
      <c r="Y54" s="428"/>
      <c r="Z54" s="428"/>
      <c r="AA54" s="429"/>
      <c r="AB54" s="430"/>
    </row>
    <row r="55" spans="1:28" ht="12.75">
      <c r="A55" s="210"/>
      <c r="B55" s="212"/>
      <c r="C55" s="212"/>
      <c r="D55" s="212"/>
      <c r="E55" s="212"/>
      <c r="F55" s="212"/>
      <c r="G55" s="212"/>
      <c r="H55" s="212"/>
      <c r="I55" s="265"/>
      <c r="J55" s="265"/>
      <c r="K55" s="212"/>
      <c r="U55" s="426" t="s">
        <v>374</v>
      </c>
      <c r="V55" s="427" t="s">
        <v>375</v>
      </c>
      <c r="W55" s="428" t="s">
        <v>376</v>
      </c>
      <c r="X55" s="428"/>
      <c r="Y55" s="428"/>
      <c r="Z55" s="428"/>
      <c r="AA55" s="429"/>
      <c r="AB55" s="430"/>
    </row>
    <row r="56" spans="1:28" ht="12.75">
      <c r="A56" s="210"/>
      <c r="B56" s="210"/>
      <c r="C56" s="210"/>
      <c r="D56" s="210"/>
      <c r="E56" s="210"/>
      <c r="F56" s="210"/>
      <c r="G56" s="210"/>
      <c r="H56" s="210"/>
      <c r="I56" s="210"/>
      <c r="J56" s="210"/>
      <c r="K56" s="210"/>
      <c r="U56" s="426" t="s">
        <v>377</v>
      </c>
      <c r="V56" s="427" t="s">
        <v>378</v>
      </c>
      <c r="W56" s="428" t="s">
        <v>379</v>
      </c>
      <c r="X56" s="428" t="s">
        <v>380</v>
      </c>
      <c r="Y56" s="428"/>
      <c r="Z56" s="428"/>
      <c r="AA56" s="429"/>
      <c r="AB56" s="430"/>
    </row>
    <row r="57" spans="21:28" ht="12.75">
      <c r="U57" s="426" t="s">
        <v>381</v>
      </c>
      <c r="V57" s="427" t="s">
        <v>382</v>
      </c>
      <c r="W57" s="428" t="s">
        <v>381</v>
      </c>
      <c r="X57" s="428"/>
      <c r="Y57" s="428"/>
      <c r="Z57" s="428"/>
      <c r="AA57" s="429"/>
      <c r="AB57" s="430"/>
    </row>
    <row r="58" spans="21:28" ht="12.75">
      <c r="U58" s="426" t="s">
        <v>383</v>
      </c>
      <c r="V58" s="427" t="s">
        <v>384</v>
      </c>
      <c r="W58" s="428"/>
      <c r="X58" s="428"/>
      <c r="Y58" s="428"/>
      <c r="Z58" s="428"/>
      <c r="AA58" s="429"/>
      <c r="AB58" s="430"/>
    </row>
    <row r="59" spans="21:28" ht="12.75">
      <c r="U59" s="333" t="s">
        <v>385</v>
      </c>
      <c r="V59" s="427" t="s">
        <v>385</v>
      </c>
      <c r="W59" s="428"/>
      <c r="X59" s="428"/>
      <c r="Y59" s="428"/>
      <c r="Z59" s="428"/>
      <c r="AA59" s="429"/>
      <c r="AB59" s="430"/>
    </row>
    <row r="60" spans="21:28" ht="12.75">
      <c r="U60" s="426" t="s">
        <v>387</v>
      </c>
      <c r="V60" s="427" t="s">
        <v>388</v>
      </c>
      <c r="W60" s="428" t="s">
        <v>445</v>
      </c>
      <c r="X60" s="428"/>
      <c r="Y60" s="428"/>
      <c r="Z60" s="428"/>
      <c r="AA60" s="429"/>
      <c r="AB60" s="430"/>
    </row>
    <row r="61" spans="21:28" ht="12.75">
      <c r="U61" s="333" t="s">
        <v>390</v>
      </c>
      <c r="V61" s="427" t="s">
        <v>391</v>
      </c>
      <c r="W61" s="428"/>
      <c r="X61" s="428"/>
      <c r="Y61" s="428"/>
      <c r="Z61" s="428"/>
      <c r="AA61" s="429"/>
      <c r="AB61" s="430"/>
    </row>
    <row r="62" spans="21:28" ht="12.75">
      <c r="U62" s="426" t="s">
        <v>392</v>
      </c>
      <c r="V62" s="427" t="s">
        <v>393</v>
      </c>
      <c r="W62" s="428"/>
      <c r="X62" s="428"/>
      <c r="Y62" s="428"/>
      <c r="Z62" s="428"/>
      <c r="AA62" s="429"/>
      <c r="AB62" s="430"/>
    </row>
    <row r="63" spans="21:28" ht="12.75">
      <c r="U63" s="426" t="s">
        <v>394</v>
      </c>
      <c r="V63" s="427" t="s">
        <v>395</v>
      </c>
      <c r="W63" s="428" t="s">
        <v>396</v>
      </c>
      <c r="X63" s="428" t="s">
        <v>397</v>
      </c>
      <c r="Y63" s="428"/>
      <c r="Z63" s="428"/>
      <c r="AA63" s="429"/>
      <c r="AB63" s="430"/>
    </row>
    <row r="64" spans="21:28" ht="12.75">
      <c r="U64" s="426" t="s">
        <v>398</v>
      </c>
      <c r="V64" s="427" t="s">
        <v>399</v>
      </c>
      <c r="W64" s="428"/>
      <c r="X64" s="428"/>
      <c r="Y64" s="428"/>
      <c r="Z64" s="428"/>
      <c r="AA64" s="429"/>
      <c r="AB64" s="430"/>
    </row>
    <row r="65" spans="21:28" ht="12.75">
      <c r="U65" s="426"/>
      <c r="V65" s="427"/>
      <c r="W65" s="428"/>
      <c r="X65" s="428"/>
      <c r="Y65" s="428"/>
      <c r="Z65" s="428"/>
      <c r="AA65" s="429"/>
      <c r="AB65" s="430"/>
    </row>
    <row r="66" spans="21:28" ht="12.75">
      <c r="U66" s="333"/>
      <c r="V66" s="427"/>
      <c r="W66" s="428"/>
      <c r="X66" s="428"/>
      <c r="Y66" s="428"/>
      <c r="Z66" s="428"/>
      <c r="AA66" s="429"/>
      <c r="AB66" s="430"/>
    </row>
    <row r="67" spans="21:28" ht="12.75">
      <c r="U67" s="426"/>
      <c r="V67" s="427"/>
      <c r="W67" s="428"/>
      <c r="X67" s="428"/>
      <c r="Y67" s="428"/>
      <c r="Z67" s="428"/>
      <c r="AA67" s="429"/>
      <c r="AB67" s="430"/>
    </row>
    <row r="68" spans="21:28" ht="12.75">
      <c r="U68" s="333"/>
      <c r="V68" s="427"/>
      <c r="W68" s="428"/>
      <c r="X68" s="428"/>
      <c r="Y68" s="428"/>
      <c r="Z68" s="428"/>
      <c r="AA68" s="429"/>
      <c r="AB68" s="430"/>
    </row>
    <row r="69" spans="21:28" ht="12.75">
      <c r="U69" s="426"/>
      <c r="V69" s="427"/>
      <c r="W69" s="428"/>
      <c r="X69" s="428"/>
      <c r="Y69" s="428"/>
      <c r="Z69" s="428"/>
      <c r="AA69" s="429"/>
      <c r="AB69" s="430"/>
    </row>
    <row r="70" spans="21:28" ht="12.75">
      <c r="U70" s="426"/>
      <c r="V70" s="427"/>
      <c r="W70" s="428"/>
      <c r="X70" s="428"/>
      <c r="Y70" s="428"/>
      <c r="Z70" s="428"/>
      <c r="AA70" s="429"/>
      <c r="AB70" s="430"/>
    </row>
    <row r="71" spans="21:28" ht="12.75">
      <c r="U71" s="426"/>
      <c r="V71" s="427"/>
      <c r="W71" s="428"/>
      <c r="X71" s="428"/>
      <c r="Y71" s="428"/>
      <c r="Z71" s="428"/>
      <c r="AA71" s="429"/>
      <c r="AB71" s="430"/>
    </row>
    <row r="72" spans="21:28" ht="12.75">
      <c r="U72" s="426"/>
      <c r="V72" s="427"/>
      <c r="W72" s="428"/>
      <c r="X72" s="428"/>
      <c r="Y72" s="428"/>
      <c r="Z72" s="428"/>
      <c r="AA72" s="429"/>
      <c r="AB72" s="430"/>
    </row>
    <row r="73" spans="21:28" ht="12.75">
      <c r="U73" s="426"/>
      <c r="V73" s="436"/>
      <c r="W73" s="437"/>
      <c r="X73" s="437"/>
      <c r="Y73" s="437"/>
      <c r="Z73" s="437"/>
      <c r="AA73" s="438"/>
      <c r="AB73" s="439"/>
    </row>
    <row r="74" ht="12.75">
      <c r="U74" s="440"/>
    </row>
    <row r="75" ht="12.75">
      <c r="U75" s="441"/>
    </row>
    <row r="76" ht="12.75">
      <c r="U76" s="441"/>
    </row>
    <row r="77" ht="12.75">
      <c r="U77" s="441"/>
    </row>
    <row r="78" ht="12.75">
      <c r="U78" s="441"/>
    </row>
    <row r="79" ht="12.75">
      <c r="U79" s="441"/>
    </row>
    <row r="80" ht="12.75">
      <c r="U80" s="334"/>
    </row>
    <row r="81" ht="12.75">
      <c r="U81" s="334"/>
    </row>
    <row r="82" ht="12.75">
      <c r="U82" s="441"/>
    </row>
    <row r="83" ht="12.75">
      <c r="U83" s="441"/>
    </row>
    <row r="84" ht="12.75">
      <c r="U84" s="441"/>
    </row>
    <row r="85" ht="12.75">
      <c r="U85" s="441"/>
    </row>
    <row r="86" ht="12.75">
      <c r="U86" s="441"/>
    </row>
    <row r="87" ht="12.75">
      <c r="U87" s="441"/>
    </row>
    <row r="88" ht="12.75">
      <c r="U88" s="441"/>
    </row>
    <row r="89" ht="12.75">
      <c r="U89" s="441"/>
    </row>
    <row r="90" ht="12.75">
      <c r="U90" s="441"/>
    </row>
    <row r="91" ht="12.75">
      <c r="U91" s="441"/>
    </row>
    <row r="92" ht="12.75">
      <c r="U92" s="441"/>
    </row>
    <row r="93" ht="12.75">
      <c r="U93" s="441"/>
    </row>
    <row r="94" ht="12.75">
      <c r="U94" s="441"/>
    </row>
    <row r="95" ht="12.75">
      <c r="U95" s="334"/>
    </row>
    <row r="96" ht="12.75">
      <c r="U96" s="441"/>
    </row>
    <row r="97" ht="12.75">
      <c r="U97" s="441"/>
    </row>
    <row r="98" ht="12.75">
      <c r="U98" s="335"/>
    </row>
    <row r="99" ht="12.75">
      <c r="U99" s="441"/>
    </row>
    <row r="100" ht="12.75">
      <c r="U100" s="441"/>
    </row>
    <row r="101" ht="12.75">
      <c r="U101" s="441"/>
    </row>
    <row r="102" ht="12.75">
      <c r="U102" s="441"/>
    </row>
    <row r="103" ht="12.75">
      <c r="U103" s="441"/>
    </row>
    <row r="104" ht="12.75">
      <c r="U104" s="441"/>
    </row>
    <row r="105" ht="12.75">
      <c r="U105" s="441"/>
    </row>
    <row r="106" ht="12.75">
      <c r="U106" s="441"/>
    </row>
    <row r="107" ht="12.75">
      <c r="U107" s="441"/>
    </row>
    <row r="108" ht="12.75">
      <c r="U108" s="441"/>
    </row>
    <row r="109" ht="12.75">
      <c r="U109" s="441"/>
    </row>
    <row r="110" ht="12.75">
      <c r="U110" s="441"/>
    </row>
    <row r="111" ht="12.75">
      <c r="U111" s="441"/>
    </row>
    <row r="112" ht="12.75">
      <c r="U112" s="441"/>
    </row>
    <row r="113" ht="12.75">
      <c r="U113" s="441"/>
    </row>
    <row r="114" ht="12.75">
      <c r="U114" s="441"/>
    </row>
    <row r="115" ht="12.75">
      <c r="U115" s="441"/>
    </row>
    <row r="116" ht="12.75">
      <c r="U116" s="335"/>
    </row>
    <row r="117" ht="12.75">
      <c r="U117" s="441"/>
    </row>
    <row r="118" ht="12.75">
      <c r="U118" s="441"/>
    </row>
    <row r="119" ht="12.75">
      <c r="U119" s="335"/>
    </row>
    <row r="120" ht="12.75">
      <c r="U120" s="335"/>
    </row>
    <row r="121" ht="12.75">
      <c r="U121" s="441"/>
    </row>
    <row r="122" ht="12.75">
      <c r="U122" s="441"/>
    </row>
    <row r="123" ht="12.75">
      <c r="U123" s="441"/>
    </row>
    <row r="124" ht="12.75">
      <c r="U124" s="441"/>
    </row>
    <row r="125" ht="12.75">
      <c r="U125" s="335"/>
    </row>
    <row r="126" ht="12.75">
      <c r="U126" s="441"/>
    </row>
    <row r="127" ht="12.75">
      <c r="U127" s="441"/>
    </row>
    <row r="128" ht="12.75">
      <c r="U128" s="441"/>
    </row>
  </sheetData>
  <sheetProtection password="CC96" sheet="1" objects="1" scenarios="1"/>
  <mergeCells count="19">
    <mergeCell ref="C47:D47"/>
    <mergeCell ref="F47:G47"/>
    <mergeCell ref="C54:D54"/>
    <mergeCell ref="F54:G54"/>
    <mergeCell ref="I47:J47"/>
    <mergeCell ref="I54:J54"/>
    <mergeCell ref="I6:J6"/>
    <mergeCell ref="H8:J8"/>
    <mergeCell ref="I41:J41"/>
    <mergeCell ref="I36:J36"/>
    <mergeCell ref="I38:J38"/>
    <mergeCell ref="I27:J27"/>
    <mergeCell ref="I30:J30"/>
    <mergeCell ref="I32:J32"/>
    <mergeCell ref="I34:J34"/>
    <mergeCell ref="C4:F4"/>
    <mergeCell ref="I4:J4"/>
    <mergeCell ref="C8:E8"/>
    <mergeCell ref="C6:E6"/>
  </mergeCells>
  <dataValidations count="2">
    <dataValidation type="list" allowBlank="1" showInputMessage="1" showErrorMessage="1" sqref="I4:J4">
      <formula1>$U$4:$U$73</formula1>
    </dataValidation>
    <dataValidation type="list" allowBlank="1" showInputMessage="1" showErrorMessage="1" sqref="I6:J6">
      <formula1>$T$4:$T$11</formula1>
    </dataValidation>
  </dataValidations>
  <printOptions/>
  <pageMargins left="0.75" right="0.75" top="0.5" bottom="0.5" header="0.25" footer="0.5"/>
  <pageSetup horizontalDpi="600" verticalDpi="600" orientation="portrait" r:id="rId1"/>
  <headerFooter alignWithMargins="0">
    <oddHeader>&amp;L&amp;"Tahoma,Bold"&amp;11CNMP Planning Tool</oddHeader>
  </headerFooter>
</worksheet>
</file>

<file path=xl/worksheets/sheet7.xml><?xml version="1.0" encoding="utf-8"?>
<worksheet xmlns="http://schemas.openxmlformats.org/spreadsheetml/2006/main" xmlns:r="http://schemas.openxmlformats.org/officeDocument/2006/relationships">
  <sheetPr>
    <tabColor indexed="51"/>
  </sheetPr>
  <dimension ref="A1:Z196"/>
  <sheetViews>
    <sheetView workbookViewId="0" topLeftCell="A1">
      <selection activeCell="G6" sqref="G6:H6"/>
    </sheetView>
  </sheetViews>
  <sheetFormatPr defaultColWidth="9.140625" defaultRowHeight="12.75"/>
  <cols>
    <col min="1" max="1" width="7.7109375" style="1" customWidth="1"/>
    <col min="2" max="2" width="7.7109375" style="371" customWidth="1"/>
    <col min="3" max="4" width="7.28125" style="1" customWidth="1"/>
    <col min="5" max="5" width="7.00390625" style="517" customWidth="1"/>
    <col min="6" max="6" width="7.28125" style="517" customWidth="1"/>
    <col min="7" max="7" width="9.140625" style="1" customWidth="1"/>
    <col min="8" max="8" width="9.140625" style="371" customWidth="1"/>
    <col min="9" max="11" width="7.00390625" style="517" customWidth="1"/>
    <col min="12" max="12" width="7.00390625" style="1" customWidth="1"/>
    <col min="13" max="13" width="7.00390625" style="371" customWidth="1"/>
    <col min="14" max="17" width="9.140625" style="1" customWidth="1"/>
    <col min="18" max="19" width="9.140625" style="1" hidden="1" customWidth="1"/>
    <col min="20" max="20" width="10.7109375" style="1" hidden="1" customWidth="1"/>
    <col min="21" max="25" width="9.140625" style="1" hidden="1" customWidth="1"/>
    <col min="26" max="26" width="0" style="1" hidden="1" customWidth="1"/>
    <col min="27" max="16384" width="9.140625" style="1" customWidth="1"/>
  </cols>
  <sheetData>
    <row r="1" ht="15" customHeight="1">
      <c r="M1" s="1005" t="s">
        <v>64</v>
      </c>
    </row>
    <row r="2" spans="1:13" ht="30" customHeight="1">
      <c r="A2" s="1399" t="s">
        <v>866</v>
      </c>
      <c r="B2" s="1400"/>
      <c r="C2" s="1400"/>
      <c r="D2" s="1400"/>
      <c r="E2" s="1401" t="s">
        <v>867</v>
      </c>
      <c r="F2" s="1401"/>
      <c r="G2" s="1401"/>
      <c r="H2" s="1401"/>
      <c r="I2" s="1401"/>
      <c r="J2" s="1401"/>
      <c r="K2" s="1401"/>
      <c r="L2" s="1401"/>
      <c r="M2" s="1402"/>
    </row>
    <row r="3" spans="1:13" ht="18" customHeight="1">
      <c r="A3" s="1403" t="s">
        <v>868</v>
      </c>
      <c r="B3" s="1404"/>
      <c r="C3" s="1404"/>
      <c r="D3" s="1404"/>
      <c r="E3" s="702" t="s">
        <v>869</v>
      </c>
      <c r="F3" s="702"/>
      <c r="G3" s="702"/>
      <c r="H3" s="702"/>
      <c r="I3" s="702"/>
      <c r="J3" s="702"/>
      <c r="K3" s="702"/>
      <c r="L3" s="702"/>
      <c r="M3" s="471">
        <v>590</v>
      </c>
    </row>
    <row r="4" spans="1:13" ht="12.75">
      <c r="A4" s="1384"/>
      <c r="B4" s="1385"/>
      <c r="C4" s="1385"/>
      <c r="D4" s="1385"/>
      <c r="E4" s="1385"/>
      <c r="F4" s="1385"/>
      <c r="G4" s="1385"/>
      <c r="H4" s="1385"/>
      <c r="I4" s="1385"/>
      <c r="J4" s="1385"/>
      <c r="K4" s="1385"/>
      <c r="L4" s="1385"/>
      <c r="M4" s="1386"/>
    </row>
    <row r="5" spans="1:21" s="472" customFormat="1" ht="18" customHeight="1">
      <c r="A5" s="1387" t="s">
        <v>870</v>
      </c>
      <c r="B5" s="1387"/>
      <c r="C5" s="1387"/>
      <c r="D5" s="1387"/>
      <c r="E5" s="1387"/>
      <c r="F5" s="1387"/>
      <c r="G5" s="1387"/>
      <c r="H5" s="1387"/>
      <c r="I5" s="1387"/>
      <c r="J5" s="1387"/>
      <c r="K5" s="1387"/>
      <c r="L5" s="1387"/>
      <c r="M5" s="1387"/>
      <c r="T5" s="638"/>
      <c r="U5" s="639"/>
    </row>
    <row r="6" spans="1:21" ht="15.75" customHeight="1">
      <c r="A6" s="473" t="s">
        <v>564</v>
      </c>
      <c r="B6" s="1388">
        <f>IF('Basic Info'!F10="","",'Basic Info'!F10)</f>
      </c>
      <c r="C6" s="1389"/>
      <c r="D6" s="1390"/>
      <c r="E6" s="1391" t="s">
        <v>590</v>
      </c>
      <c r="F6" s="1392"/>
      <c r="G6" s="1393"/>
      <c r="H6" s="1394"/>
      <c r="I6" s="1395" t="s">
        <v>565</v>
      </c>
      <c r="J6" s="1391"/>
      <c r="K6" s="1396">
        <f ca="1">TODAY()</f>
        <v>39106</v>
      </c>
      <c r="L6" s="1397"/>
      <c r="M6" s="1398"/>
      <c r="T6" s="636" t="s">
        <v>1060</v>
      </c>
      <c r="U6" s="640"/>
    </row>
    <row r="7" spans="1:21" ht="15.75" customHeight="1">
      <c r="A7" s="474" t="s">
        <v>871</v>
      </c>
      <c r="B7" s="1368">
        <f>IF('Basic Info'!F13="","",'Basic Info'!F13)</f>
      </c>
      <c r="C7" s="1369"/>
      <c r="D7" s="1370"/>
      <c r="E7" s="1372" t="s">
        <v>872</v>
      </c>
      <c r="F7" s="1372"/>
      <c r="G7" s="1382"/>
      <c r="H7" s="1383"/>
      <c r="I7" s="1371" t="s">
        <v>873</v>
      </c>
      <c r="J7" s="1375"/>
      <c r="K7" s="1376"/>
      <c r="L7" s="1377"/>
      <c r="M7" s="1378"/>
      <c r="T7" s="636" t="s">
        <v>1062</v>
      </c>
      <c r="U7" s="640"/>
    </row>
    <row r="8" spans="1:21" ht="15.75" customHeight="1">
      <c r="A8" s="474" t="s">
        <v>1052</v>
      </c>
      <c r="B8" s="1368">
        <f>IF('Basic Info'!F14="","",'Basic Info'!F14)</f>
      </c>
      <c r="C8" s="1369"/>
      <c r="D8" s="1370"/>
      <c r="E8" s="1371" t="s">
        <v>874</v>
      </c>
      <c r="F8" s="1375"/>
      <c r="G8" s="1357"/>
      <c r="H8" s="1359"/>
      <c r="I8" s="1372" t="s">
        <v>875</v>
      </c>
      <c r="J8" s="1372"/>
      <c r="K8" s="1379"/>
      <c r="L8" s="1380"/>
      <c r="M8" s="1381"/>
      <c r="T8" s="636" t="s">
        <v>1063</v>
      </c>
      <c r="U8" s="640"/>
    </row>
    <row r="9" spans="1:21" ht="15.75" customHeight="1">
      <c r="A9" s="474" t="s">
        <v>1053</v>
      </c>
      <c r="B9" s="1368">
        <f>IF('Basic Info'!I14="","",'Basic Info'!I14)</f>
      </c>
      <c r="C9" s="1369"/>
      <c r="D9" s="1370"/>
      <c r="E9" s="1371" t="s">
        <v>876</v>
      </c>
      <c r="F9" s="1372"/>
      <c r="G9" s="1373"/>
      <c r="H9" s="1374"/>
      <c r="I9" s="1372" t="s">
        <v>877</v>
      </c>
      <c r="J9" s="1372"/>
      <c r="K9" s="1357"/>
      <c r="L9" s="1358"/>
      <c r="M9" s="1359"/>
      <c r="T9" s="636" t="s">
        <v>1064</v>
      </c>
      <c r="U9" s="640"/>
    </row>
    <row r="10" spans="1:21" ht="15.75" customHeight="1">
      <c r="A10" s="474" t="s">
        <v>1054</v>
      </c>
      <c r="B10" s="1368">
        <f>IF('Basic Info'!L14="","",'Basic Info'!L14)</f>
      </c>
      <c r="C10" s="1369"/>
      <c r="D10" s="1370"/>
      <c r="E10" s="1371" t="s">
        <v>568</v>
      </c>
      <c r="F10" s="1375"/>
      <c r="G10" s="855"/>
      <c r="H10" s="856">
        <f>IF(G9="","",VLOOKUP(G9,Tables2!A5:C84,3,FALSE))</f>
      </c>
      <c r="I10" s="1372" t="s">
        <v>878</v>
      </c>
      <c r="J10" s="1372"/>
      <c r="K10" s="1357"/>
      <c r="L10" s="1358"/>
      <c r="M10" s="1359"/>
      <c r="T10" s="636" t="s">
        <v>1065</v>
      </c>
      <c r="U10" s="640"/>
    </row>
    <row r="11" spans="1:21" ht="15.75" customHeight="1">
      <c r="A11" s="474" t="s">
        <v>879</v>
      </c>
      <c r="B11" s="1368">
        <f>IF('Basic Info'!F15="","",'Basic Info'!F15)</f>
      </c>
      <c r="C11" s="1369"/>
      <c r="D11" s="1370"/>
      <c r="E11" s="1371" t="s">
        <v>880</v>
      </c>
      <c r="F11" s="1372"/>
      <c r="G11" s="1373"/>
      <c r="H11" s="1374"/>
      <c r="I11" s="1372" t="s">
        <v>881</v>
      </c>
      <c r="J11" s="1372"/>
      <c r="K11" s="1357"/>
      <c r="L11" s="1358"/>
      <c r="M11" s="1359"/>
      <c r="T11" s="636" t="s">
        <v>1066</v>
      </c>
      <c r="U11" s="640"/>
    </row>
    <row r="12" spans="1:21" ht="15.75" customHeight="1">
      <c r="A12" s="475" t="s">
        <v>882</v>
      </c>
      <c r="B12" s="1360">
        <f>IF('Basic Info'!F16="","",'Basic Info'!F16)</f>
      </c>
      <c r="C12" s="1361"/>
      <c r="D12" s="1362"/>
      <c r="E12" s="1363" t="s">
        <v>883</v>
      </c>
      <c r="F12" s="1364"/>
      <c r="G12" s="857"/>
      <c r="H12" s="858">
        <f>IF(G11="","",VLOOKUP(G11,Tables2!A5:C84,3,FALSE))</f>
      </c>
      <c r="I12" s="1363" t="s">
        <v>884</v>
      </c>
      <c r="J12" s="1364"/>
      <c r="K12" s="1365"/>
      <c r="L12" s="1366"/>
      <c r="M12" s="1367"/>
      <c r="T12" s="636" t="s">
        <v>1068</v>
      </c>
      <c r="U12" s="640"/>
    </row>
    <row r="13" spans="1:21" s="64" customFormat="1" ht="7.5" customHeight="1">
      <c r="A13" s="751"/>
      <c r="B13" s="752"/>
      <c r="C13" s="752"/>
      <c r="D13" s="752"/>
      <c r="E13" s="751"/>
      <c r="F13" s="751"/>
      <c r="G13" s="753"/>
      <c r="H13" s="753"/>
      <c r="I13" s="751"/>
      <c r="J13" s="751"/>
      <c r="K13" s="753"/>
      <c r="L13" s="753"/>
      <c r="M13" s="753"/>
      <c r="T13" s="636" t="s">
        <v>1069</v>
      </c>
      <c r="U13" s="640"/>
    </row>
    <row r="14" spans="1:21" ht="18" customHeight="1">
      <c r="A14" s="1220" t="s">
        <v>885</v>
      </c>
      <c r="B14" s="1220"/>
      <c r="C14" s="1220"/>
      <c r="D14" s="1220"/>
      <c r="E14" s="1220"/>
      <c r="F14" s="1220"/>
      <c r="G14" s="1220"/>
      <c r="H14" s="1220"/>
      <c r="I14" s="1220"/>
      <c r="J14" s="1220"/>
      <c r="K14" s="1220"/>
      <c r="L14" s="1220"/>
      <c r="M14" s="1220"/>
      <c r="T14" s="636" t="s">
        <v>1070</v>
      </c>
      <c r="U14" s="640"/>
    </row>
    <row r="15" spans="1:21" ht="13.5" customHeight="1">
      <c r="A15" s="477"/>
      <c r="B15" s="545" t="s">
        <v>1045</v>
      </c>
      <c r="C15" s="479"/>
      <c r="D15" s="479"/>
      <c r="E15" s="479"/>
      <c r="F15" s="480"/>
      <c r="G15" s="481"/>
      <c r="H15" s="482"/>
      <c r="I15" s="483"/>
      <c r="J15" s="483"/>
      <c r="K15" s="482"/>
      <c r="L15" s="481"/>
      <c r="M15" s="484"/>
      <c r="T15" s="636" t="s">
        <v>1071</v>
      </c>
      <c r="U15" s="640"/>
    </row>
    <row r="16" spans="1:21" ht="13.5" customHeight="1">
      <c r="A16" s="485"/>
      <c r="B16" s="546" t="s">
        <v>1046</v>
      </c>
      <c r="C16" s="487"/>
      <c r="D16" s="487"/>
      <c r="E16" s="487"/>
      <c r="F16" s="488"/>
      <c r="G16" s="472"/>
      <c r="H16" s="489"/>
      <c r="I16" s="486"/>
      <c r="J16" s="486"/>
      <c r="K16" s="489"/>
      <c r="L16" s="472"/>
      <c r="M16" s="490"/>
      <c r="T16" s="636" t="s">
        <v>1072</v>
      </c>
      <c r="U16" s="640"/>
    </row>
    <row r="17" spans="1:21" ht="13.5" customHeight="1">
      <c r="A17" s="485"/>
      <c r="B17" s="546" t="s">
        <v>1047</v>
      </c>
      <c r="C17" s="487"/>
      <c r="D17" s="487"/>
      <c r="E17" s="487"/>
      <c r="F17" s="488"/>
      <c r="G17" s="472"/>
      <c r="H17" s="489"/>
      <c r="I17" s="544"/>
      <c r="J17" s="486"/>
      <c r="K17" s="489"/>
      <c r="L17" s="472"/>
      <c r="M17" s="490"/>
      <c r="T17" s="636" t="s">
        <v>1073</v>
      </c>
      <c r="U17" s="640"/>
    </row>
    <row r="18" spans="1:21" ht="13.5" customHeight="1">
      <c r="A18" s="485"/>
      <c r="B18" s="546" t="s">
        <v>1049</v>
      </c>
      <c r="C18" s="487"/>
      <c r="D18" s="487"/>
      <c r="E18" s="487"/>
      <c r="F18" s="488"/>
      <c r="G18" s="472"/>
      <c r="H18" s="489"/>
      <c r="I18" s="486"/>
      <c r="J18" s="486"/>
      <c r="K18" s="489"/>
      <c r="L18" s="472"/>
      <c r="M18" s="490"/>
      <c r="T18" s="636" t="s">
        <v>1074</v>
      </c>
      <c r="U18" s="640"/>
    </row>
    <row r="19" spans="1:21" ht="13.5" customHeight="1">
      <c r="A19" s="491"/>
      <c r="B19" s="547" t="s">
        <v>1048</v>
      </c>
      <c r="C19" s="493"/>
      <c r="D19" s="493"/>
      <c r="E19" s="493"/>
      <c r="F19" s="458"/>
      <c r="G19" s="492"/>
      <c r="H19" s="343"/>
      <c r="I19" s="494"/>
      <c r="J19" s="494"/>
      <c r="K19" s="343"/>
      <c r="L19" s="492"/>
      <c r="M19" s="495"/>
      <c r="T19" s="636" t="s">
        <v>1075</v>
      </c>
      <c r="U19" s="640"/>
    </row>
    <row r="20" spans="1:21" ht="7.5" customHeight="1">
      <c r="A20" s="749"/>
      <c r="B20" s="750"/>
      <c r="C20" s="487"/>
      <c r="D20" s="487"/>
      <c r="E20" s="487"/>
      <c r="F20" s="488"/>
      <c r="G20" s="472"/>
      <c r="H20" s="489"/>
      <c r="I20" s="486"/>
      <c r="J20" s="486"/>
      <c r="K20" s="489"/>
      <c r="L20" s="472"/>
      <c r="M20" s="489"/>
      <c r="T20" s="636" t="s">
        <v>1076</v>
      </c>
      <c r="U20" s="640"/>
    </row>
    <row r="21" spans="1:21" ht="18" customHeight="1">
      <c r="A21" s="1220" t="s">
        <v>886</v>
      </c>
      <c r="B21" s="1220"/>
      <c r="C21" s="1220"/>
      <c r="D21" s="1220"/>
      <c r="E21" s="1220"/>
      <c r="F21" s="1220"/>
      <c r="G21" s="1220"/>
      <c r="H21" s="1220"/>
      <c r="I21" s="1220"/>
      <c r="J21" s="1220"/>
      <c r="K21" s="1220"/>
      <c r="L21" s="1220"/>
      <c r="M21" s="1220"/>
      <c r="T21" s="636" t="s">
        <v>1077</v>
      </c>
      <c r="U21" s="640"/>
    </row>
    <row r="22" spans="1:21" ht="15.75" customHeight="1">
      <c r="A22" s="1240" t="s">
        <v>588</v>
      </c>
      <c r="B22" s="1242"/>
      <c r="C22" s="1352"/>
      <c r="D22" s="1353"/>
      <c r="E22" s="1353"/>
      <c r="F22" s="1353"/>
      <c r="G22" s="1353"/>
      <c r="H22" s="1353"/>
      <c r="I22" s="1354"/>
      <c r="J22" s="1240" t="s">
        <v>887</v>
      </c>
      <c r="K22" s="1242"/>
      <c r="L22" s="1355"/>
      <c r="M22" s="1356"/>
      <c r="T22" s="636" t="s">
        <v>1078</v>
      </c>
      <c r="U22" s="640"/>
    </row>
    <row r="23" spans="1:21" ht="15.75" customHeight="1">
      <c r="A23" s="1346" t="s">
        <v>888</v>
      </c>
      <c r="B23" s="1347"/>
      <c r="C23" s="1347"/>
      <c r="D23" s="496" t="s">
        <v>889</v>
      </c>
      <c r="E23" s="673"/>
      <c r="F23" s="674" t="s">
        <v>813</v>
      </c>
      <c r="G23" s="673"/>
      <c r="H23" s="675" t="s">
        <v>890</v>
      </c>
      <c r="I23" s="673"/>
      <c r="J23" s="675" t="s">
        <v>823</v>
      </c>
      <c r="K23" s="673"/>
      <c r="L23" s="675" t="s">
        <v>891</v>
      </c>
      <c r="M23" s="676"/>
      <c r="T23" s="636" t="s">
        <v>1079</v>
      </c>
      <c r="U23" s="640"/>
    </row>
    <row r="24" spans="1:21" ht="13.5" customHeight="1">
      <c r="A24" s="1348" t="s">
        <v>892</v>
      </c>
      <c r="B24" s="1350" t="s">
        <v>893</v>
      </c>
      <c r="C24" s="1338" t="s">
        <v>894</v>
      </c>
      <c r="D24" s="1338" t="s">
        <v>895</v>
      </c>
      <c r="E24" s="1340" t="s">
        <v>1050</v>
      </c>
      <c r="F24" s="1342" t="s">
        <v>896</v>
      </c>
      <c r="G24" s="1343" t="s">
        <v>897</v>
      </c>
      <c r="H24" s="1344"/>
      <c r="I24" s="1344"/>
      <c r="J24" s="1344"/>
      <c r="K24" s="1344"/>
      <c r="L24" s="1344"/>
      <c r="M24" s="1345"/>
      <c r="T24" s="636" t="s">
        <v>1080</v>
      </c>
      <c r="U24" s="640"/>
    </row>
    <row r="25" spans="1:21" ht="13.5" customHeight="1">
      <c r="A25" s="1349"/>
      <c r="B25" s="1351"/>
      <c r="C25" s="1339"/>
      <c r="D25" s="1339"/>
      <c r="E25" s="1341"/>
      <c r="F25" s="1339"/>
      <c r="G25" s="460" t="s">
        <v>898</v>
      </c>
      <c r="H25" s="460" t="s">
        <v>899</v>
      </c>
      <c r="I25" s="497" t="s">
        <v>428</v>
      </c>
      <c r="J25" s="497" t="s">
        <v>900</v>
      </c>
      <c r="K25" s="497" t="s">
        <v>901</v>
      </c>
      <c r="L25" s="497" t="s">
        <v>902</v>
      </c>
      <c r="M25" s="497" t="s">
        <v>903</v>
      </c>
      <c r="T25" s="636" t="s">
        <v>1082</v>
      </c>
      <c r="U25" s="640"/>
    </row>
    <row r="26" spans="1:21" ht="15.75" customHeight="1">
      <c r="A26" s="660"/>
      <c r="B26" s="661"/>
      <c r="C26" s="662"/>
      <c r="D26" s="663"/>
      <c r="E26" s="663"/>
      <c r="F26" s="663"/>
      <c r="G26" s="663"/>
      <c r="H26" s="663"/>
      <c r="I26" s="663"/>
      <c r="J26" s="663"/>
      <c r="K26" s="663"/>
      <c r="L26" s="663"/>
      <c r="M26" s="664"/>
      <c r="T26" s="636" t="s">
        <v>1083</v>
      </c>
      <c r="U26" s="640"/>
    </row>
    <row r="27" spans="1:21" ht="15.75" customHeight="1">
      <c r="A27" s="665"/>
      <c r="B27" s="666"/>
      <c r="C27" s="667"/>
      <c r="D27" s="668"/>
      <c r="E27" s="668"/>
      <c r="F27" s="668"/>
      <c r="G27" s="668"/>
      <c r="H27" s="668"/>
      <c r="I27" s="668"/>
      <c r="J27" s="668"/>
      <c r="K27" s="668"/>
      <c r="L27" s="668"/>
      <c r="M27" s="669"/>
      <c r="T27" s="636" t="s">
        <v>1084</v>
      </c>
      <c r="U27" s="640"/>
    </row>
    <row r="28" spans="1:21" s="498" customFormat="1" ht="15.75" customHeight="1">
      <c r="A28" s="670"/>
      <c r="B28" s="671"/>
      <c r="C28" s="671"/>
      <c r="D28" s="671"/>
      <c r="E28" s="671"/>
      <c r="F28" s="671"/>
      <c r="G28" s="671"/>
      <c r="H28" s="671"/>
      <c r="I28" s="671"/>
      <c r="J28" s="671"/>
      <c r="K28" s="671"/>
      <c r="L28" s="671"/>
      <c r="M28" s="672"/>
      <c r="T28" s="636" t="s">
        <v>1085</v>
      </c>
      <c r="U28" s="641"/>
    </row>
    <row r="29" spans="1:21" s="755" customFormat="1" ht="7.5" customHeight="1">
      <c r="A29" s="754"/>
      <c r="B29" s="754"/>
      <c r="C29" s="754"/>
      <c r="D29" s="754"/>
      <c r="E29" s="754"/>
      <c r="F29" s="754"/>
      <c r="G29" s="754"/>
      <c r="H29" s="754"/>
      <c r="I29" s="754"/>
      <c r="J29" s="754"/>
      <c r="K29" s="754"/>
      <c r="L29" s="754"/>
      <c r="M29" s="754"/>
      <c r="T29" s="636" t="s">
        <v>1086</v>
      </c>
      <c r="U29" s="641"/>
    </row>
    <row r="30" spans="1:24" ht="18" customHeight="1">
      <c r="A30" s="1220" t="s">
        <v>904</v>
      </c>
      <c r="B30" s="1220"/>
      <c r="C30" s="1220"/>
      <c r="D30" s="1220"/>
      <c r="E30" s="1220"/>
      <c r="F30" s="1220"/>
      <c r="G30" s="1220"/>
      <c r="H30" s="1220"/>
      <c r="I30" s="1220"/>
      <c r="J30" s="1220"/>
      <c r="K30" s="1220"/>
      <c r="L30" s="1220"/>
      <c r="M30" s="1220"/>
      <c r="S30" s="637"/>
      <c r="T30" s="636" t="s">
        <v>1087</v>
      </c>
      <c r="U30" s="640"/>
      <c r="V30" s="637"/>
      <c r="W30" s="637"/>
      <c r="X30" s="637"/>
    </row>
    <row r="31" spans="1:24" ht="15.75" customHeight="1">
      <c r="A31" s="1328" t="s">
        <v>905</v>
      </c>
      <c r="B31" s="1335"/>
      <c r="C31" s="1335"/>
      <c r="D31" s="1335"/>
      <c r="E31" s="1335"/>
      <c r="F31" s="1335"/>
      <c r="G31" s="1336" t="s">
        <v>906</v>
      </c>
      <c r="H31" s="1336"/>
      <c r="I31" s="1336"/>
      <c r="J31" s="1336"/>
      <c r="K31" s="1336"/>
      <c r="L31" s="1336"/>
      <c r="M31" s="1337"/>
      <c r="S31" s="637" t="s">
        <v>506</v>
      </c>
      <c r="T31" s="636" t="s">
        <v>1088</v>
      </c>
      <c r="U31" s="640"/>
      <c r="V31" s="637" t="s">
        <v>17</v>
      </c>
      <c r="W31" s="637"/>
      <c r="X31" s="637"/>
    </row>
    <row r="32" spans="1:24" ht="14.25" customHeight="1">
      <c r="A32" s="1181" t="s">
        <v>777</v>
      </c>
      <c r="B32" s="1182"/>
      <c r="C32" s="1182"/>
      <c r="D32" s="1182"/>
      <c r="E32" s="774"/>
      <c r="F32" s="704"/>
      <c r="G32" s="705" t="s">
        <v>573</v>
      </c>
      <c r="H32" s="705" t="s">
        <v>907</v>
      </c>
      <c r="I32" s="705" t="s">
        <v>908</v>
      </c>
      <c r="J32" s="705" t="s">
        <v>901</v>
      </c>
      <c r="K32" s="706" t="s">
        <v>902</v>
      </c>
      <c r="L32" s="705" t="s">
        <v>903</v>
      </c>
      <c r="M32" s="653"/>
      <c r="S32" s="637" t="s">
        <v>507</v>
      </c>
      <c r="T32" s="636" t="s">
        <v>1089</v>
      </c>
      <c r="U32" s="640"/>
      <c r="V32" s="637" t="s">
        <v>18</v>
      </c>
      <c r="W32" s="637"/>
      <c r="X32" s="637"/>
    </row>
    <row r="33" spans="1:21" ht="14.25" customHeight="1">
      <c r="A33" s="707"/>
      <c r="B33" s="1162"/>
      <c r="C33" s="1163"/>
      <c r="D33" s="1164"/>
      <c r="E33" s="758"/>
      <c r="F33" s="759" t="s">
        <v>778</v>
      </c>
      <c r="G33" s="760"/>
      <c r="H33" s="761"/>
      <c r="I33" s="761"/>
      <c r="J33" s="761"/>
      <c r="K33" s="761"/>
      <c r="L33" s="761"/>
      <c r="M33" s="762"/>
      <c r="T33" s="636" t="s">
        <v>1090</v>
      </c>
      <c r="U33" s="640"/>
    </row>
    <row r="34" spans="1:21" ht="9" customHeight="1">
      <c r="A34" s="708"/>
      <c r="B34" s="763"/>
      <c r="C34" s="763"/>
      <c r="D34" s="763"/>
      <c r="E34" s="745"/>
      <c r="F34" s="746"/>
      <c r="G34" s="238"/>
      <c r="H34" s="238"/>
      <c r="I34" s="238"/>
      <c r="J34" s="747"/>
      <c r="K34" s="747"/>
      <c r="L34" s="747"/>
      <c r="M34" s="748"/>
      <c r="T34" s="636" t="s">
        <v>1091</v>
      </c>
      <c r="U34" s="640"/>
    </row>
    <row r="35" spans="1:21" ht="14.25" customHeight="1">
      <c r="A35" s="513"/>
      <c r="B35" s="1455" t="s">
        <v>779</v>
      </c>
      <c r="C35" s="1435"/>
      <c r="D35" s="1459" t="s">
        <v>920</v>
      </c>
      <c r="E35" s="1459" t="s">
        <v>921</v>
      </c>
      <c r="F35" s="1459" t="s">
        <v>922</v>
      </c>
      <c r="G35" s="1459" t="s">
        <v>923</v>
      </c>
      <c r="H35" s="1430" t="s">
        <v>924</v>
      </c>
      <c r="I35" s="1125"/>
      <c r="J35" s="1126"/>
      <c r="K35" s="1430" t="s">
        <v>925</v>
      </c>
      <c r="L35" s="1125"/>
      <c r="M35" s="1126"/>
      <c r="T35" s="636" t="s">
        <v>1092</v>
      </c>
      <c r="U35" s="640"/>
    </row>
    <row r="36" spans="1:21" ht="14.25" customHeight="1">
      <c r="A36" s="775"/>
      <c r="B36" s="1456"/>
      <c r="C36" s="1437"/>
      <c r="D36" s="1461"/>
      <c r="E36" s="1460"/>
      <c r="F36" s="1460"/>
      <c r="G36" s="1460"/>
      <c r="H36" s="503" t="s">
        <v>573</v>
      </c>
      <c r="I36" s="503" t="s">
        <v>428</v>
      </c>
      <c r="J36" s="503" t="s">
        <v>900</v>
      </c>
      <c r="K36" s="502" t="s">
        <v>573</v>
      </c>
      <c r="L36" s="504" t="s">
        <v>926</v>
      </c>
      <c r="M36" s="503" t="s">
        <v>927</v>
      </c>
      <c r="T36" s="636" t="s">
        <v>1093</v>
      </c>
      <c r="U36" s="640"/>
    </row>
    <row r="37" spans="1:22" ht="14.25" customHeight="1">
      <c r="A37" s="776"/>
      <c r="B37" s="1421">
        <f>IF(B33="","",IF(B33="Soil Test Recommendation","",G9))</f>
      </c>
      <c r="C37" s="1422"/>
      <c r="D37" s="710">
        <f>IF(B37="","",G10)</f>
      </c>
      <c r="E37" s="757">
        <f>IF(B37="","",H10)</f>
      </c>
      <c r="F37" s="710">
        <f>IF($B37="","",VLOOKUP($B37,Tables2!A5:K84,4,FALSE))</f>
      </c>
      <c r="G37" s="710">
        <f>IF($B37="","",VLOOKUP($B37,Tables2!$A$5:$K$84,5,FALSE))</f>
      </c>
      <c r="H37" s="756">
        <f>IF($B37="","",VLOOKUP($B37,Tables2!$A$5:$K$84,6,FALSE))</f>
      </c>
      <c r="I37" s="756">
        <f>IF($B37="","",VLOOKUP($B37,Tables2!$A$5:$K$84,7,FALSE))</f>
      </c>
      <c r="J37" s="756">
        <f>IF($B37="","",VLOOKUP($B37,Tables2!$A$5:$K$84,8,FALSE))</f>
      </c>
      <c r="K37" s="711">
        <f>IF(H37="","",$D$37*$F$37*($G$37/100)*(H37/100))</f>
      </c>
      <c r="L37" s="711">
        <f>IF(I37="","",$D$37*$F$37*($G$37/100)*(I37/100)*2.29)</f>
      </c>
      <c r="M37" s="711">
        <f>IF(J37="","",$D$37*$F$37*($G$37/100)*(J37/100)*1.2)</f>
      </c>
      <c r="T37" s="636" t="s">
        <v>1094</v>
      </c>
      <c r="U37" s="640"/>
      <c r="V37" s="637" t="s">
        <v>654</v>
      </c>
    </row>
    <row r="38" spans="1:22" ht="7.5" customHeight="1">
      <c r="A38" s="776"/>
      <c r="B38" s="764"/>
      <c r="C38" s="764"/>
      <c r="D38" s="765"/>
      <c r="E38" s="765"/>
      <c r="F38" s="765"/>
      <c r="G38" s="765"/>
      <c r="H38" s="766"/>
      <c r="I38" s="766"/>
      <c r="J38" s="766"/>
      <c r="K38" s="767"/>
      <c r="L38" s="767"/>
      <c r="M38" s="777"/>
      <c r="T38" s="636" t="s">
        <v>1095</v>
      </c>
      <c r="U38" s="640"/>
      <c r="V38" s="637"/>
    </row>
    <row r="39" spans="1:22" ht="15.75" customHeight="1">
      <c r="A39" s="1418" t="s">
        <v>780</v>
      </c>
      <c r="B39" s="1419"/>
      <c r="C39" s="1419"/>
      <c r="D39" s="1419"/>
      <c r="E39" s="1419"/>
      <c r="F39" s="1419"/>
      <c r="G39" s="1419"/>
      <c r="H39" s="1419"/>
      <c r="I39" s="1419"/>
      <c r="J39" s="1419"/>
      <c r="K39" s="1419"/>
      <c r="L39" s="1419"/>
      <c r="M39" s="1420"/>
      <c r="T39" s="636" t="s">
        <v>1096</v>
      </c>
      <c r="U39" s="640"/>
      <c r="V39" s="637">
        <f>Tables2!A93</f>
        <v>0</v>
      </c>
    </row>
    <row r="40" spans="1:22" ht="14.25" customHeight="1">
      <c r="A40" s="513"/>
      <c r="B40" s="1457" t="s">
        <v>782</v>
      </c>
      <c r="C40" s="1428" t="s">
        <v>928</v>
      </c>
      <c r="D40" s="1427"/>
      <c r="E40" s="1427"/>
      <c r="F40" s="1427"/>
      <c r="G40" s="1427"/>
      <c r="H40" s="1427"/>
      <c r="I40" s="1427"/>
      <c r="J40" s="1427"/>
      <c r="K40" s="1427"/>
      <c r="L40" s="1427"/>
      <c r="M40" s="1423"/>
      <c r="T40" s="636" t="s">
        <v>1097</v>
      </c>
      <c r="U40" s="640"/>
      <c r="V40" s="637">
        <f>Tables2!A94</f>
        <v>2</v>
      </c>
    </row>
    <row r="41" spans="1:22" ht="14.25" customHeight="1">
      <c r="A41" s="768"/>
      <c r="B41" s="1458"/>
      <c r="C41" s="1428" t="s">
        <v>929</v>
      </c>
      <c r="D41" s="1125"/>
      <c r="E41" s="1126"/>
      <c r="F41" s="1428" t="s">
        <v>930</v>
      </c>
      <c r="G41" s="1423"/>
      <c r="H41" s="1428" t="s">
        <v>931</v>
      </c>
      <c r="I41" s="1427"/>
      <c r="J41" s="1407"/>
      <c r="K41" s="1426" t="s">
        <v>781</v>
      </c>
      <c r="L41" s="1427"/>
      <c r="M41" s="1423"/>
      <c r="T41" s="636" t="s">
        <v>1098</v>
      </c>
      <c r="U41" s="640"/>
      <c r="V41" s="637">
        <f>Tables2!A95</f>
        <v>4</v>
      </c>
    </row>
    <row r="42" spans="1:22" ht="14.25" customHeight="1">
      <c r="A42" s="769"/>
      <c r="B42" s="506"/>
      <c r="C42" s="1251">
        <f>IF(B42&gt;0,VLOOKUP(B42,Tables2!A93:E103,2)+(40),"")</f>
      </c>
      <c r="D42" s="1406"/>
      <c r="E42" s="1407"/>
      <c r="F42" s="1251">
        <f>IF(B42&gt;0,VLOOKUP(B42,Tables2!A93:E103,3)+(40),"")</f>
      </c>
      <c r="G42" s="1423"/>
      <c r="H42" s="1251">
        <f>IF(B42&gt;0,VLOOKUP(B42,Tables2!A93:E103,4)+(40),"")</f>
      </c>
      <c r="I42" s="1424"/>
      <c r="J42" s="1429"/>
      <c r="K42" s="1251">
        <f>IF(B42&gt;0,VLOOKUP(B42,Tables2!A93:E103,5)+(40),"")</f>
      </c>
      <c r="L42" s="1424"/>
      <c r="M42" s="1425"/>
      <c r="T42" s="636" t="s">
        <v>1099</v>
      </c>
      <c r="U42" s="640"/>
      <c r="V42" s="637">
        <f>Tables2!A96</f>
        <v>6</v>
      </c>
    </row>
    <row r="43" spans="1:22" ht="12" customHeight="1">
      <c r="A43" s="513"/>
      <c r="B43" s="1413" t="s">
        <v>783</v>
      </c>
      <c r="C43" s="1409"/>
      <c r="D43" s="1409"/>
      <c r="E43" s="1409"/>
      <c r="F43" s="1409"/>
      <c r="G43" s="1409"/>
      <c r="H43" s="1409"/>
      <c r="I43" s="1409"/>
      <c r="J43" s="1409"/>
      <c r="K43" s="1409"/>
      <c r="L43" s="1409"/>
      <c r="M43" s="1414"/>
      <c r="T43" s="636" t="s">
        <v>1100</v>
      </c>
      <c r="U43" s="640"/>
      <c r="V43" s="637">
        <f>Tables2!A97</f>
        <v>8</v>
      </c>
    </row>
    <row r="44" spans="1:26" ht="12" customHeight="1">
      <c r="A44" s="770"/>
      <c r="B44" s="1415"/>
      <c r="C44" s="1416"/>
      <c r="D44" s="1416"/>
      <c r="E44" s="1416"/>
      <c r="F44" s="1416"/>
      <c r="G44" s="1416"/>
      <c r="H44" s="1416"/>
      <c r="I44" s="1416"/>
      <c r="J44" s="1416"/>
      <c r="K44" s="1416"/>
      <c r="L44" s="1416"/>
      <c r="M44" s="1417"/>
      <c r="T44" s="636" t="s">
        <v>1101</v>
      </c>
      <c r="U44" s="640"/>
      <c r="V44" s="637">
        <f>Tables2!A98</f>
        <v>10</v>
      </c>
      <c r="X44" s="800" t="s">
        <v>653</v>
      </c>
      <c r="Y44" s="637"/>
      <c r="Z44" s="637"/>
    </row>
    <row r="45" spans="1:26" ht="7.5" customHeight="1">
      <c r="A45" s="701"/>
      <c r="B45" s="771"/>
      <c r="C45" s="771"/>
      <c r="D45" s="771"/>
      <c r="E45" s="771"/>
      <c r="F45" s="771"/>
      <c r="G45" s="771"/>
      <c r="H45" s="771"/>
      <c r="I45" s="771"/>
      <c r="J45" s="771"/>
      <c r="K45" s="771"/>
      <c r="L45" s="771"/>
      <c r="M45" s="778"/>
      <c r="T45" s="636" t="s">
        <v>1102</v>
      </c>
      <c r="U45" s="640"/>
      <c r="V45" s="637">
        <f>Tables2!A99</f>
        <v>12</v>
      </c>
      <c r="X45" s="800"/>
      <c r="Y45" s="637"/>
      <c r="Z45" s="637"/>
    </row>
    <row r="46" spans="1:26" ht="15.75" customHeight="1">
      <c r="A46" s="1418" t="s">
        <v>932</v>
      </c>
      <c r="B46" s="1445"/>
      <c r="C46" s="1445"/>
      <c r="D46" s="1445"/>
      <c r="E46" s="1445"/>
      <c r="F46" s="1445"/>
      <c r="G46" s="1445"/>
      <c r="H46" s="1445"/>
      <c r="I46" s="1445"/>
      <c r="J46" s="1445"/>
      <c r="K46" s="1445"/>
      <c r="L46" s="1445"/>
      <c r="M46" s="1446"/>
      <c r="T46" s="636" t="s">
        <v>1103</v>
      </c>
      <c r="U46" s="640"/>
      <c r="V46" s="637">
        <f>Tables2!A100</f>
        <v>14</v>
      </c>
      <c r="X46" s="800" t="str">
        <f>Tables2!A111</f>
        <v>Beef Cattle, liquid lagoon with runoff </v>
      </c>
      <c r="Y46" s="637"/>
      <c r="Z46" s="637"/>
    </row>
    <row r="47" spans="1:26" ht="14.25" customHeight="1">
      <c r="A47" s="772"/>
      <c r="B47" s="1433" t="s">
        <v>82</v>
      </c>
      <c r="C47" s="1434"/>
      <c r="D47" s="1435"/>
      <c r="E47" s="1447" t="s">
        <v>933</v>
      </c>
      <c r="F47" s="1433"/>
      <c r="G47" s="1448"/>
      <c r="H47" s="1452" t="s">
        <v>15</v>
      </c>
      <c r="I47" s="1453"/>
      <c r="J47" s="1453"/>
      <c r="K47" s="1453"/>
      <c r="L47" s="1453"/>
      <c r="M47" s="1454"/>
      <c r="T47" s="636" t="s">
        <v>1104</v>
      </c>
      <c r="U47" s="640"/>
      <c r="V47" s="637">
        <f>Tables2!A101</f>
        <v>16</v>
      </c>
      <c r="X47" s="800" t="str">
        <f>Tables2!A112</f>
        <v>Beef Cattle, solid </v>
      </c>
      <c r="Y47" s="637"/>
      <c r="Z47" s="637"/>
    </row>
    <row r="48" spans="1:26" ht="14.25" customHeight="1">
      <c r="A48" s="773"/>
      <c r="B48" s="1436"/>
      <c r="C48" s="1436"/>
      <c r="D48" s="1437"/>
      <c r="E48" s="1449"/>
      <c r="F48" s="1450"/>
      <c r="G48" s="1451"/>
      <c r="H48" s="507" t="s">
        <v>934</v>
      </c>
      <c r="I48" s="507" t="s">
        <v>935</v>
      </c>
      <c r="J48" s="507" t="s">
        <v>936</v>
      </c>
      <c r="K48" s="507" t="s">
        <v>937</v>
      </c>
      <c r="L48" s="507" t="s">
        <v>938</v>
      </c>
      <c r="M48" s="461" t="s">
        <v>927</v>
      </c>
      <c r="T48" s="636" t="s">
        <v>1105</v>
      </c>
      <c r="U48" s="640"/>
      <c r="V48" s="637">
        <f>Tables2!A102</f>
        <v>18</v>
      </c>
      <c r="X48" s="800" t="str">
        <f>Tables2!A113</f>
        <v>Chicken, solid with litter </v>
      </c>
      <c r="Y48" s="637"/>
      <c r="Z48" s="637"/>
    </row>
    <row r="49" spans="1:26" ht="15" customHeight="1">
      <c r="A49" s="1008"/>
      <c r="B49" s="1431"/>
      <c r="C49" s="1432"/>
      <c r="D49" s="1422"/>
      <c r="E49" s="652"/>
      <c r="F49" s="634">
        <f>IF(ISTEXT(B49),VLOOKUP(B49,Tables2!A111:K130,2),"")</f>
      </c>
      <c r="G49" s="635" t="s">
        <v>939</v>
      </c>
      <c r="H49" s="534">
        <f>IF(ISTEXT($B49),VLOOKUP($B49,Tables2!A111:K130,4)*($E49),"")</f>
      </c>
      <c r="I49" s="534">
        <f>IF(ISTEXT($B49),VLOOKUP($B49,Tables2!A111:K130,5)*($E49),"")</f>
      </c>
      <c r="J49" s="534">
        <f>IF(ISTEXT($B49),VLOOKUP($B49,Tables2!$A111:$K130,6)*($E49),"")</f>
      </c>
      <c r="K49" s="534">
        <f>IF(ISTEXT($B49),VLOOKUP($B49,Tables2!$A111:$K130,7)*($E49),"")</f>
      </c>
      <c r="L49" s="534">
        <f>IF(ISTEXT($B49),VLOOKUP($B49,Tables2!$A111:$K130,8)*($E49),"")</f>
      </c>
      <c r="M49" s="533">
        <f>IF(ISTEXT($B49),VLOOKUP($B49,Tables2!$A111:$K130,9)*($E49*0.8),"")</f>
      </c>
      <c r="T49" s="636" t="s">
        <v>1106</v>
      </c>
      <c r="U49" s="640"/>
      <c r="V49" s="637">
        <f>Tables2!A103</f>
        <v>20</v>
      </c>
      <c r="X49" s="800" t="str">
        <f>Tables2!A114</f>
        <v>Chicken, solid without litter </v>
      </c>
      <c r="Y49" s="637"/>
      <c r="Z49" s="637"/>
    </row>
    <row r="50" spans="1:26" ht="11.25" customHeight="1">
      <c r="A50" s="472"/>
      <c r="B50" s="1408" t="s">
        <v>784</v>
      </c>
      <c r="C50" s="1409"/>
      <c r="D50" s="1409"/>
      <c r="E50" s="1409"/>
      <c r="F50" s="1409"/>
      <c r="G50" s="1409"/>
      <c r="H50" s="1409"/>
      <c r="I50" s="1409"/>
      <c r="J50" s="1409"/>
      <c r="K50" s="1409"/>
      <c r="L50" s="1409"/>
      <c r="M50" s="1409"/>
      <c r="T50" s="636" t="s">
        <v>1107</v>
      </c>
      <c r="U50" s="640"/>
      <c r="X50" s="800" t="str">
        <f>Tables2!A115</f>
        <v>Dairy Cattle, liquid lagoon with runoff </v>
      </c>
      <c r="Y50" s="637"/>
      <c r="Z50" s="637"/>
    </row>
    <row r="51" spans="1:26" ht="17.25" customHeight="1">
      <c r="A51" s="492"/>
      <c r="B51" s="1003"/>
      <c r="C51" s="998"/>
      <c r="D51" s="998"/>
      <c r="E51" s="998"/>
      <c r="F51" s="998"/>
      <c r="G51" s="998"/>
      <c r="H51" s="998"/>
      <c r="I51" s="998"/>
      <c r="J51" s="998"/>
      <c r="K51" s="998"/>
      <c r="L51" s="998"/>
      <c r="M51" s="1004" t="s">
        <v>69</v>
      </c>
      <c r="T51" s="636"/>
      <c r="U51" s="640"/>
      <c r="X51" s="800"/>
      <c r="Y51" s="637"/>
      <c r="Z51" s="637"/>
    </row>
    <row r="52" spans="1:26" ht="15.75" customHeight="1">
      <c r="A52" s="501" t="s">
        <v>564</v>
      </c>
      <c r="B52" s="1410">
        <f>IF(B6="","",B6)</f>
      </c>
      <c r="C52" s="1411"/>
      <c r="D52" s="1412"/>
      <c r="E52" s="1191" t="s">
        <v>919</v>
      </c>
      <c r="F52" s="1192"/>
      <c r="G52" s="1410">
        <f>IF(G6="","",G6)</f>
      </c>
      <c r="H52" s="1412"/>
      <c r="I52" s="1191" t="s">
        <v>565</v>
      </c>
      <c r="J52" s="1192"/>
      <c r="K52" s="1178">
        <f ca="1">TODAY()</f>
        <v>39106</v>
      </c>
      <c r="L52" s="1179"/>
      <c r="M52" s="1180"/>
      <c r="T52" s="636" t="s">
        <v>1108</v>
      </c>
      <c r="U52" s="640"/>
      <c r="X52" s="800" t="str">
        <f>Tables2!A116</f>
        <v>Dairy Cattle, liquid pit</v>
      </c>
      <c r="Y52" s="637"/>
      <c r="Z52" s="637"/>
    </row>
    <row r="53" spans="1:26" s="779" customFormat="1" ht="7.5" customHeight="1">
      <c r="A53" s="782"/>
      <c r="B53" s="781"/>
      <c r="C53" s="781"/>
      <c r="D53" s="781"/>
      <c r="E53" s="782"/>
      <c r="F53" s="782"/>
      <c r="G53" s="781"/>
      <c r="H53" s="781"/>
      <c r="I53" s="782"/>
      <c r="J53" s="782"/>
      <c r="K53" s="783"/>
      <c r="L53" s="783"/>
      <c r="M53" s="783"/>
      <c r="T53" s="636" t="s">
        <v>1109</v>
      </c>
      <c r="U53" s="780"/>
      <c r="V53" s="792"/>
      <c r="W53" s="801"/>
      <c r="X53" s="800" t="str">
        <f>Tables2!A117</f>
        <v>Dairy Cattle, solid </v>
      </c>
      <c r="Y53" s="792"/>
      <c r="Z53" s="792"/>
    </row>
    <row r="54" spans="1:26" ht="15" customHeight="1">
      <c r="A54" s="1328" t="s">
        <v>785</v>
      </c>
      <c r="B54" s="1329"/>
      <c r="C54" s="1329"/>
      <c r="D54" s="1329"/>
      <c r="E54" s="1329"/>
      <c r="F54" s="1329"/>
      <c r="G54" s="1329"/>
      <c r="H54" s="1329"/>
      <c r="I54" s="1329"/>
      <c r="J54" s="1329"/>
      <c r="K54" s="1329"/>
      <c r="L54" s="1329"/>
      <c r="M54" s="1330"/>
      <c r="T54" s="636" t="s">
        <v>1110</v>
      </c>
      <c r="U54" s="640"/>
      <c r="V54" s="637" t="s">
        <v>790</v>
      </c>
      <c r="W54" s="802">
        <f>F42</f>
      </c>
      <c r="X54" s="800" t="str">
        <f>Tables2!A118</f>
        <v>Horse, solid without bedding </v>
      </c>
      <c r="Y54" s="637"/>
      <c r="Z54" s="637"/>
    </row>
    <row r="55" spans="1:26" ht="15" customHeight="1">
      <c r="A55" s="772"/>
      <c r="B55" s="1442" t="s">
        <v>940</v>
      </c>
      <c r="C55" s="1444"/>
      <c r="D55" s="651"/>
      <c r="E55" s="1438" t="s">
        <v>941</v>
      </c>
      <c r="F55" s="1439"/>
      <c r="G55" s="652"/>
      <c r="H55" s="1440" t="s">
        <v>942</v>
      </c>
      <c r="I55" s="1441"/>
      <c r="J55" s="1442" t="s">
        <v>943</v>
      </c>
      <c r="K55" s="1443"/>
      <c r="L55" s="533">
        <f>IF(D55&gt;0,D55*G55*0.226,"")</f>
      </c>
      <c r="M55" s="508" t="s">
        <v>944</v>
      </c>
      <c r="T55" s="636" t="s">
        <v>1111</v>
      </c>
      <c r="U55" s="640"/>
      <c r="V55" s="637" t="s">
        <v>791</v>
      </c>
      <c r="W55" s="802">
        <f>H42</f>
      </c>
      <c r="X55" s="800" t="str">
        <f>Tables2!A119</f>
        <v>Poultry, liquid pit</v>
      </c>
      <c r="Y55" s="637"/>
      <c r="Z55" s="637"/>
    </row>
    <row r="56" spans="1:26" ht="15" customHeight="1">
      <c r="A56" s="513"/>
      <c r="B56" s="1331" t="s">
        <v>787</v>
      </c>
      <c r="C56" s="1332"/>
      <c r="D56" s="1332"/>
      <c r="E56" s="1332"/>
      <c r="F56" s="1332"/>
      <c r="G56" s="1332"/>
      <c r="H56" s="1332"/>
      <c r="I56" s="1332"/>
      <c r="J56" s="1332"/>
      <c r="K56" s="1332"/>
      <c r="L56" s="1332"/>
      <c r="M56" s="1333"/>
      <c r="T56" s="636" t="s">
        <v>1112</v>
      </c>
      <c r="U56" s="640"/>
      <c r="V56" s="637" t="s">
        <v>793</v>
      </c>
      <c r="W56" s="802">
        <f>K42</f>
      </c>
      <c r="X56" s="800" t="str">
        <f>Tables2!A120</f>
        <v>Sheep, solid </v>
      </c>
      <c r="Y56" s="637"/>
      <c r="Z56" s="637"/>
    </row>
    <row r="57" spans="1:26" ht="7.5" customHeight="1">
      <c r="A57" s="744"/>
      <c r="B57" s="743"/>
      <c r="C57" s="743"/>
      <c r="D57" s="743"/>
      <c r="E57" s="745"/>
      <c r="F57" s="746"/>
      <c r="G57" s="238"/>
      <c r="H57" s="238"/>
      <c r="I57" s="238"/>
      <c r="J57" s="747"/>
      <c r="K57" s="747"/>
      <c r="L57" s="747"/>
      <c r="M57" s="748"/>
      <c r="T57" s="636" t="s">
        <v>1113</v>
      </c>
      <c r="U57" s="640"/>
      <c r="X57" s="800" t="str">
        <f>Tables2!A121</f>
        <v>Swine, liquid pit </v>
      </c>
      <c r="Y57" s="637"/>
      <c r="Z57" s="637"/>
    </row>
    <row r="58" spans="1:26" ht="15.75" customHeight="1">
      <c r="A58" s="1326" t="s">
        <v>786</v>
      </c>
      <c r="B58" s="1327"/>
      <c r="C58" s="1327"/>
      <c r="D58" s="1327"/>
      <c r="E58" s="1327"/>
      <c r="F58" s="1327"/>
      <c r="G58" s="790" t="s">
        <v>573</v>
      </c>
      <c r="H58" s="790" t="s">
        <v>788</v>
      </c>
      <c r="I58" s="790" t="s">
        <v>789</v>
      </c>
      <c r="J58" s="790" t="s">
        <v>901</v>
      </c>
      <c r="K58" s="790" t="s">
        <v>902</v>
      </c>
      <c r="L58" s="790" t="s">
        <v>903</v>
      </c>
      <c r="M58" s="791"/>
      <c r="T58" s="636" t="s">
        <v>1114</v>
      </c>
      <c r="U58" s="640"/>
      <c r="X58" s="800" t="str">
        <f>Tables2!A122</f>
        <v>Swine, liquid single-stage anaerobic </v>
      </c>
      <c r="Y58" s="637"/>
      <c r="Z58" s="637"/>
    </row>
    <row r="59" spans="1:26" ht="14.25" customHeight="1">
      <c r="A59" s="1288" t="s">
        <v>792</v>
      </c>
      <c r="B59" s="1334"/>
      <c r="C59" s="1334"/>
      <c r="D59" s="1334"/>
      <c r="E59" s="1334"/>
      <c r="F59" s="1000"/>
      <c r="G59" s="793">
        <f>IF(F59="","",VLOOKUP(F59,V54:W56,2,FALSE))</f>
      </c>
      <c r="H59" s="739"/>
      <c r="I59" s="739"/>
      <c r="J59" s="739"/>
      <c r="K59" s="739"/>
      <c r="L59" s="739"/>
      <c r="M59" s="740"/>
      <c r="S59" s="64"/>
      <c r="T59" s="636" t="s">
        <v>1115</v>
      </c>
      <c r="U59" s="640"/>
      <c r="V59" s="637"/>
      <c r="W59" s="64"/>
      <c r="X59" s="800" t="str">
        <f>Tables2!A123</f>
        <v>Swine, liquid two-stage anaerobic </v>
      </c>
      <c r="Y59" s="637"/>
      <c r="Z59" s="637"/>
    </row>
    <row r="60" spans="1:26" ht="14.25" customHeight="1">
      <c r="A60" s="1307" t="s">
        <v>776</v>
      </c>
      <c r="B60" s="1405"/>
      <c r="C60" s="1405"/>
      <c r="D60" s="1405"/>
      <c r="E60" s="1405"/>
      <c r="F60" s="1001"/>
      <c r="G60" s="738">
        <f>IF(F60="","",VLOOKUP(F60,V60:W62,2,FALSE))</f>
      </c>
      <c r="H60" s="741"/>
      <c r="I60" s="741"/>
      <c r="J60" s="741"/>
      <c r="K60" s="741"/>
      <c r="L60" s="741"/>
      <c r="M60" s="742"/>
      <c r="S60" s="64"/>
      <c r="T60" s="636" t="s">
        <v>1116</v>
      </c>
      <c r="U60" s="640"/>
      <c r="V60" s="637" t="s">
        <v>934</v>
      </c>
      <c r="W60" s="802">
        <f>H49</f>
      </c>
      <c r="X60" s="800" t="str">
        <f>Tables2!A124</f>
        <v>Swine, solid </v>
      </c>
      <c r="Y60" s="637"/>
      <c r="Z60" s="637"/>
    </row>
    <row r="61" spans="1:26" ht="14.25" customHeight="1">
      <c r="A61" s="1307" t="s">
        <v>909</v>
      </c>
      <c r="B61" s="1318"/>
      <c r="C61" s="1318"/>
      <c r="D61" s="1318"/>
      <c r="E61" s="1318"/>
      <c r="F61" s="1318"/>
      <c r="G61" s="654"/>
      <c r="H61" s="655"/>
      <c r="I61" s="655"/>
      <c r="J61" s="655"/>
      <c r="K61" s="655"/>
      <c r="L61" s="655"/>
      <c r="M61" s="656"/>
      <c r="S61" s="64"/>
      <c r="T61" s="636" t="s">
        <v>1117</v>
      </c>
      <c r="U61" s="640"/>
      <c r="V61" s="637" t="s">
        <v>935</v>
      </c>
      <c r="W61" s="802">
        <f>I49</f>
      </c>
      <c r="X61" s="800" t="str">
        <f>Tables2!A125</f>
        <v>Turkey, solid with litter </v>
      </c>
      <c r="Y61" s="637"/>
      <c r="Z61" s="637"/>
    </row>
    <row r="62" spans="1:26" ht="14.25" customHeight="1">
      <c r="A62" s="1307" t="s">
        <v>910</v>
      </c>
      <c r="B62" s="1318"/>
      <c r="C62" s="1318"/>
      <c r="D62" s="1318"/>
      <c r="E62" s="1318"/>
      <c r="F62" s="1318"/>
      <c r="G62" s="738">
        <f>L55</f>
      </c>
      <c r="H62" s="741"/>
      <c r="I62" s="741"/>
      <c r="J62" s="741"/>
      <c r="K62" s="741"/>
      <c r="L62" s="741"/>
      <c r="M62" s="742"/>
      <c r="S62" s="64"/>
      <c r="T62" s="636" t="s">
        <v>1118</v>
      </c>
      <c r="U62" s="640"/>
      <c r="V62" s="637" t="s">
        <v>936</v>
      </c>
      <c r="W62" s="802">
        <f>J49</f>
      </c>
      <c r="X62" s="800" t="str">
        <f>Tables2!A126</f>
        <v>Turkey, solid without litter </v>
      </c>
      <c r="Y62" s="637"/>
      <c r="Z62" s="637"/>
    </row>
    <row r="63" spans="1:21" ht="14.25" customHeight="1">
      <c r="A63" s="1319" t="s">
        <v>911</v>
      </c>
      <c r="B63" s="1320"/>
      <c r="C63" s="1321"/>
      <c r="D63" s="1322"/>
      <c r="E63" s="1322"/>
      <c r="F63" s="1323"/>
      <c r="G63" s="657"/>
      <c r="H63" s="658"/>
      <c r="I63" s="658"/>
      <c r="J63" s="658"/>
      <c r="K63" s="658"/>
      <c r="L63" s="658"/>
      <c r="M63" s="659"/>
      <c r="T63" s="636" t="s">
        <v>1119</v>
      </c>
      <c r="U63" s="640"/>
    </row>
    <row r="64" spans="1:21" ht="15" customHeight="1">
      <c r="A64" s="1324" t="s">
        <v>912</v>
      </c>
      <c r="B64" s="1325"/>
      <c r="C64" s="1325"/>
      <c r="D64" s="1325"/>
      <c r="E64" s="1325"/>
      <c r="F64" s="1325"/>
      <c r="G64" s="499"/>
      <c r="H64" s="499"/>
      <c r="I64" s="499"/>
      <c r="J64" s="499"/>
      <c r="K64" s="499"/>
      <c r="L64" s="499"/>
      <c r="M64" s="500"/>
      <c r="T64" s="636" t="s">
        <v>1120</v>
      </c>
      <c r="U64" s="640"/>
    </row>
    <row r="65" spans="1:21" s="472" customFormat="1" ht="14.25" customHeight="1">
      <c r="A65" s="1307" t="s">
        <v>80</v>
      </c>
      <c r="B65" s="1308"/>
      <c r="C65" s="1316">
        <f>IF('Solid Manure Inv'!A10="",IF('Liquid Waste'!A12="","",'Liquid Waste'!A12),'Solid Manure Inv'!A10)</f>
      </c>
      <c r="D65" s="1317"/>
      <c r="E65" s="1317"/>
      <c r="F65" s="1317"/>
      <c r="G65" s="709">
        <f>IF($G$7="","",('Solid Manure Inv'!L23+'Liquid Waste'!L26)/'590 JS'!$G$7)</f>
      </c>
      <c r="H65" s="709">
        <f>IF($G$7="","",('Solid Manure Inv'!M23+'Liquid Waste'!M26)/'590 JS'!$G$7)</f>
      </c>
      <c r="I65" s="709">
        <f>IF($G$7="","",('Solid Manure Inv'!N23+'Liquid Waste'!N26)/'590 JS'!$G$7)</f>
      </c>
      <c r="J65" s="739"/>
      <c r="K65" s="739"/>
      <c r="L65" s="739"/>
      <c r="M65" s="740"/>
      <c r="T65" s="636" t="s">
        <v>1121</v>
      </c>
      <c r="U65" s="640"/>
    </row>
    <row r="66" spans="1:21" ht="14.25" customHeight="1">
      <c r="A66" s="1307" t="s">
        <v>913</v>
      </c>
      <c r="B66" s="1308"/>
      <c r="C66" s="1309"/>
      <c r="D66" s="1310"/>
      <c r="E66" s="1310"/>
      <c r="F66" s="1310"/>
      <c r="G66" s="655"/>
      <c r="H66" s="655"/>
      <c r="I66" s="655"/>
      <c r="J66" s="655"/>
      <c r="K66" s="655"/>
      <c r="L66" s="655"/>
      <c r="M66" s="656"/>
      <c r="T66" s="636" t="s">
        <v>1122</v>
      </c>
      <c r="U66" s="640"/>
    </row>
    <row r="67" spans="1:21" ht="14.25" customHeight="1">
      <c r="A67" s="1307" t="s">
        <v>914</v>
      </c>
      <c r="B67" s="1308"/>
      <c r="C67" s="1309"/>
      <c r="D67" s="1310"/>
      <c r="E67" s="1310"/>
      <c r="F67" s="1310"/>
      <c r="G67" s="655"/>
      <c r="H67" s="655"/>
      <c r="I67" s="655"/>
      <c r="J67" s="655"/>
      <c r="K67" s="655"/>
      <c r="L67" s="655"/>
      <c r="M67" s="656"/>
      <c r="T67" s="636" t="s">
        <v>1123</v>
      </c>
      <c r="U67" s="640"/>
    </row>
    <row r="68" spans="1:21" ht="14.25" customHeight="1">
      <c r="A68" s="1288" t="s">
        <v>915</v>
      </c>
      <c r="B68" s="1315"/>
      <c r="C68" s="1309"/>
      <c r="D68" s="1310"/>
      <c r="E68" s="1310"/>
      <c r="F68" s="1310"/>
      <c r="G68" s="655"/>
      <c r="H68" s="655"/>
      <c r="I68" s="655"/>
      <c r="J68" s="655"/>
      <c r="K68" s="655"/>
      <c r="L68" s="655"/>
      <c r="M68" s="656"/>
      <c r="T68" s="636" t="s">
        <v>1124</v>
      </c>
      <c r="U68" s="640"/>
    </row>
    <row r="69" spans="1:21" ht="14.25" customHeight="1">
      <c r="A69" s="1307" t="s">
        <v>916</v>
      </c>
      <c r="B69" s="1308"/>
      <c r="C69" s="1309"/>
      <c r="D69" s="1310"/>
      <c r="E69" s="1310"/>
      <c r="F69" s="1310"/>
      <c r="G69" s="655"/>
      <c r="H69" s="655"/>
      <c r="I69" s="655"/>
      <c r="J69" s="655"/>
      <c r="K69" s="655"/>
      <c r="L69" s="655"/>
      <c r="M69" s="656"/>
      <c r="T69" s="636" t="s">
        <v>1125</v>
      </c>
      <c r="U69" s="640"/>
    </row>
    <row r="70" spans="1:21" ht="14.25" customHeight="1">
      <c r="A70" s="1311" t="s">
        <v>911</v>
      </c>
      <c r="B70" s="1312"/>
      <c r="C70" s="1313"/>
      <c r="D70" s="1314"/>
      <c r="E70" s="1314"/>
      <c r="F70" s="1314"/>
      <c r="G70" s="658"/>
      <c r="H70" s="658"/>
      <c r="I70" s="658"/>
      <c r="J70" s="658"/>
      <c r="K70" s="658"/>
      <c r="L70" s="658"/>
      <c r="M70" s="659"/>
      <c r="T70" s="636" t="s">
        <v>1127</v>
      </c>
      <c r="U70" s="640"/>
    </row>
    <row r="71" spans="1:21" ht="15" customHeight="1">
      <c r="A71" s="1298" t="s">
        <v>917</v>
      </c>
      <c r="B71" s="1299"/>
      <c r="C71" s="1300"/>
      <c r="D71" s="1300"/>
      <c r="E71" s="1300"/>
      <c r="F71" s="1301"/>
      <c r="G71" s="532">
        <f>SUM(G59:G70)</f>
        <v>0</v>
      </c>
      <c r="H71" s="532">
        <f aca="true" t="shared" si="0" ref="H71:M71">SUM(H59:H70)</f>
        <v>0</v>
      </c>
      <c r="I71" s="532">
        <f t="shared" si="0"/>
        <v>0</v>
      </c>
      <c r="J71" s="532">
        <f t="shared" si="0"/>
        <v>0</v>
      </c>
      <c r="K71" s="532">
        <f t="shared" si="0"/>
        <v>0</v>
      </c>
      <c r="L71" s="532">
        <f t="shared" si="0"/>
        <v>0</v>
      </c>
      <c r="M71" s="532">
        <f t="shared" si="0"/>
        <v>0</v>
      </c>
      <c r="T71" s="636" t="s">
        <v>1128</v>
      </c>
      <c r="U71" s="640"/>
    </row>
    <row r="72" spans="1:21" ht="15" customHeight="1">
      <c r="A72" s="1302" t="s">
        <v>918</v>
      </c>
      <c r="B72" s="1303"/>
      <c r="C72" s="1303"/>
      <c r="D72" s="1303"/>
      <c r="E72" s="1303"/>
      <c r="F72" s="1304"/>
      <c r="G72" s="533">
        <f>IF(B33="","",IF($B$33="Soil Test Recommendation",G71-G33,G71-K37))</f>
      </c>
      <c r="H72" s="533">
        <f>IF($B$33="","",IF($B$33="Soil Test Recommendation",H71-H33,H71-L37))</f>
      </c>
      <c r="I72" s="533">
        <f>IF(B33="","",IF($B$33="Soil Test Recommendation",I71-I33,I71-M37))</f>
      </c>
      <c r="J72" s="533">
        <f>IF($B$33="Soil Test Recommendation",J71-J33,"")</f>
      </c>
      <c r="K72" s="533">
        <f>IF($B$33="Soil Test Recommendation",K71-K33,"")</f>
      </c>
      <c r="L72" s="533">
        <f>IF($B$33="Soil Test Recommendation",L71-L33,"")</f>
      </c>
      <c r="M72" s="533">
        <f>IF($B$33="Soil Test Recommendation",M71-M33,"")</f>
      </c>
      <c r="T72" s="636" t="s">
        <v>1129</v>
      </c>
      <c r="U72" s="640"/>
    </row>
    <row r="73" spans="1:21" ht="7.5" customHeight="1">
      <c r="A73" s="784"/>
      <c r="B73" s="785"/>
      <c r="C73" s="785"/>
      <c r="D73" s="785"/>
      <c r="E73" s="784"/>
      <c r="F73" s="784"/>
      <c r="G73" s="785"/>
      <c r="H73" s="785"/>
      <c r="I73" s="784"/>
      <c r="J73" s="784"/>
      <c r="K73" s="786"/>
      <c r="L73" s="786"/>
      <c r="M73" s="786"/>
      <c r="T73" s="636" t="s">
        <v>1130</v>
      </c>
      <c r="U73" s="640"/>
    </row>
    <row r="74" spans="1:21" ht="18" customHeight="1">
      <c r="A74" s="1220" t="s">
        <v>945</v>
      </c>
      <c r="B74" s="1220"/>
      <c r="C74" s="1220"/>
      <c r="D74" s="1220"/>
      <c r="E74" s="1220"/>
      <c r="F74" s="1220"/>
      <c r="G74" s="1220"/>
      <c r="H74" s="1220"/>
      <c r="I74" s="1220"/>
      <c r="J74" s="1220"/>
      <c r="K74" s="1220"/>
      <c r="L74" s="1220"/>
      <c r="M74" s="1220"/>
      <c r="T74" s="636" t="s">
        <v>1131</v>
      </c>
      <c r="U74" s="640"/>
    </row>
    <row r="75" spans="1:21" ht="14.25" customHeight="1">
      <c r="A75" s="1305" t="s">
        <v>946</v>
      </c>
      <c r="B75" s="1306"/>
      <c r="C75" s="1306"/>
      <c r="D75" s="1306"/>
      <c r="E75" s="1306"/>
      <c r="F75" s="1306"/>
      <c r="G75" s="1306"/>
      <c r="H75" s="1306"/>
      <c r="I75" s="1306"/>
      <c r="J75" s="1306"/>
      <c r="K75" s="1306"/>
      <c r="L75" s="794"/>
      <c r="M75" s="795"/>
      <c r="T75" s="636" t="s">
        <v>1132</v>
      </c>
      <c r="U75" s="640"/>
    </row>
    <row r="76" spans="1:21" ht="14.25" customHeight="1">
      <c r="A76" s="1288" t="s">
        <v>947</v>
      </c>
      <c r="B76" s="1289"/>
      <c r="C76" s="1289"/>
      <c r="D76" s="1289"/>
      <c r="E76" s="1289"/>
      <c r="F76" s="1289"/>
      <c r="G76" s="1289"/>
      <c r="H76" s="1289"/>
      <c r="I76" s="1289"/>
      <c r="J76" s="1289"/>
      <c r="K76" s="1289"/>
      <c r="L76" s="796"/>
      <c r="M76" s="797"/>
      <c r="T76" s="636" t="s">
        <v>1133</v>
      </c>
      <c r="U76" s="640"/>
    </row>
    <row r="77" spans="1:21" ht="13.5" customHeight="1">
      <c r="A77" s="1288" t="s">
        <v>948</v>
      </c>
      <c r="B77" s="1289"/>
      <c r="C77" s="1289"/>
      <c r="D77" s="1289"/>
      <c r="E77" s="1289"/>
      <c r="F77" s="1289"/>
      <c r="G77" s="1289"/>
      <c r="H77" s="1289"/>
      <c r="I77" s="1289"/>
      <c r="J77" s="1289"/>
      <c r="K77" s="1289"/>
      <c r="L77" s="796"/>
      <c r="M77" s="797"/>
      <c r="N77" s="505"/>
      <c r="T77" s="636" t="s">
        <v>1134</v>
      </c>
      <c r="U77" s="640"/>
    </row>
    <row r="78" spans="1:21" ht="14.25" customHeight="1">
      <c r="A78" s="1288" t="s">
        <v>949</v>
      </c>
      <c r="B78" s="1289"/>
      <c r="C78" s="1289"/>
      <c r="D78" s="1289"/>
      <c r="E78" s="1289"/>
      <c r="F78" s="1289"/>
      <c r="G78" s="1289"/>
      <c r="H78" s="1289"/>
      <c r="I78" s="1289"/>
      <c r="J78" s="1289"/>
      <c r="K78" s="1289"/>
      <c r="L78" s="796"/>
      <c r="M78" s="797"/>
      <c r="T78" s="636" t="s">
        <v>1135</v>
      </c>
      <c r="U78" s="640"/>
    </row>
    <row r="79" spans="1:21" ht="7.5" customHeight="1">
      <c r="A79" s="549"/>
      <c r="B79" s="459"/>
      <c r="C79" s="459"/>
      <c r="D79" s="459"/>
      <c r="E79" s="459"/>
      <c r="F79" s="459"/>
      <c r="G79" s="459"/>
      <c r="H79" s="459"/>
      <c r="I79" s="459"/>
      <c r="J79" s="459"/>
      <c r="K79" s="459"/>
      <c r="L79" s="459"/>
      <c r="M79" s="593"/>
      <c r="T79" s="636" t="s">
        <v>1136</v>
      </c>
      <c r="U79" s="640"/>
    </row>
    <row r="80" spans="1:21" ht="13.5" customHeight="1">
      <c r="A80" s="1290" t="s">
        <v>950</v>
      </c>
      <c r="B80" s="1291"/>
      <c r="C80" s="1291"/>
      <c r="D80" s="1291"/>
      <c r="E80" s="1291"/>
      <c r="F80" s="1291"/>
      <c r="G80" s="1291"/>
      <c r="H80" s="1291"/>
      <c r="I80" s="1292"/>
      <c r="J80" s="1294" t="s">
        <v>951</v>
      </c>
      <c r="K80" s="1295"/>
      <c r="L80" s="1296" t="s">
        <v>952</v>
      </c>
      <c r="M80" s="1297"/>
      <c r="N80" s="511"/>
      <c r="T80" s="636" t="s">
        <v>1137</v>
      </c>
      <c r="U80" s="640"/>
    </row>
    <row r="81" spans="1:21" ht="15" customHeight="1">
      <c r="A81" s="1293"/>
      <c r="B81" s="1291"/>
      <c r="C81" s="1291"/>
      <c r="D81" s="1291"/>
      <c r="E81" s="1291"/>
      <c r="F81" s="1291"/>
      <c r="G81" s="1291"/>
      <c r="H81" s="1291"/>
      <c r="I81" s="1292"/>
      <c r="J81" s="1286">
        <f>IF('land base req'!G42="","",'land base req'!G42)</f>
      </c>
      <c r="K81" s="1287"/>
      <c r="L81" s="1286">
        <f>IF('land base req'!I42="","",'land base req'!I42)</f>
      </c>
      <c r="M81" s="1287"/>
      <c r="T81" s="636" t="s">
        <v>1138</v>
      </c>
      <c r="U81" s="640"/>
    </row>
    <row r="82" spans="1:21" ht="15" customHeight="1">
      <c r="A82" s="1288" t="s">
        <v>953</v>
      </c>
      <c r="B82" s="1289"/>
      <c r="C82" s="1289"/>
      <c r="D82" s="1289"/>
      <c r="E82" s="1289"/>
      <c r="F82" s="535">
        <f>IF('P index'!K13="","",'P index'!K13)</f>
        <v>0</v>
      </c>
      <c r="G82" s="1251">
        <f>IF(F82&gt;15,"Very High Risk, organic nutrients should not be applied to this field",IF(F82&gt;11,"High Risk, use P based organic nutrient application rates",IF(F82&gt;7,"Medium Risk, may use N based organic nutrient application rates",IF(F82&gt;0,"Low Risk, may use N based organic nutrient application rates",IF(F82=0,"")))))</f>
      </c>
      <c r="H82" s="1252"/>
      <c r="I82" s="1252"/>
      <c r="J82" s="1252"/>
      <c r="K82" s="1252"/>
      <c r="L82" s="1252"/>
      <c r="M82" s="1253"/>
      <c r="T82" s="636" t="s">
        <v>1140</v>
      </c>
      <c r="U82" s="640"/>
    </row>
    <row r="83" spans="1:21" ht="15" customHeight="1">
      <c r="A83" s="1275" t="s">
        <v>954</v>
      </c>
      <c r="B83" s="1276"/>
      <c r="C83" s="1276"/>
      <c r="D83" s="1276"/>
      <c r="E83" s="1276"/>
      <c r="F83" s="535">
        <f>IF('N leaching'!K12="","",'N leaching'!K12)</f>
        <v>0</v>
      </c>
      <c r="G83" s="1251">
        <f>IF(F83&gt;15,"Very High Risk, organic nutrients should not be applied to this field",IF(F83&gt;11,"High Risk, use P based organic nutrient application rates",IF(F83&gt;7,"Medium Risk, may use N based organic nutrient application rates",IF(F83&gt;0,"Low Risk, may use N based organic nutrient application rates",IF(F83=0,"")))))</f>
      </c>
      <c r="H83" s="1252"/>
      <c r="I83" s="1252"/>
      <c r="J83" s="1252"/>
      <c r="K83" s="1252"/>
      <c r="L83" s="1252"/>
      <c r="M83" s="1253"/>
      <c r="N83" s="472"/>
      <c r="T83" s="636" t="s">
        <v>1141</v>
      </c>
      <c r="U83" s="640"/>
    </row>
    <row r="84" spans="1:21" ht="18" customHeight="1">
      <c r="A84" s="1220" t="s">
        <v>955</v>
      </c>
      <c r="B84" s="1220"/>
      <c r="C84" s="1220"/>
      <c r="D84" s="1220"/>
      <c r="E84" s="1220"/>
      <c r="F84" s="1220"/>
      <c r="G84" s="1220"/>
      <c r="H84" s="1220"/>
      <c r="I84" s="1220"/>
      <c r="J84" s="1220"/>
      <c r="K84" s="1220"/>
      <c r="L84" s="1220"/>
      <c r="M84" s="1220"/>
      <c r="T84" s="636"/>
      <c r="U84" s="642"/>
    </row>
    <row r="85" spans="1:21" ht="13.5" customHeight="1">
      <c r="A85" s="1277"/>
      <c r="B85" s="1278"/>
      <c r="C85" s="1278"/>
      <c r="D85" s="1278"/>
      <c r="E85" s="1278"/>
      <c r="F85" s="1278"/>
      <c r="G85" s="1278"/>
      <c r="H85" s="1278"/>
      <c r="I85" s="1278"/>
      <c r="J85" s="1278"/>
      <c r="K85" s="1278"/>
      <c r="L85" s="1278"/>
      <c r="M85" s="1279"/>
      <c r="T85" s="636"/>
      <c r="U85" s="642"/>
    </row>
    <row r="86" spans="1:21" ht="13.5" customHeight="1">
      <c r="A86" s="1280"/>
      <c r="B86" s="1281"/>
      <c r="C86" s="1281"/>
      <c r="D86" s="1281"/>
      <c r="E86" s="1281"/>
      <c r="F86" s="1281"/>
      <c r="G86" s="1281"/>
      <c r="H86" s="1281"/>
      <c r="I86" s="1281"/>
      <c r="J86" s="1281"/>
      <c r="K86" s="1281"/>
      <c r="L86" s="1281"/>
      <c r="M86" s="1282"/>
      <c r="T86" s="636"/>
      <c r="U86" s="642"/>
    </row>
    <row r="87" spans="1:21" ht="13.5" customHeight="1">
      <c r="A87" s="1280"/>
      <c r="B87" s="1281"/>
      <c r="C87" s="1281"/>
      <c r="D87" s="1281"/>
      <c r="E87" s="1281"/>
      <c r="F87" s="1281"/>
      <c r="G87" s="1281"/>
      <c r="H87" s="1281"/>
      <c r="I87" s="1281"/>
      <c r="J87" s="1281"/>
      <c r="K87" s="1281"/>
      <c r="L87" s="1281"/>
      <c r="M87" s="1282"/>
      <c r="T87" s="636"/>
      <c r="U87" s="640"/>
    </row>
    <row r="88" spans="1:21" ht="13.5" customHeight="1">
      <c r="A88" s="1280"/>
      <c r="B88" s="1281"/>
      <c r="C88" s="1281"/>
      <c r="D88" s="1281"/>
      <c r="E88" s="1281"/>
      <c r="F88" s="1281"/>
      <c r="G88" s="1281"/>
      <c r="H88" s="1281"/>
      <c r="I88" s="1281"/>
      <c r="J88" s="1281"/>
      <c r="K88" s="1281"/>
      <c r="L88" s="1281"/>
      <c r="M88" s="1282"/>
      <c r="T88" s="636"/>
      <c r="U88" s="640"/>
    </row>
    <row r="89" spans="1:21" ht="13.5" customHeight="1">
      <c r="A89" s="1283"/>
      <c r="B89" s="1284"/>
      <c r="C89" s="1284"/>
      <c r="D89" s="1284"/>
      <c r="E89" s="1284"/>
      <c r="F89" s="1284"/>
      <c r="G89" s="1284"/>
      <c r="H89" s="1284"/>
      <c r="I89" s="1284"/>
      <c r="J89" s="1284"/>
      <c r="K89" s="1284"/>
      <c r="L89" s="1284"/>
      <c r="M89" s="1285"/>
      <c r="T89" s="636"/>
      <c r="U89" s="640"/>
    </row>
    <row r="90" spans="1:21" ht="18" customHeight="1">
      <c r="A90" s="1220" t="s">
        <v>956</v>
      </c>
      <c r="B90" s="1263"/>
      <c r="C90" s="1263"/>
      <c r="D90" s="1263"/>
      <c r="E90" s="1263"/>
      <c r="F90" s="1263"/>
      <c r="G90" s="1263"/>
      <c r="H90" s="1263"/>
      <c r="I90" s="1263"/>
      <c r="J90" s="1263"/>
      <c r="K90" s="1263"/>
      <c r="L90" s="1263"/>
      <c r="M90" s="1263"/>
      <c r="T90" s="636"/>
      <c r="U90" s="640"/>
    </row>
    <row r="91" spans="1:21" ht="13.5" customHeight="1">
      <c r="A91" s="1264" t="s">
        <v>957</v>
      </c>
      <c r="B91" s="1185"/>
      <c r="C91" s="1185"/>
      <c r="D91" s="1185"/>
      <c r="E91" s="1185"/>
      <c r="F91" s="1185"/>
      <c r="G91" s="1185"/>
      <c r="H91" s="1185"/>
      <c r="I91" s="1185"/>
      <c r="J91" s="1185"/>
      <c r="K91" s="1185"/>
      <c r="L91" s="1185"/>
      <c r="M91" s="1186"/>
      <c r="T91" s="636"/>
      <c r="U91" s="640"/>
    </row>
    <row r="92" spans="1:21" ht="13.5" customHeight="1">
      <c r="A92" s="1187"/>
      <c r="B92" s="1176"/>
      <c r="C92" s="1176"/>
      <c r="D92" s="1176"/>
      <c r="E92" s="1176"/>
      <c r="F92" s="1176"/>
      <c r="G92" s="1176"/>
      <c r="H92" s="1176"/>
      <c r="I92" s="1176"/>
      <c r="J92" s="1176"/>
      <c r="K92" s="1176"/>
      <c r="L92" s="1176"/>
      <c r="M92" s="1177"/>
      <c r="T92" s="643"/>
      <c r="U92" s="644"/>
    </row>
    <row r="93" spans="1:13" s="64" customFormat="1" ht="13.5" customHeight="1">
      <c r="A93" s="1156"/>
      <c r="B93" s="1157"/>
      <c r="C93" s="1157"/>
      <c r="D93" s="1157"/>
      <c r="E93" s="1157"/>
      <c r="F93" s="1157"/>
      <c r="G93" s="1157"/>
      <c r="H93" s="1157"/>
      <c r="I93" s="1157"/>
      <c r="J93" s="1157"/>
      <c r="K93" s="1157"/>
      <c r="L93" s="1157"/>
      <c r="M93" s="1158"/>
    </row>
    <row r="94" spans="1:13" s="64" customFormat="1" ht="13.5" customHeight="1">
      <c r="A94" s="1202"/>
      <c r="B94" s="1203"/>
      <c r="C94" s="1203"/>
      <c r="D94" s="1203"/>
      <c r="E94" s="1203"/>
      <c r="F94" s="1203"/>
      <c r="G94" s="1203"/>
      <c r="H94" s="1203"/>
      <c r="I94" s="1203"/>
      <c r="J94" s="1203"/>
      <c r="K94" s="1203"/>
      <c r="L94" s="1203"/>
      <c r="M94" s="1204"/>
    </row>
    <row r="95" spans="1:13" s="64" customFormat="1" ht="13.5" customHeight="1">
      <c r="A95" s="1265" t="s">
        <v>958</v>
      </c>
      <c r="B95" s="1266"/>
      <c r="C95" s="552"/>
      <c r="D95" s="552"/>
      <c r="E95" s="552"/>
      <c r="F95" s="552"/>
      <c r="G95" s="552"/>
      <c r="H95" s="631"/>
      <c r="I95" s="631"/>
      <c r="J95" s="631"/>
      <c r="K95" s="632"/>
      <c r="L95" s="525" t="s">
        <v>565</v>
      </c>
      <c r="M95" s="526"/>
    </row>
    <row r="96" spans="1:13" s="64" customFormat="1" ht="13.5" customHeight="1">
      <c r="A96" s="1264" t="s">
        <v>959</v>
      </c>
      <c r="B96" s="1267"/>
      <c r="C96" s="1267"/>
      <c r="D96" s="1267"/>
      <c r="E96" s="1267"/>
      <c r="F96" s="1267"/>
      <c r="G96" s="1267"/>
      <c r="H96" s="1267"/>
      <c r="I96" s="1267"/>
      <c r="J96" s="1267"/>
      <c r="K96" s="1267"/>
      <c r="L96" s="1267"/>
      <c r="M96" s="1268"/>
    </row>
    <row r="97" spans="1:13" s="64" customFormat="1" ht="13.5" customHeight="1">
      <c r="A97" s="1269"/>
      <c r="B97" s="1270"/>
      <c r="C97" s="1270"/>
      <c r="D97" s="1270"/>
      <c r="E97" s="1270"/>
      <c r="F97" s="1270"/>
      <c r="G97" s="1270"/>
      <c r="H97" s="1270"/>
      <c r="I97" s="1270"/>
      <c r="J97" s="1270"/>
      <c r="K97" s="1270"/>
      <c r="L97" s="1270"/>
      <c r="M97" s="1271"/>
    </row>
    <row r="98" spans="1:13" ht="13.5" customHeight="1">
      <c r="A98" s="1272"/>
      <c r="B98" s="1273"/>
      <c r="C98" s="1273"/>
      <c r="D98" s="1273"/>
      <c r="E98" s="1273"/>
      <c r="F98" s="1273"/>
      <c r="G98" s="1273"/>
      <c r="H98" s="1273"/>
      <c r="I98" s="1273"/>
      <c r="J98" s="1273"/>
      <c r="K98" s="1273"/>
      <c r="L98" s="1273"/>
      <c r="M98" s="1274"/>
    </row>
    <row r="99" spans="1:13" ht="13.5" customHeight="1">
      <c r="A99" s="1258"/>
      <c r="B99" s="1259"/>
      <c r="C99" s="1259"/>
      <c r="D99" s="1259"/>
      <c r="E99" s="1259"/>
      <c r="F99" s="1259"/>
      <c r="G99" s="1259"/>
      <c r="H99" s="1259"/>
      <c r="I99" s="1259"/>
      <c r="J99" s="1259"/>
      <c r="K99" s="1259"/>
      <c r="L99" s="1259"/>
      <c r="M99" s="1260"/>
    </row>
    <row r="100" spans="1:13" ht="13.5" customHeight="1">
      <c r="A100" s="523" t="s">
        <v>958</v>
      </c>
      <c r="B100" s="515"/>
      <c r="C100" s="492"/>
      <c r="D100" s="492"/>
      <c r="E100" s="494"/>
      <c r="F100" s="494"/>
      <c r="G100" s="492"/>
      <c r="H100" s="524" t="s">
        <v>960</v>
      </c>
      <c r="I100" s="494"/>
      <c r="J100" s="494"/>
      <c r="K100" s="494"/>
      <c r="L100" s="525" t="s">
        <v>565</v>
      </c>
      <c r="M100" s="526"/>
    </row>
    <row r="101" spans="1:13" ht="18" customHeight="1">
      <c r="A101" s="1007" t="s">
        <v>961</v>
      </c>
      <c r="B101" s="476"/>
      <c r="C101" s="476"/>
      <c r="D101" s="476"/>
      <c r="E101" s="476"/>
      <c r="F101" s="476"/>
      <c r="G101" s="476"/>
      <c r="H101" s="476"/>
      <c r="I101" s="476"/>
      <c r="J101" s="476"/>
      <c r="K101" s="476"/>
      <c r="L101" s="476"/>
      <c r="M101" s="1006" t="s">
        <v>70</v>
      </c>
    </row>
    <row r="102" spans="1:13" ht="18.75" customHeight="1">
      <c r="A102" s="1191" t="s">
        <v>564</v>
      </c>
      <c r="B102" s="1192"/>
      <c r="C102" s="1188">
        <f>IF(B6="","",B6)</f>
      </c>
      <c r="D102" s="1189"/>
      <c r="E102" s="1190"/>
      <c r="F102" s="1191" t="s">
        <v>919</v>
      </c>
      <c r="G102" s="1192"/>
      <c r="H102" s="1188">
        <f>IF(G6="","",G6)</f>
      </c>
      <c r="I102" s="1190"/>
      <c r="J102" s="1191" t="s">
        <v>565</v>
      </c>
      <c r="K102" s="1192"/>
      <c r="L102" s="1178">
        <f ca="1">TODAY()</f>
        <v>39106</v>
      </c>
      <c r="M102" s="1180"/>
    </row>
    <row r="103" spans="1:13" s="353" customFormat="1" ht="15" customHeight="1">
      <c r="A103" s="1247" t="s">
        <v>876</v>
      </c>
      <c r="B103" s="1248"/>
      <c r="C103" s="1251">
        <f>IF(G9="","",G9)</f>
      </c>
      <c r="D103" s="1252"/>
      <c r="E103" s="1253"/>
      <c r="F103" s="1254" t="s">
        <v>568</v>
      </c>
      <c r="G103" s="1254"/>
      <c r="H103" s="1251">
        <f>IF(G10="","",G10)</f>
      </c>
      <c r="I103" s="1253"/>
      <c r="J103" s="1261" t="s">
        <v>962</v>
      </c>
      <c r="K103" s="1262"/>
      <c r="L103" s="1249"/>
      <c r="M103" s="1250"/>
    </row>
    <row r="104" spans="1:13" s="353" customFormat="1" ht="15" customHeight="1">
      <c r="A104" s="1247" t="s">
        <v>963</v>
      </c>
      <c r="B104" s="1248"/>
      <c r="C104" s="1255"/>
      <c r="D104" s="1256"/>
      <c r="E104" s="1257"/>
      <c r="F104" s="1247" t="s">
        <v>964</v>
      </c>
      <c r="G104" s="1248"/>
      <c r="H104" s="1255"/>
      <c r="I104" s="1257"/>
      <c r="J104" s="1247" t="s">
        <v>965</v>
      </c>
      <c r="K104" s="1248"/>
      <c r="L104" s="1249"/>
      <c r="M104" s="1250"/>
    </row>
    <row r="105" spans="1:13" s="353" customFormat="1" ht="12" customHeight="1">
      <c r="A105" s="1239"/>
      <c r="B105" s="1239"/>
      <c r="C105" s="1239"/>
      <c r="D105" s="1239"/>
      <c r="E105" s="1239"/>
      <c r="F105" s="1239"/>
      <c r="G105" s="1239"/>
      <c r="H105" s="1239"/>
      <c r="I105" s="1239"/>
      <c r="J105" s="1239"/>
      <c r="K105" s="1239"/>
      <c r="L105" s="1239"/>
      <c r="M105" s="1239"/>
    </row>
    <row r="106" spans="1:13" ht="13.5" customHeight="1">
      <c r="A106" s="1240" t="s">
        <v>966</v>
      </c>
      <c r="B106" s="1241"/>
      <c r="C106" s="1241"/>
      <c r="D106" s="1241"/>
      <c r="E106" s="1241"/>
      <c r="F106" s="1242"/>
      <c r="G106" s="1243" t="s">
        <v>967</v>
      </c>
      <c r="H106" s="1243"/>
      <c r="I106" s="1243"/>
      <c r="J106" s="1243"/>
      <c r="K106" s="1243"/>
      <c r="L106" s="1243"/>
      <c r="M106" s="1244"/>
    </row>
    <row r="107" spans="1:13" ht="13.5" customHeight="1">
      <c r="A107" s="1245" t="s">
        <v>565</v>
      </c>
      <c r="B107" s="1246"/>
      <c r="C107" s="1245" t="s">
        <v>968</v>
      </c>
      <c r="D107" s="1246"/>
      <c r="E107" s="1245" t="s">
        <v>969</v>
      </c>
      <c r="F107" s="1246"/>
      <c r="G107" s="788" t="s">
        <v>573</v>
      </c>
      <c r="H107" s="788" t="s">
        <v>907</v>
      </c>
      <c r="I107" s="788" t="s">
        <v>908</v>
      </c>
      <c r="J107" s="788" t="s">
        <v>901</v>
      </c>
      <c r="K107" s="787" t="s">
        <v>902</v>
      </c>
      <c r="L107" s="788" t="s">
        <v>903</v>
      </c>
      <c r="M107" s="789">
        <f>IF(M32="","",M32)</f>
      </c>
    </row>
    <row r="108" spans="1:13" ht="15" customHeight="1">
      <c r="A108" s="1236"/>
      <c r="B108" s="1237"/>
      <c r="C108" s="1238"/>
      <c r="D108" s="1238"/>
      <c r="E108" s="1238"/>
      <c r="F108" s="1238"/>
      <c r="G108" s="645"/>
      <c r="H108" s="645"/>
      <c r="I108" s="645"/>
      <c r="J108" s="645"/>
      <c r="K108" s="645"/>
      <c r="L108" s="645"/>
      <c r="M108" s="646"/>
    </row>
    <row r="109" spans="1:13" ht="15" customHeight="1">
      <c r="A109" s="1230"/>
      <c r="B109" s="1231"/>
      <c r="C109" s="1232"/>
      <c r="D109" s="1232"/>
      <c r="E109" s="1232"/>
      <c r="F109" s="1232"/>
      <c r="G109" s="647"/>
      <c r="H109" s="647"/>
      <c r="I109" s="647"/>
      <c r="J109" s="647"/>
      <c r="K109" s="647"/>
      <c r="L109" s="647"/>
      <c r="M109" s="648"/>
    </row>
    <row r="110" spans="1:13" ht="15" customHeight="1">
      <c r="A110" s="1230"/>
      <c r="B110" s="1231"/>
      <c r="C110" s="1232"/>
      <c r="D110" s="1232"/>
      <c r="E110" s="1232"/>
      <c r="F110" s="1232"/>
      <c r="G110" s="647"/>
      <c r="H110" s="647"/>
      <c r="I110" s="647"/>
      <c r="J110" s="647"/>
      <c r="K110" s="647"/>
      <c r="L110" s="647"/>
      <c r="M110" s="648"/>
    </row>
    <row r="111" spans="1:13" ht="15" customHeight="1">
      <c r="A111" s="1230"/>
      <c r="B111" s="1231"/>
      <c r="C111" s="1232"/>
      <c r="D111" s="1232"/>
      <c r="E111" s="1232"/>
      <c r="F111" s="1232"/>
      <c r="G111" s="647"/>
      <c r="H111" s="647"/>
      <c r="I111" s="647"/>
      <c r="J111" s="647"/>
      <c r="K111" s="647"/>
      <c r="L111" s="647"/>
      <c r="M111" s="648"/>
    </row>
    <row r="112" spans="1:13" ht="15" customHeight="1">
      <c r="A112" s="1230"/>
      <c r="B112" s="1231"/>
      <c r="C112" s="1232"/>
      <c r="D112" s="1232"/>
      <c r="E112" s="1232"/>
      <c r="F112" s="1232"/>
      <c r="G112" s="647"/>
      <c r="H112" s="647"/>
      <c r="I112" s="647"/>
      <c r="J112" s="647"/>
      <c r="K112" s="647"/>
      <c r="L112" s="647"/>
      <c r="M112" s="648"/>
    </row>
    <row r="113" spans="1:13" ht="15" customHeight="1">
      <c r="A113" s="1230"/>
      <c r="B113" s="1231"/>
      <c r="C113" s="1232"/>
      <c r="D113" s="1232"/>
      <c r="E113" s="1232"/>
      <c r="F113" s="1232"/>
      <c r="G113" s="647"/>
      <c r="H113" s="647"/>
      <c r="I113" s="647"/>
      <c r="J113" s="647"/>
      <c r="K113" s="647"/>
      <c r="L113" s="647"/>
      <c r="M113" s="648"/>
    </row>
    <row r="114" spans="1:13" ht="15" customHeight="1">
      <c r="A114" s="1230"/>
      <c r="B114" s="1231"/>
      <c r="C114" s="1232"/>
      <c r="D114" s="1232"/>
      <c r="E114" s="1232"/>
      <c r="F114" s="1232"/>
      <c r="G114" s="647"/>
      <c r="H114" s="647"/>
      <c r="I114" s="647"/>
      <c r="J114" s="647"/>
      <c r="K114" s="647"/>
      <c r="L114" s="647"/>
      <c r="M114" s="648"/>
    </row>
    <row r="115" spans="1:13" ht="15" customHeight="1">
      <c r="A115" s="1230"/>
      <c r="B115" s="1231"/>
      <c r="C115" s="1232"/>
      <c r="D115" s="1232"/>
      <c r="E115" s="1232"/>
      <c r="F115" s="1232"/>
      <c r="G115" s="647"/>
      <c r="H115" s="647"/>
      <c r="I115" s="647"/>
      <c r="J115" s="647"/>
      <c r="K115" s="647"/>
      <c r="L115" s="647"/>
      <c r="M115" s="648"/>
    </row>
    <row r="116" spans="1:13" ht="15" customHeight="1">
      <c r="A116" s="1230"/>
      <c r="B116" s="1231"/>
      <c r="C116" s="1232"/>
      <c r="D116" s="1232"/>
      <c r="E116" s="1232"/>
      <c r="F116" s="1232"/>
      <c r="G116" s="647"/>
      <c r="H116" s="647"/>
      <c r="I116" s="647"/>
      <c r="J116" s="647"/>
      <c r="K116" s="647"/>
      <c r="L116" s="647"/>
      <c r="M116" s="648"/>
    </row>
    <row r="117" spans="1:13" ht="15" customHeight="1">
      <c r="A117" s="1233"/>
      <c r="B117" s="1234"/>
      <c r="C117" s="1235"/>
      <c r="D117" s="1235"/>
      <c r="E117" s="1235"/>
      <c r="F117" s="1235"/>
      <c r="G117" s="649"/>
      <c r="H117" s="649"/>
      <c r="I117" s="649"/>
      <c r="J117" s="649"/>
      <c r="K117" s="649"/>
      <c r="L117" s="649"/>
      <c r="M117" s="650"/>
    </row>
    <row r="118" spans="1:13" s="351" customFormat="1" ht="15" customHeight="1">
      <c r="A118" s="1222" t="s">
        <v>970</v>
      </c>
      <c r="B118" s="1223"/>
      <c r="C118" s="1223"/>
      <c r="D118" s="1223"/>
      <c r="E118" s="1223"/>
      <c r="F118" s="1224"/>
      <c r="G118" s="536">
        <f aca="true" t="shared" si="1" ref="G118:M118">SUM(G108:G117)</f>
        <v>0</v>
      </c>
      <c r="H118" s="536">
        <f t="shared" si="1"/>
        <v>0</v>
      </c>
      <c r="I118" s="536">
        <f t="shared" si="1"/>
        <v>0</v>
      </c>
      <c r="J118" s="536">
        <f t="shared" si="1"/>
        <v>0</v>
      </c>
      <c r="K118" s="536">
        <f t="shared" si="1"/>
        <v>0</v>
      </c>
      <c r="L118" s="536">
        <f t="shared" si="1"/>
        <v>0</v>
      </c>
      <c r="M118" s="536">
        <f t="shared" si="1"/>
        <v>0</v>
      </c>
    </row>
    <row r="119" spans="1:13" s="351" customFormat="1" ht="15" customHeight="1">
      <c r="A119" s="1225" t="s">
        <v>971</v>
      </c>
      <c r="B119" s="1226"/>
      <c r="C119" s="1226"/>
      <c r="D119" s="1226"/>
      <c r="E119" s="1226"/>
      <c r="F119" s="1227"/>
      <c r="G119" s="536">
        <f>SUM(G65:G70)</f>
        <v>0</v>
      </c>
      <c r="H119" s="536">
        <f aca="true" t="shared" si="2" ref="H119:M119">SUM(H65:H70)</f>
        <v>0</v>
      </c>
      <c r="I119" s="536">
        <f t="shared" si="2"/>
        <v>0</v>
      </c>
      <c r="J119" s="536">
        <f t="shared" si="2"/>
        <v>0</v>
      </c>
      <c r="K119" s="536">
        <f t="shared" si="2"/>
        <v>0</v>
      </c>
      <c r="L119" s="536">
        <f t="shared" si="2"/>
        <v>0</v>
      </c>
      <c r="M119" s="536">
        <f t="shared" si="2"/>
        <v>0</v>
      </c>
    </row>
    <row r="120" spans="1:13" s="351" customFormat="1" ht="15" customHeight="1">
      <c r="A120" s="1225" t="s">
        <v>972</v>
      </c>
      <c r="B120" s="1226"/>
      <c r="C120" s="1226"/>
      <c r="D120" s="1226"/>
      <c r="E120" s="1226"/>
      <c r="F120" s="1227"/>
      <c r="G120" s="537">
        <f>G118-G119</f>
        <v>0</v>
      </c>
      <c r="H120" s="537">
        <f aca="true" t="shared" si="3" ref="H120:M120">H118-H119</f>
        <v>0</v>
      </c>
      <c r="I120" s="537">
        <f t="shared" si="3"/>
        <v>0</v>
      </c>
      <c r="J120" s="537">
        <f t="shared" si="3"/>
        <v>0</v>
      </c>
      <c r="K120" s="537">
        <f t="shared" si="3"/>
        <v>0</v>
      </c>
      <c r="L120" s="537">
        <f t="shared" si="3"/>
        <v>0</v>
      </c>
      <c r="M120" s="537">
        <f t="shared" si="3"/>
        <v>0</v>
      </c>
    </row>
    <row r="121" spans="1:13" s="351" customFormat="1" ht="18" customHeight="1">
      <c r="A121" s="1228" t="s">
        <v>973</v>
      </c>
      <c r="B121" s="1229"/>
      <c r="C121" s="1229"/>
      <c r="D121" s="1229"/>
      <c r="E121" s="1229"/>
      <c r="F121" s="1229"/>
      <c r="G121" s="1229"/>
      <c r="H121" s="1229"/>
      <c r="I121" s="1229"/>
      <c r="J121" s="1229"/>
      <c r="K121" s="1229"/>
      <c r="L121" s="1229"/>
      <c r="M121" s="1229"/>
    </row>
    <row r="122" spans="1:13" s="351" customFormat="1" ht="13.5" customHeight="1">
      <c r="A122" s="1211"/>
      <c r="B122" s="1212"/>
      <c r="C122" s="1212"/>
      <c r="D122" s="1212"/>
      <c r="E122" s="1212"/>
      <c r="F122" s="1212"/>
      <c r="G122" s="1212"/>
      <c r="H122" s="1212"/>
      <c r="I122" s="1212"/>
      <c r="J122" s="1212"/>
      <c r="K122" s="1212"/>
      <c r="L122" s="1212"/>
      <c r="M122" s="1213"/>
    </row>
    <row r="123" spans="1:13" s="351" customFormat="1" ht="13.5" customHeight="1">
      <c r="A123" s="1214"/>
      <c r="B123" s="1215"/>
      <c r="C123" s="1215"/>
      <c r="D123" s="1215"/>
      <c r="E123" s="1215"/>
      <c r="F123" s="1215"/>
      <c r="G123" s="1215"/>
      <c r="H123" s="1215"/>
      <c r="I123" s="1215"/>
      <c r="J123" s="1215"/>
      <c r="K123" s="1215"/>
      <c r="L123" s="1215"/>
      <c r="M123" s="1216"/>
    </row>
    <row r="124" spans="1:13" s="351" customFormat="1" ht="13.5" customHeight="1">
      <c r="A124" s="1214"/>
      <c r="B124" s="1215"/>
      <c r="C124" s="1215"/>
      <c r="D124" s="1215"/>
      <c r="E124" s="1215"/>
      <c r="F124" s="1215"/>
      <c r="G124" s="1215"/>
      <c r="H124" s="1215"/>
      <c r="I124" s="1215"/>
      <c r="J124" s="1215"/>
      <c r="K124" s="1215"/>
      <c r="L124" s="1215"/>
      <c r="M124" s="1216"/>
    </row>
    <row r="125" spans="1:13" s="351" customFormat="1" ht="13.5" customHeight="1">
      <c r="A125" s="1214"/>
      <c r="B125" s="1215"/>
      <c r="C125" s="1215"/>
      <c r="D125" s="1215"/>
      <c r="E125" s="1215"/>
      <c r="F125" s="1215"/>
      <c r="G125" s="1215"/>
      <c r="H125" s="1215"/>
      <c r="I125" s="1215"/>
      <c r="J125" s="1215"/>
      <c r="K125" s="1215"/>
      <c r="L125" s="1215"/>
      <c r="M125" s="1216"/>
    </row>
    <row r="126" spans="1:13" s="351" customFormat="1" ht="13.5" customHeight="1">
      <c r="A126" s="1214"/>
      <c r="B126" s="1215"/>
      <c r="C126" s="1215"/>
      <c r="D126" s="1215"/>
      <c r="E126" s="1215"/>
      <c r="F126" s="1215"/>
      <c r="G126" s="1215"/>
      <c r="H126" s="1215"/>
      <c r="I126" s="1215"/>
      <c r="J126" s="1215"/>
      <c r="K126" s="1215"/>
      <c r="L126" s="1215"/>
      <c r="M126" s="1216"/>
    </row>
    <row r="127" spans="1:13" s="351" customFormat="1" ht="13.5" customHeight="1">
      <c r="A127" s="1217"/>
      <c r="B127" s="1218"/>
      <c r="C127" s="1218"/>
      <c r="D127" s="1218"/>
      <c r="E127" s="1218"/>
      <c r="F127" s="1218"/>
      <c r="G127" s="1218"/>
      <c r="H127" s="1218"/>
      <c r="I127" s="1218"/>
      <c r="J127" s="1218"/>
      <c r="K127" s="1218"/>
      <c r="L127" s="1218"/>
      <c r="M127" s="1219"/>
    </row>
    <row r="128" spans="1:13" ht="18" customHeight="1">
      <c r="A128" s="1220" t="s">
        <v>974</v>
      </c>
      <c r="B128" s="1220"/>
      <c r="C128" s="1220"/>
      <c r="D128" s="1220"/>
      <c r="E128" s="1220"/>
      <c r="F128" s="1220"/>
      <c r="G128" s="1220"/>
      <c r="H128" s="1220"/>
      <c r="I128" s="1220"/>
      <c r="J128" s="1220"/>
      <c r="K128" s="1220"/>
      <c r="L128" s="1220"/>
      <c r="M128" s="1220"/>
    </row>
    <row r="129" spans="1:13" ht="13.5" customHeight="1">
      <c r="A129" s="538">
        <v>1</v>
      </c>
      <c r="B129" s="539" t="s">
        <v>1035</v>
      </c>
      <c r="C129" s="481"/>
      <c r="D129" s="481"/>
      <c r="E129" s="483"/>
      <c r="F129" s="483"/>
      <c r="G129" s="481"/>
      <c r="H129" s="478"/>
      <c r="I129" s="483"/>
      <c r="J129" s="483"/>
      <c r="K129" s="483"/>
      <c r="L129" s="481"/>
      <c r="M129" s="512"/>
    </row>
    <row r="130" spans="1:13" ht="13.5" customHeight="1">
      <c r="A130" s="540">
        <v>2</v>
      </c>
      <c r="B130" s="541" t="s">
        <v>1036</v>
      </c>
      <c r="C130" s="472"/>
      <c r="D130" s="472"/>
      <c r="E130" s="486"/>
      <c r="F130" s="486"/>
      <c r="G130" s="472"/>
      <c r="H130" s="509"/>
      <c r="I130" s="486"/>
      <c r="J130" s="486"/>
      <c r="K130" s="486"/>
      <c r="L130" s="472"/>
      <c r="M130" s="514"/>
    </row>
    <row r="131" spans="1:13" ht="13.5" customHeight="1">
      <c r="A131" s="540">
        <v>3</v>
      </c>
      <c r="B131" s="541" t="s">
        <v>1037</v>
      </c>
      <c r="C131" s="472"/>
      <c r="D131" s="472"/>
      <c r="E131" s="486"/>
      <c r="F131" s="486"/>
      <c r="G131" s="472"/>
      <c r="H131" s="509"/>
      <c r="I131" s="486"/>
      <c r="J131" s="486"/>
      <c r="K131" s="486"/>
      <c r="L131" s="472"/>
      <c r="M131" s="514"/>
    </row>
    <row r="132" spans="1:13" ht="13.5" customHeight="1">
      <c r="A132" s="540">
        <v>4</v>
      </c>
      <c r="B132" s="541" t="s">
        <v>1038</v>
      </c>
      <c r="C132" s="472"/>
      <c r="D132" s="472"/>
      <c r="E132" s="486"/>
      <c r="F132" s="486"/>
      <c r="G132" s="472"/>
      <c r="H132" s="509"/>
      <c r="I132" s="486"/>
      <c r="J132" s="486"/>
      <c r="K132" s="486"/>
      <c r="L132" s="472"/>
      <c r="M132" s="514"/>
    </row>
    <row r="133" spans="1:13" ht="13.5" customHeight="1">
      <c r="A133" s="540">
        <v>5</v>
      </c>
      <c r="B133" s="541" t="s">
        <v>1039</v>
      </c>
      <c r="C133" s="472"/>
      <c r="D133" s="472"/>
      <c r="E133" s="486"/>
      <c r="F133" s="486"/>
      <c r="G133" s="472"/>
      <c r="H133" s="509"/>
      <c r="I133" s="486"/>
      <c r="J133" s="486"/>
      <c r="K133" s="486"/>
      <c r="L133" s="472"/>
      <c r="M133" s="514"/>
    </row>
    <row r="134" spans="1:13" ht="13.5" customHeight="1">
      <c r="A134" s="540">
        <v>6</v>
      </c>
      <c r="B134" s="541" t="s">
        <v>1040</v>
      </c>
      <c r="C134" s="472"/>
      <c r="D134" s="472"/>
      <c r="E134" s="486"/>
      <c r="F134" s="486"/>
      <c r="G134" s="472"/>
      <c r="H134" s="509"/>
      <c r="I134" s="486"/>
      <c r="J134" s="486"/>
      <c r="K134" s="486"/>
      <c r="L134" s="472"/>
      <c r="M134" s="514"/>
    </row>
    <row r="135" spans="1:13" ht="13.5" customHeight="1">
      <c r="A135" s="540">
        <v>7</v>
      </c>
      <c r="B135" s="541" t="s">
        <v>1041</v>
      </c>
      <c r="C135" s="472"/>
      <c r="D135" s="472"/>
      <c r="E135" s="486"/>
      <c r="F135" s="486"/>
      <c r="G135" s="472"/>
      <c r="H135" s="509"/>
      <c r="I135" s="486"/>
      <c r="J135" s="486"/>
      <c r="K135" s="486"/>
      <c r="L135" s="472"/>
      <c r="M135" s="514"/>
    </row>
    <row r="136" spans="1:13" ht="13.5" customHeight="1">
      <c r="A136" s="540">
        <v>8</v>
      </c>
      <c r="B136" s="541" t="s">
        <v>1042</v>
      </c>
      <c r="C136" s="472"/>
      <c r="D136" s="472"/>
      <c r="E136" s="486"/>
      <c r="F136" s="486"/>
      <c r="G136" s="472"/>
      <c r="H136" s="509"/>
      <c r="I136" s="486"/>
      <c r="J136" s="486"/>
      <c r="K136" s="486"/>
      <c r="L136" s="472"/>
      <c r="M136" s="514"/>
    </row>
    <row r="137" spans="1:13" ht="13.5" customHeight="1">
      <c r="A137" s="540">
        <v>9</v>
      </c>
      <c r="B137" s="541" t="s">
        <v>1043</v>
      </c>
      <c r="C137" s="472"/>
      <c r="D137" s="472"/>
      <c r="E137" s="486"/>
      <c r="F137" s="486"/>
      <c r="G137" s="472"/>
      <c r="H137" s="509"/>
      <c r="I137" s="486"/>
      <c r="J137" s="486"/>
      <c r="K137" s="486"/>
      <c r="L137" s="472"/>
      <c r="M137" s="514"/>
    </row>
    <row r="138" spans="1:13" ht="13.5" customHeight="1">
      <c r="A138" s="542">
        <v>10</v>
      </c>
      <c r="B138" s="543" t="s">
        <v>1044</v>
      </c>
      <c r="C138" s="492"/>
      <c r="D138" s="492"/>
      <c r="E138" s="494"/>
      <c r="F138" s="494"/>
      <c r="G138" s="492"/>
      <c r="H138" s="515"/>
      <c r="I138" s="494"/>
      <c r="J138" s="494"/>
      <c r="K138" s="494"/>
      <c r="L138" s="492"/>
      <c r="M138" s="516"/>
    </row>
    <row r="139" ht="12" customHeight="1"/>
    <row r="140" spans="1:13" ht="15" customHeight="1">
      <c r="A140" s="1208" t="s">
        <v>975</v>
      </c>
      <c r="B140" s="1208"/>
      <c r="C140" s="1208"/>
      <c r="D140" s="1208"/>
      <c r="E140" s="1208"/>
      <c r="F140" s="1208"/>
      <c r="G140" s="1208"/>
      <c r="H140" s="1208"/>
      <c r="I140" s="1208"/>
      <c r="K140" s="1221"/>
      <c r="L140" s="1221"/>
      <c r="M140" s="1221"/>
    </row>
    <row r="141" spans="1:13" ht="15" customHeight="1">
      <c r="A141" s="1208" t="s">
        <v>976</v>
      </c>
      <c r="B141" s="1208"/>
      <c r="C141" s="1208"/>
      <c r="D141" s="1208"/>
      <c r="E141" s="1208"/>
      <c r="F141" s="1208"/>
      <c r="G141" s="1208"/>
      <c r="H141" s="1208"/>
      <c r="I141" s="1208"/>
      <c r="K141" s="1209"/>
      <c r="L141" s="1209"/>
      <c r="M141" s="1209"/>
    </row>
    <row r="142" spans="1:13" ht="15" customHeight="1">
      <c r="A142" s="1208" t="s">
        <v>977</v>
      </c>
      <c r="B142" s="1208"/>
      <c r="C142" s="1208"/>
      <c r="D142" s="1208"/>
      <c r="E142" s="1208"/>
      <c r="F142" s="1208"/>
      <c r="G142" s="1208"/>
      <c r="H142" s="1208"/>
      <c r="I142" s="1208"/>
      <c r="J142" s="1208"/>
      <c r="K142" s="1210"/>
      <c r="L142" s="1210"/>
      <c r="M142" s="1210"/>
    </row>
    <row r="143" ht="12" customHeight="1"/>
    <row r="144" spans="1:13" ht="13.5" customHeight="1">
      <c r="A144" s="1193" t="s">
        <v>978</v>
      </c>
      <c r="B144" s="1194"/>
      <c r="C144" s="1194"/>
      <c r="D144" s="1194"/>
      <c r="E144" s="1194"/>
      <c r="F144" s="1194"/>
      <c r="G144" s="1194"/>
      <c r="H144" s="1194"/>
      <c r="I144" s="1194"/>
      <c r="J144" s="1194"/>
      <c r="K144" s="1194"/>
      <c r="L144" s="1194"/>
      <c r="M144" s="1195"/>
    </row>
    <row r="145" spans="1:13" ht="13.5" customHeight="1">
      <c r="A145" s="1196"/>
      <c r="B145" s="1197"/>
      <c r="C145" s="1197"/>
      <c r="D145" s="1197"/>
      <c r="E145" s="1197"/>
      <c r="F145" s="1197"/>
      <c r="G145" s="1197"/>
      <c r="H145" s="1197"/>
      <c r="I145" s="1197"/>
      <c r="J145" s="1197"/>
      <c r="K145" s="1197"/>
      <c r="L145" s="1197"/>
      <c r="M145" s="1198"/>
    </row>
    <row r="146" spans="1:13" ht="13.5" customHeight="1">
      <c r="A146" s="1199"/>
      <c r="B146" s="1200"/>
      <c r="C146" s="1200"/>
      <c r="D146" s="1200"/>
      <c r="E146" s="1200"/>
      <c r="F146" s="1200"/>
      <c r="G146" s="1200"/>
      <c r="H146" s="1200"/>
      <c r="I146" s="1200"/>
      <c r="J146" s="1200"/>
      <c r="K146" s="1200"/>
      <c r="L146" s="1200"/>
      <c r="M146" s="1201"/>
    </row>
    <row r="147" spans="1:13" ht="13.5" customHeight="1">
      <c r="A147" s="1202"/>
      <c r="B147" s="1203"/>
      <c r="C147" s="1203"/>
      <c r="D147" s="1203"/>
      <c r="E147" s="1203"/>
      <c r="F147" s="1203"/>
      <c r="G147" s="1203"/>
      <c r="H147" s="1203"/>
      <c r="I147" s="1203"/>
      <c r="J147" s="1203"/>
      <c r="K147" s="1203"/>
      <c r="L147" s="1203"/>
      <c r="M147" s="1204"/>
    </row>
    <row r="148" spans="1:13" ht="13.5" customHeight="1">
      <c r="A148" s="1205" t="s">
        <v>958</v>
      </c>
      <c r="B148" s="1206"/>
      <c r="C148" s="1206"/>
      <c r="D148" s="1206"/>
      <c r="E148" s="1206"/>
      <c r="F148" s="1206"/>
      <c r="G148" s="1206"/>
      <c r="H148" s="1206"/>
      <c r="I148" s="1206"/>
      <c r="J148" s="1206"/>
      <c r="K148" s="1206"/>
      <c r="L148" s="1206" t="s">
        <v>565</v>
      </c>
      <c r="M148" s="1207"/>
    </row>
    <row r="149" spans="1:13" ht="18" customHeight="1">
      <c r="A149" s="1009" t="s">
        <v>979</v>
      </c>
      <c r="B149" s="999"/>
      <c r="C149" s="999"/>
      <c r="D149" s="999"/>
      <c r="E149" s="999"/>
      <c r="F149" s="999"/>
      <c r="G149" s="999"/>
      <c r="H149" s="999"/>
      <c r="I149" s="999"/>
      <c r="J149" s="999"/>
      <c r="K149" s="999"/>
      <c r="L149" s="999"/>
      <c r="M149" s="1006" t="s">
        <v>71</v>
      </c>
    </row>
    <row r="150" spans="1:13" ht="18.75" customHeight="1">
      <c r="A150" s="501" t="s">
        <v>564</v>
      </c>
      <c r="B150" s="1188">
        <f>IF(B6="","",B6)</f>
      </c>
      <c r="C150" s="1189"/>
      <c r="D150" s="1190"/>
      <c r="E150" s="1191" t="s">
        <v>919</v>
      </c>
      <c r="F150" s="1192"/>
      <c r="G150" s="1188">
        <f>IF(G6="","",G6)</f>
      </c>
      <c r="H150" s="1190"/>
      <c r="I150" s="1191" t="s">
        <v>565</v>
      </c>
      <c r="J150" s="1192"/>
      <c r="K150" s="1178">
        <f ca="1">TODAY()</f>
        <v>39106</v>
      </c>
      <c r="L150" s="1179"/>
      <c r="M150" s="1180"/>
    </row>
    <row r="151" spans="1:13" ht="13.5" customHeight="1">
      <c r="A151" s="1184" t="s">
        <v>980</v>
      </c>
      <c r="B151" s="1185"/>
      <c r="C151" s="1185"/>
      <c r="D151" s="1185"/>
      <c r="E151" s="1185"/>
      <c r="F151" s="1185"/>
      <c r="G151" s="1185"/>
      <c r="H151" s="1185"/>
      <c r="I151" s="1185"/>
      <c r="J151" s="1185"/>
      <c r="K151" s="1185"/>
      <c r="L151" s="1185"/>
      <c r="M151" s="1186"/>
    </row>
    <row r="152" spans="1:13" ht="13.5" customHeight="1">
      <c r="A152" s="1187"/>
      <c r="B152" s="1176"/>
      <c r="C152" s="1176"/>
      <c r="D152" s="1176"/>
      <c r="E152" s="1176"/>
      <c r="F152" s="1176"/>
      <c r="G152" s="1176"/>
      <c r="H152" s="1176"/>
      <c r="I152" s="1176"/>
      <c r="J152" s="1176"/>
      <c r="K152" s="1176"/>
      <c r="L152" s="1176"/>
      <c r="M152" s="1177"/>
    </row>
    <row r="153" spans="1:13" ht="13.5" customHeight="1">
      <c r="A153" s="518" t="s">
        <v>981</v>
      </c>
      <c r="B153" s="1176" t="s">
        <v>982</v>
      </c>
      <c r="C153" s="1176"/>
      <c r="D153" s="1176"/>
      <c r="E153" s="1176"/>
      <c r="F153" s="1176"/>
      <c r="G153" s="1176"/>
      <c r="H153" s="1176"/>
      <c r="I153" s="1176"/>
      <c r="J153" s="1176"/>
      <c r="K153" s="1176"/>
      <c r="L153" s="1176"/>
      <c r="M153" s="1177"/>
    </row>
    <row r="154" spans="1:13" ht="13.5" customHeight="1">
      <c r="A154" s="519"/>
      <c r="B154" s="1176"/>
      <c r="C154" s="1176"/>
      <c r="D154" s="1176"/>
      <c r="E154" s="1176"/>
      <c r="F154" s="1176"/>
      <c r="G154" s="1176"/>
      <c r="H154" s="1176"/>
      <c r="I154" s="1176"/>
      <c r="J154" s="1176"/>
      <c r="K154" s="1176"/>
      <c r="L154" s="1176"/>
      <c r="M154" s="1177"/>
    </row>
    <row r="155" spans="1:13" ht="13.5" customHeight="1">
      <c r="A155" s="520" t="s">
        <v>983</v>
      </c>
      <c r="B155" s="1176" t="s">
        <v>984</v>
      </c>
      <c r="C155" s="1176"/>
      <c r="D155" s="1176"/>
      <c r="E155" s="1176"/>
      <c r="F155" s="1176"/>
      <c r="G155" s="1176"/>
      <c r="H155" s="1176"/>
      <c r="I155" s="1176"/>
      <c r="J155" s="1176"/>
      <c r="K155" s="1176"/>
      <c r="L155" s="1176"/>
      <c r="M155" s="1177"/>
    </row>
    <row r="156" spans="1:13" ht="13.5" customHeight="1">
      <c r="A156" s="519"/>
      <c r="B156" s="1176"/>
      <c r="C156" s="1176"/>
      <c r="D156" s="1176"/>
      <c r="E156" s="1176"/>
      <c r="F156" s="1176"/>
      <c r="G156" s="1176"/>
      <c r="H156" s="1176"/>
      <c r="I156" s="1176"/>
      <c r="J156" s="1176"/>
      <c r="K156" s="1176"/>
      <c r="L156" s="1176"/>
      <c r="M156" s="1177"/>
    </row>
    <row r="157" spans="1:13" ht="13.5" customHeight="1">
      <c r="A157" s="520" t="s">
        <v>985</v>
      </c>
      <c r="B157" s="1176" t="s">
        <v>986</v>
      </c>
      <c r="C157" s="1176"/>
      <c r="D157" s="1176"/>
      <c r="E157" s="1176"/>
      <c r="F157" s="1176"/>
      <c r="G157" s="1176"/>
      <c r="H157" s="1176"/>
      <c r="I157" s="1176"/>
      <c r="J157" s="1176"/>
      <c r="K157" s="1176"/>
      <c r="L157" s="1176"/>
      <c r="M157" s="1177"/>
    </row>
    <row r="158" spans="1:13" ht="13.5" customHeight="1">
      <c r="A158" s="520" t="s">
        <v>987</v>
      </c>
      <c r="B158" s="1176" t="s">
        <v>988</v>
      </c>
      <c r="C158" s="1176"/>
      <c r="D158" s="1176"/>
      <c r="E158" s="1176"/>
      <c r="F158" s="1176"/>
      <c r="G158" s="1176"/>
      <c r="H158" s="1176"/>
      <c r="I158" s="1176"/>
      <c r="J158" s="1176"/>
      <c r="K158" s="1176"/>
      <c r="L158" s="1176"/>
      <c r="M158" s="1177"/>
    </row>
    <row r="159" spans="1:13" ht="13.5" customHeight="1">
      <c r="A159" s="520" t="s">
        <v>989</v>
      </c>
      <c r="B159" s="1176" t="s">
        <v>990</v>
      </c>
      <c r="C159" s="1176"/>
      <c r="D159" s="1176"/>
      <c r="E159" s="1176"/>
      <c r="F159" s="1176"/>
      <c r="G159" s="1176"/>
      <c r="H159" s="1176"/>
      <c r="I159" s="1176"/>
      <c r="J159" s="1176"/>
      <c r="K159" s="1176"/>
      <c r="L159" s="1176"/>
      <c r="M159" s="1177"/>
    </row>
    <row r="160" spans="1:13" ht="13.5" customHeight="1">
      <c r="A160" s="519"/>
      <c r="B160" s="1176"/>
      <c r="C160" s="1176"/>
      <c r="D160" s="1176"/>
      <c r="E160" s="1176"/>
      <c r="F160" s="1176"/>
      <c r="G160" s="1176"/>
      <c r="H160" s="1176"/>
      <c r="I160" s="1176"/>
      <c r="J160" s="1176"/>
      <c r="K160" s="1176"/>
      <c r="L160" s="1176"/>
      <c r="M160" s="1177"/>
    </row>
    <row r="161" spans="1:13" ht="13.5" customHeight="1">
      <c r="A161" s="520" t="s">
        <v>991</v>
      </c>
      <c r="B161" s="1176" t="s">
        <v>992</v>
      </c>
      <c r="C161" s="1176"/>
      <c r="D161" s="1176"/>
      <c r="E161" s="1176"/>
      <c r="F161" s="1176"/>
      <c r="G161" s="1176"/>
      <c r="H161" s="1176"/>
      <c r="I161" s="1176"/>
      <c r="J161" s="1176"/>
      <c r="K161" s="1176"/>
      <c r="L161" s="1176"/>
      <c r="M161" s="1177"/>
    </row>
    <row r="162" spans="1:13" ht="13.5" customHeight="1">
      <c r="A162" s="519"/>
      <c r="B162" s="521" t="s">
        <v>993</v>
      </c>
      <c r="C162" s="1176" t="s">
        <v>994</v>
      </c>
      <c r="D162" s="1176"/>
      <c r="E162" s="1176"/>
      <c r="F162" s="1176"/>
      <c r="G162" s="1176"/>
      <c r="H162" s="1176"/>
      <c r="I162" s="1176"/>
      <c r="J162" s="1176"/>
      <c r="K162" s="1176"/>
      <c r="L162" s="1176"/>
      <c r="M162" s="1177"/>
    </row>
    <row r="163" spans="1:13" ht="13.5" customHeight="1">
      <c r="A163" s="519"/>
      <c r="B163" s="521" t="s">
        <v>995</v>
      </c>
      <c r="C163" s="1176" t="s">
        <v>996</v>
      </c>
      <c r="D163" s="1176"/>
      <c r="E163" s="1176"/>
      <c r="F163" s="1176"/>
      <c r="G163" s="1176"/>
      <c r="H163" s="1176"/>
      <c r="I163" s="1176"/>
      <c r="J163" s="1176"/>
      <c r="K163" s="1176"/>
      <c r="L163" s="1176"/>
      <c r="M163" s="1177"/>
    </row>
    <row r="164" spans="1:13" ht="13.5" customHeight="1">
      <c r="A164" s="519"/>
      <c r="B164" s="521" t="s">
        <v>997</v>
      </c>
      <c r="C164" s="1176" t="s">
        <v>998</v>
      </c>
      <c r="D164" s="1176"/>
      <c r="E164" s="1176"/>
      <c r="F164" s="1176"/>
      <c r="G164" s="1176"/>
      <c r="H164" s="1176"/>
      <c r="I164" s="1176"/>
      <c r="J164" s="1176"/>
      <c r="K164" s="1176"/>
      <c r="L164" s="1176"/>
      <c r="M164" s="1177"/>
    </row>
    <row r="165" spans="1:13" ht="13.5" customHeight="1">
      <c r="A165" s="519"/>
      <c r="B165" s="521" t="s">
        <v>999</v>
      </c>
      <c r="C165" s="1176" t="s">
        <v>1000</v>
      </c>
      <c r="D165" s="1176"/>
      <c r="E165" s="1176"/>
      <c r="F165" s="1176"/>
      <c r="G165" s="1176"/>
      <c r="H165" s="1176"/>
      <c r="I165" s="1176"/>
      <c r="J165" s="1176"/>
      <c r="K165" s="1176"/>
      <c r="L165" s="1176"/>
      <c r="M165" s="1177"/>
    </row>
    <row r="166" spans="1:13" ht="13.5" customHeight="1">
      <c r="A166" s="519"/>
      <c r="B166" s="521"/>
      <c r="C166" s="1176"/>
      <c r="D166" s="1176"/>
      <c r="E166" s="1176"/>
      <c r="F166" s="1176"/>
      <c r="G166" s="1176"/>
      <c r="H166" s="1176"/>
      <c r="I166" s="1176"/>
      <c r="J166" s="1176"/>
      <c r="K166" s="1176"/>
      <c r="L166" s="1176"/>
      <c r="M166" s="1177"/>
    </row>
    <row r="167" spans="1:13" ht="13.5" customHeight="1">
      <c r="A167" s="519"/>
      <c r="B167" s="521" t="s">
        <v>1001</v>
      </c>
      <c r="C167" s="1176" t="s">
        <v>1002</v>
      </c>
      <c r="D167" s="1176"/>
      <c r="E167" s="1176"/>
      <c r="F167" s="1176"/>
      <c r="G167" s="1176"/>
      <c r="H167" s="1176"/>
      <c r="I167" s="1176"/>
      <c r="J167" s="1176"/>
      <c r="K167" s="1176"/>
      <c r="L167" s="1176"/>
      <c r="M167" s="1177"/>
    </row>
    <row r="168" spans="1:13" ht="13.5" customHeight="1">
      <c r="A168" s="519"/>
      <c r="B168" s="521" t="s">
        <v>1003</v>
      </c>
      <c r="C168" s="1176" t="s">
        <v>1004</v>
      </c>
      <c r="D168" s="1176"/>
      <c r="E168" s="1176"/>
      <c r="F168" s="1176"/>
      <c r="G168" s="1176"/>
      <c r="H168" s="1176"/>
      <c r="I168" s="1176"/>
      <c r="J168" s="1176"/>
      <c r="K168" s="1176"/>
      <c r="L168" s="1176"/>
      <c r="M168" s="1177"/>
    </row>
    <row r="169" spans="1:13" ht="13.5" customHeight="1">
      <c r="A169" s="522" t="s">
        <v>1005</v>
      </c>
      <c r="B169" s="1174" t="s">
        <v>1006</v>
      </c>
      <c r="C169" s="1174"/>
      <c r="D169" s="1174"/>
      <c r="E169" s="1174"/>
      <c r="F169" s="1174"/>
      <c r="G169" s="1174"/>
      <c r="H169" s="1174"/>
      <c r="I169" s="1174"/>
      <c r="J169" s="1174"/>
      <c r="K169" s="1174"/>
      <c r="L169" s="1174"/>
      <c r="M169" s="1175"/>
    </row>
    <row r="170" spans="1:13" ht="13.5" customHeight="1">
      <c r="A170" s="522"/>
      <c r="B170" s="1174"/>
      <c r="C170" s="1174"/>
      <c r="D170" s="1174"/>
      <c r="E170" s="1174"/>
      <c r="F170" s="1174"/>
      <c r="G170" s="1174"/>
      <c r="H170" s="1174"/>
      <c r="I170" s="1174"/>
      <c r="J170" s="1174"/>
      <c r="K170" s="1174"/>
      <c r="L170" s="1174"/>
      <c r="M170" s="1175"/>
    </row>
    <row r="171" spans="1:13" ht="13.5" customHeight="1">
      <c r="A171" s="520" t="s">
        <v>1007</v>
      </c>
      <c r="B171" s="1174" t="s">
        <v>1008</v>
      </c>
      <c r="C171" s="1174"/>
      <c r="D171" s="1174"/>
      <c r="E171" s="1174"/>
      <c r="F171" s="1174"/>
      <c r="G171" s="1174"/>
      <c r="H171" s="1174"/>
      <c r="I171" s="1174"/>
      <c r="J171" s="1174"/>
      <c r="K171" s="1174"/>
      <c r="L171" s="1174"/>
      <c r="M171" s="1175"/>
    </row>
    <row r="172" spans="1:13" ht="13.5" customHeight="1">
      <c r="A172" s="522"/>
      <c r="B172" s="1174"/>
      <c r="C172" s="1174"/>
      <c r="D172" s="1174"/>
      <c r="E172" s="1174"/>
      <c r="F172" s="1174"/>
      <c r="G172" s="1174"/>
      <c r="H172" s="1174"/>
      <c r="I172" s="1174"/>
      <c r="J172" s="1174"/>
      <c r="K172" s="1174"/>
      <c r="L172" s="1174"/>
      <c r="M172" s="1175"/>
    </row>
    <row r="173" spans="1:13" ht="13.5" customHeight="1">
      <c r="A173" s="520" t="s">
        <v>1009</v>
      </c>
      <c r="B173" s="1174" t="s">
        <v>1010</v>
      </c>
      <c r="C173" s="1174"/>
      <c r="D173" s="1174"/>
      <c r="E173" s="1174"/>
      <c r="F173" s="1174"/>
      <c r="G173" s="1174"/>
      <c r="H173" s="1174"/>
      <c r="I173" s="1174"/>
      <c r="J173" s="1174"/>
      <c r="K173" s="1174"/>
      <c r="L173" s="1174"/>
      <c r="M173" s="1175"/>
    </row>
    <row r="174" spans="1:13" ht="13.5" customHeight="1">
      <c r="A174" s="522"/>
      <c r="B174" s="1174"/>
      <c r="C174" s="1174"/>
      <c r="D174" s="1174"/>
      <c r="E174" s="1174"/>
      <c r="F174" s="1174"/>
      <c r="G174" s="1174"/>
      <c r="H174" s="1174"/>
      <c r="I174" s="1174"/>
      <c r="J174" s="1174"/>
      <c r="K174" s="1174"/>
      <c r="L174" s="1174"/>
      <c r="M174" s="1175"/>
    </row>
    <row r="175" spans="1:13" ht="13.5" customHeight="1">
      <c r="A175" s="520" t="s">
        <v>1011</v>
      </c>
      <c r="B175" s="1174" t="s">
        <v>1012</v>
      </c>
      <c r="C175" s="1174"/>
      <c r="D175" s="1174"/>
      <c r="E175" s="1174"/>
      <c r="F175" s="1174"/>
      <c r="G175" s="1174"/>
      <c r="H175" s="1174"/>
      <c r="I175" s="1174"/>
      <c r="J175" s="1174"/>
      <c r="K175" s="1174"/>
      <c r="L175" s="1174"/>
      <c r="M175" s="1175"/>
    </row>
    <row r="176" spans="1:13" ht="13.5" customHeight="1">
      <c r="A176" s="523"/>
      <c r="B176" s="515"/>
      <c r="C176" s="492"/>
      <c r="D176" s="492"/>
      <c r="E176" s="494"/>
      <c r="F176" s="494"/>
      <c r="G176" s="492"/>
      <c r="H176" s="524"/>
      <c r="I176" s="494"/>
      <c r="J176" s="494"/>
      <c r="K176" s="494"/>
      <c r="L176" s="525"/>
      <c r="M176" s="526"/>
    </row>
    <row r="177" spans="1:13" ht="18" customHeight="1">
      <c r="A177" s="1183" t="s">
        <v>1013</v>
      </c>
      <c r="B177" s="1183"/>
      <c r="C177" s="1183"/>
      <c r="D177" s="1183"/>
      <c r="E177" s="1183"/>
      <c r="F177" s="1183"/>
      <c r="G177" s="1183"/>
      <c r="H177" s="1183"/>
      <c r="I177" s="1183"/>
      <c r="J177" s="1183"/>
      <c r="K177" s="1183"/>
      <c r="L177" s="1183"/>
      <c r="M177" s="1183"/>
    </row>
    <row r="178" spans="1:13" ht="13.5" customHeight="1">
      <c r="A178" s="1165"/>
      <c r="B178" s="1166"/>
      <c r="C178" s="1166"/>
      <c r="D178" s="1166"/>
      <c r="E178" s="1166"/>
      <c r="F178" s="1166"/>
      <c r="G178" s="1166"/>
      <c r="H178" s="1166"/>
      <c r="I178" s="1166"/>
      <c r="J178" s="1166"/>
      <c r="K178" s="1166"/>
      <c r="L178" s="1166"/>
      <c r="M178" s="1167"/>
    </row>
    <row r="179" spans="1:13" ht="13.5" customHeight="1">
      <c r="A179" s="1168"/>
      <c r="B179" s="1169"/>
      <c r="C179" s="1169"/>
      <c r="D179" s="1169"/>
      <c r="E179" s="1169"/>
      <c r="F179" s="1169"/>
      <c r="G179" s="1169"/>
      <c r="H179" s="1169"/>
      <c r="I179" s="1169"/>
      <c r="J179" s="1169"/>
      <c r="K179" s="1169"/>
      <c r="L179" s="1169"/>
      <c r="M179" s="1170"/>
    </row>
    <row r="180" spans="1:13" ht="13.5" customHeight="1">
      <c r="A180" s="1168"/>
      <c r="B180" s="1169"/>
      <c r="C180" s="1169"/>
      <c r="D180" s="1169"/>
      <c r="E180" s="1169"/>
      <c r="F180" s="1169"/>
      <c r="G180" s="1169"/>
      <c r="H180" s="1169"/>
      <c r="I180" s="1169"/>
      <c r="J180" s="1169"/>
      <c r="K180" s="1169"/>
      <c r="L180" s="1169"/>
      <c r="M180" s="1170"/>
    </row>
    <row r="181" spans="1:13" ht="13.5" customHeight="1">
      <c r="A181" s="1168"/>
      <c r="B181" s="1169"/>
      <c r="C181" s="1169"/>
      <c r="D181" s="1169"/>
      <c r="E181" s="1169"/>
      <c r="F181" s="1169"/>
      <c r="G181" s="1169"/>
      <c r="H181" s="1169"/>
      <c r="I181" s="1169"/>
      <c r="J181" s="1169"/>
      <c r="K181" s="1169"/>
      <c r="L181" s="1169"/>
      <c r="M181" s="1170"/>
    </row>
    <row r="182" spans="1:13" ht="13.5" customHeight="1">
      <c r="A182" s="1171"/>
      <c r="B182" s="1172"/>
      <c r="C182" s="1172"/>
      <c r="D182" s="1172"/>
      <c r="E182" s="1172"/>
      <c r="F182" s="1172"/>
      <c r="G182" s="1172"/>
      <c r="H182" s="1172"/>
      <c r="I182" s="1172"/>
      <c r="J182" s="1172"/>
      <c r="K182" s="1172"/>
      <c r="L182" s="1172"/>
      <c r="M182" s="1173"/>
    </row>
    <row r="183" spans="1:13" ht="13.5" customHeight="1">
      <c r="A183" s="1153" t="s">
        <v>1014</v>
      </c>
      <c r="B183" s="1154"/>
      <c r="C183" s="1154"/>
      <c r="D183" s="1154"/>
      <c r="E183" s="1154"/>
      <c r="F183" s="1154"/>
      <c r="G183" s="1154"/>
      <c r="H183" s="1154"/>
      <c r="I183" s="1154"/>
      <c r="J183" s="1154"/>
      <c r="K183" s="1154"/>
      <c r="L183" s="1154"/>
      <c r="M183" s="1155"/>
    </row>
    <row r="184" spans="1:13" ht="13.5" customHeight="1">
      <c r="A184" s="1156"/>
      <c r="B184" s="1157"/>
      <c r="C184" s="1157"/>
      <c r="D184" s="1157"/>
      <c r="E184" s="1157"/>
      <c r="F184" s="1157"/>
      <c r="G184" s="1157"/>
      <c r="H184" s="1157"/>
      <c r="I184" s="1157"/>
      <c r="J184" s="1157"/>
      <c r="K184" s="1157"/>
      <c r="L184" s="1157"/>
      <c r="M184" s="1158"/>
    </row>
    <row r="185" spans="1:13" ht="13.5" customHeight="1">
      <c r="A185" s="1159"/>
      <c r="B185" s="1160"/>
      <c r="C185" s="1160"/>
      <c r="D185" s="1160"/>
      <c r="E185" s="1160"/>
      <c r="F185" s="1160"/>
      <c r="G185" s="1160"/>
      <c r="H185" s="1160"/>
      <c r="I185" s="1160"/>
      <c r="J185" s="1160"/>
      <c r="K185" s="1160"/>
      <c r="L185" s="1160"/>
      <c r="M185" s="1161"/>
    </row>
    <row r="186" spans="1:13" ht="13.5" customHeight="1">
      <c r="A186" s="523" t="s">
        <v>958</v>
      </c>
      <c r="B186" s="515"/>
      <c r="C186" s="492"/>
      <c r="D186" s="492"/>
      <c r="E186" s="494"/>
      <c r="F186" s="494"/>
      <c r="G186" s="492"/>
      <c r="H186" s="524" t="s">
        <v>960</v>
      </c>
      <c r="I186" s="494"/>
      <c r="J186" s="494"/>
      <c r="K186" s="494"/>
      <c r="L186" s="525" t="s">
        <v>565</v>
      </c>
      <c r="M186" s="526"/>
    </row>
    <row r="187" spans="1:13" ht="18" customHeight="1">
      <c r="A187" s="1183" t="s">
        <v>1013</v>
      </c>
      <c r="B187" s="1183"/>
      <c r="C187" s="1183"/>
      <c r="D187" s="1183"/>
      <c r="E187" s="1183"/>
      <c r="F187" s="1183"/>
      <c r="G187" s="1183"/>
      <c r="H187" s="1183"/>
      <c r="I187" s="1183"/>
      <c r="J187" s="1183"/>
      <c r="K187" s="1183"/>
      <c r="L187" s="1183"/>
      <c r="M187" s="1183"/>
    </row>
    <row r="188" spans="1:13" ht="13.5" customHeight="1">
      <c r="A188" s="1165"/>
      <c r="B188" s="1166"/>
      <c r="C188" s="1166"/>
      <c r="D188" s="1166"/>
      <c r="E188" s="1166"/>
      <c r="F188" s="1166"/>
      <c r="G188" s="1166"/>
      <c r="H188" s="1166"/>
      <c r="I188" s="1166"/>
      <c r="J188" s="1166"/>
      <c r="K188" s="1166"/>
      <c r="L188" s="1166"/>
      <c r="M188" s="1167"/>
    </row>
    <row r="189" spans="1:13" ht="13.5" customHeight="1">
      <c r="A189" s="1168"/>
      <c r="B189" s="1169"/>
      <c r="C189" s="1169"/>
      <c r="D189" s="1169"/>
      <c r="E189" s="1169"/>
      <c r="F189" s="1169"/>
      <c r="G189" s="1169"/>
      <c r="H189" s="1169"/>
      <c r="I189" s="1169"/>
      <c r="J189" s="1169"/>
      <c r="K189" s="1169"/>
      <c r="L189" s="1169"/>
      <c r="M189" s="1170"/>
    </row>
    <row r="190" spans="1:13" ht="13.5" customHeight="1">
      <c r="A190" s="1168"/>
      <c r="B190" s="1169"/>
      <c r="C190" s="1169"/>
      <c r="D190" s="1169"/>
      <c r="E190" s="1169"/>
      <c r="F190" s="1169"/>
      <c r="G190" s="1169"/>
      <c r="H190" s="1169"/>
      <c r="I190" s="1169"/>
      <c r="J190" s="1169"/>
      <c r="K190" s="1169"/>
      <c r="L190" s="1169"/>
      <c r="M190" s="1170"/>
    </row>
    <row r="191" spans="1:13" ht="13.5" customHeight="1">
      <c r="A191" s="1168"/>
      <c r="B191" s="1169"/>
      <c r="C191" s="1169"/>
      <c r="D191" s="1169"/>
      <c r="E191" s="1169"/>
      <c r="F191" s="1169"/>
      <c r="G191" s="1169"/>
      <c r="H191" s="1169"/>
      <c r="I191" s="1169"/>
      <c r="J191" s="1169"/>
      <c r="K191" s="1169"/>
      <c r="L191" s="1169"/>
      <c r="M191" s="1170"/>
    </row>
    <row r="192" spans="1:13" ht="13.5" customHeight="1">
      <c r="A192" s="1171"/>
      <c r="B192" s="1172"/>
      <c r="C192" s="1172"/>
      <c r="D192" s="1172"/>
      <c r="E192" s="1172"/>
      <c r="F192" s="1172"/>
      <c r="G192" s="1172"/>
      <c r="H192" s="1172"/>
      <c r="I192" s="1172"/>
      <c r="J192" s="1172"/>
      <c r="K192" s="1172"/>
      <c r="L192" s="1172"/>
      <c r="M192" s="1173"/>
    </row>
    <row r="193" spans="1:13" ht="13.5" customHeight="1">
      <c r="A193" s="1153" t="s">
        <v>1014</v>
      </c>
      <c r="B193" s="1154"/>
      <c r="C193" s="1154"/>
      <c r="D193" s="1154"/>
      <c r="E193" s="1154"/>
      <c r="F193" s="1154"/>
      <c r="G193" s="1154"/>
      <c r="H193" s="1154"/>
      <c r="I193" s="1154"/>
      <c r="J193" s="1154"/>
      <c r="K193" s="1154"/>
      <c r="L193" s="1154"/>
      <c r="M193" s="1155"/>
    </row>
    <row r="194" spans="1:13" ht="13.5" customHeight="1">
      <c r="A194" s="1156"/>
      <c r="B194" s="1157"/>
      <c r="C194" s="1157"/>
      <c r="D194" s="1157"/>
      <c r="E194" s="1157"/>
      <c r="F194" s="1157"/>
      <c r="G194" s="1157"/>
      <c r="H194" s="1157"/>
      <c r="I194" s="1157"/>
      <c r="J194" s="1157"/>
      <c r="K194" s="1157"/>
      <c r="L194" s="1157"/>
      <c r="M194" s="1158"/>
    </row>
    <row r="195" spans="1:13" ht="13.5" customHeight="1">
      <c r="A195" s="1159"/>
      <c r="B195" s="1160"/>
      <c r="C195" s="1160"/>
      <c r="D195" s="1160"/>
      <c r="E195" s="1160"/>
      <c r="F195" s="1160"/>
      <c r="G195" s="1160"/>
      <c r="H195" s="1160"/>
      <c r="I195" s="1160"/>
      <c r="J195" s="1160"/>
      <c r="K195" s="1160"/>
      <c r="L195" s="1160"/>
      <c r="M195" s="1161"/>
    </row>
    <row r="196" spans="1:13" ht="13.5" customHeight="1">
      <c r="A196" s="523" t="s">
        <v>958</v>
      </c>
      <c r="B196" s="515"/>
      <c r="C196" s="492"/>
      <c r="D196" s="492"/>
      <c r="E196" s="494"/>
      <c r="F196" s="494"/>
      <c r="G196" s="492"/>
      <c r="H196" s="524" t="s">
        <v>960</v>
      </c>
      <c r="I196" s="494"/>
      <c r="J196" s="494"/>
      <c r="K196" s="494"/>
      <c r="L196" s="525" t="s">
        <v>565</v>
      </c>
      <c r="M196" s="526"/>
    </row>
  </sheetData>
  <sheetProtection/>
  <mergeCells count="242">
    <mergeCell ref="B35:C36"/>
    <mergeCell ref="B40:B41"/>
    <mergeCell ref="C41:E41"/>
    <mergeCell ref="F41:G41"/>
    <mergeCell ref="C40:M40"/>
    <mergeCell ref="G35:G36"/>
    <mergeCell ref="D35:D36"/>
    <mergeCell ref="E35:E36"/>
    <mergeCell ref="F35:F36"/>
    <mergeCell ref="K35:M35"/>
    <mergeCell ref="H35:J35"/>
    <mergeCell ref="B49:D49"/>
    <mergeCell ref="B47:D48"/>
    <mergeCell ref="E55:F55"/>
    <mergeCell ref="H55:I55"/>
    <mergeCell ref="J55:K55"/>
    <mergeCell ref="B55:C55"/>
    <mergeCell ref="A46:M46"/>
    <mergeCell ref="E47:G48"/>
    <mergeCell ref="H47:M47"/>
    <mergeCell ref="B43:M44"/>
    <mergeCell ref="A39:M39"/>
    <mergeCell ref="B37:C37"/>
    <mergeCell ref="F42:G42"/>
    <mergeCell ref="K42:M42"/>
    <mergeCell ref="K41:M41"/>
    <mergeCell ref="H41:J41"/>
    <mergeCell ref="H42:J42"/>
    <mergeCell ref="A2:D2"/>
    <mergeCell ref="E2:M2"/>
    <mergeCell ref="A3:D3"/>
    <mergeCell ref="A60:E60"/>
    <mergeCell ref="C42:E42"/>
    <mergeCell ref="B50:M50"/>
    <mergeCell ref="B52:D52"/>
    <mergeCell ref="E52:F52"/>
    <mergeCell ref="G52:H52"/>
    <mergeCell ref="I52:J52"/>
    <mergeCell ref="A4:M4"/>
    <mergeCell ref="A5:M5"/>
    <mergeCell ref="B6:D6"/>
    <mergeCell ref="E6:F6"/>
    <mergeCell ref="G6:H6"/>
    <mergeCell ref="I6:J6"/>
    <mergeCell ref="K6:M6"/>
    <mergeCell ref="K7:M7"/>
    <mergeCell ref="B8:D8"/>
    <mergeCell ref="E8:F8"/>
    <mergeCell ref="G8:H8"/>
    <mergeCell ref="I8:J8"/>
    <mergeCell ref="K8:M8"/>
    <mergeCell ref="B7:D7"/>
    <mergeCell ref="E7:F7"/>
    <mergeCell ref="G7:H7"/>
    <mergeCell ref="I7:J7"/>
    <mergeCell ref="K9:M9"/>
    <mergeCell ref="B10:D10"/>
    <mergeCell ref="E10:F10"/>
    <mergeCell ref="I10:J10"/>
    <mergeCell ref="K10:M10"/>
    <mergeCell ref="B9:D9"/>
    <mergeCell ref="E9:F9"/>
    <mergeCell ref="G9:H9"/>
    <mergeCell ref="I9:J9"/>
    <mergeCell ref="K11:M11"/>
    <mergeCell ref="B12:D12"/>
    <mergeCell ref="E12:F12"/>
    <mergeCell ref="I12:J12"/>
    <mergeCell ref="K12:M12"/>
    <mergeCell ref="B11:D11"/>
    <mergeCell ref="E11:F11"/>
    <mergeCell ref="G11:H11"/>
    <mergeCell ref="I11:J11"/>
    <mergeCell ref="A14:M14"/>
    <mergeCell ref="A21:M21"/>
    <mergeCell ref="A22:B22"/>
    <mergeCell ref="C22:I22"/>
    <mergeCell ref="J22:K22"/>
    <mergeCell ref="L22:M22"/>
    <mergeCell ref="A23:C23"/>
    <mergeCell ref="A24:A25"/>
    <mergeCell ref="B24:B25"/>
    <mergeCell ref="C24:C25"/>
    <mergeCell ref="A30:M30"/>
    <mergeCell ref="A31:F31"/>
    <mergeCell ref="G31:M31"/>
    <mergeCell ref="D24:D25"/>
    <mergeCell ref="E24:E25"/>
    <mergeCell ref="F24:F25"/>
    <mergeCell ref="G24:M24"/>
    <mergeCell ref="A58:F58"/>
    <mergeCell ref="A61:F61"/>
    <mergeCell ref="A54:M54"/>
    <mergeCell ref="B56:M56"/>
    <mergeCell ref="A59:E59"/>
    <mergeCell ref="A62:F62"/>
    <mergeCell ref="A63:B63"/>
    <mergeCell ref="C63:F63"/>
    <mergeCell ref="A64:F64"/>
    <mergeCell ref="A65:B65"/>
    <mergeCell ref="C65:F65"/>
    <mergeCell ref="A66:B66"/>
    <mergeCell ref="C66:F66"/>
    <mergeCell ref="A67:B67"/>
    <mergeCell ref="C67:F67"/>
    <mergeCell ref="A68:B68"/>
    <mergeCell ref="C68:F68"/>
    <mergeCell ref="A69:B69"/>
    <mergeCell ref="C69:F69"/>
    <mergeCell ref="A70:B70"/>
    <mergeCell ref="C70:F70"/>
    <mergeCell ref="A71:F71"/>
    <mergeCell ref="A72:F72"/>
    <mergeCell ref="A75:K75"/>
    <mergeCell ref="A76:K76"/>
    <mergeCell ref="A77:K77"/>
    <mergeCell ref="A78:K78"/>
    <mergeCell ref="A74:M74"/>
    <mergeCell ref="J80:K80"/>
    <mergeCell ref="L80:M80"/>
    <mergeCell ref="L81:M81"/>
    <mergeCell ref="A82:E82"/>
    <mergeCell ref="G82:M82"/>
    <mergeCell ref="A80:I81"/>
    <mergeCell ref="J81:K81"/>
    <mergeCell ref="A83:E83"/>
    <mergeCell ref="G83:M83"/>
    <mergeCell ref="A84:M84"/>
    <mergeCell ref="A85:M89"/>
    <mergeCell ref="J103:K103"/>
    <mergeCell ref="L103:M103"/>
    <mergeCell ref="A90:M90"/>
    <mergeCell ref="A91:M92"/>
    <mergeCell ref="L102:M102"/>
    <mergeCell ref="A93:M93"/>
    <mergeCell ref="A94:M94"/>
    <mergeCell ref="A95:B95"/>
    <mergeCell ref="A96:M97"/>
    <mergeCell ref="A98:M98"/>
    <mergeCell ref="A99:M99"/>
    <mergeCell ref="A102:B102"/>
    <mergeCell ref="C102:E102"/>
    <mergeCell ref="F102:G102"/>
    <mergeCell ref="H102:I102"/>
    <mergeCell ref="J102:K102"/>
    <mergeCell ref="J104:K104"/>
    <mergeCell ref="L104:M104"/>
    <mergeCell ref="A103:B103"/>
    <mergeCell ref="C103:E103"/>
    <mergeCell ref="F103:G103"/>
    <mergeCell ref="A104:B104"/>
    <mergeCell ref="C104:E104"/>
    <mergeCell ref="F104:G104"/>
    <mergeCell ref="H104:I104"/>
    <mergeCell ref="H103:I103"/>
    <mergeCell ref="A105:M105"/>
    <mergeCell ref="A106:F106"/>
    <mergeCell ref="G106:M106"/>
    <mergeCell ref="A107:B107"/>
    <mergeCell ref="C107:D107"/>
    <mergeCell ref="E107:F107"/>
    <mergeCell ref="A108:B108"/>
    <mergeCell ref="C108:D108"/>
    <mergeCell ref="E108:F108"/>
    <mergeCell ref="A109:B109"/>
    <mergeCell ref="C109:D109"/>
    <mergeCell ref="E109:F109"/>
    <mergeCell ref="A110:B110"/>
    <mergeCell ref="C110:D110"/>
    <mergeCell ref="E110:F110"/>
    <mergeCell ref="A111:B111"/>
    <mergeCell ref="C111:D111"/>
    <mergeCell ref="E111:F111"/>
    <mergeCell ref="A112:B112"/>
    <mergeCell ref="C112:D112"/>
    <mergeCell ref="E112:F112"/>
    <mergeCell ref="A113:B113"/>
    <mergeCell ref="C113:D113"/>
    <mergeCell ref="E113:F113"/>
    <mergeCell ref="A114:B114"/>
    <mergeCell ref="C114:D114"/>
    <mergeCell ref="E114:F114"/>
    <mergeCell ref="A115:B115"/>
    <mergeCell ref="C115:D115"/>
    <mergeCell ref="E115:F115"/>
    <mergeCell ref="A116:B116"/>
    <mergeCell ref="C116:D116"/>
    <mergeCell ref="E116:F116"/>
    <mergeCell ref="A117:B117"/>
    <mergeCell ref="C117:D117"/>
    <mergeCell ref="E117:F117"/>
    <mergeCell ref="A118:F118"/>
    <mergeCell ref="A119:F119"/>
    <mergeCell ref="A120:F120"/>
    <mergeCell ref="A121:M121"/>
    <mergeCell ref="A122:M127"/>
    <mergeCell ref="A128:M128"/>
    <mergeCell ref="A140:I140"/>
    <mergeCell ref="K140:M140"/>
    <mergeCell ref="A141:I141"/>
    <mergeCell ref="K141:M141"/>
    <mergeCell ref="A142:J142"/>
    <mergeCell ref="K142:M142"/>
    <mergeCell ref="A144:M145"/>
    <mergeCell ref="A146:M147"/>
    <mergeCell ref="A148:K148"/>
    <mergeCell ref="L148:M148"/>
    <mergeCell ref="K150:M150"/>
    <mergeCell ref="A151:M152"/>
    <mergeCell ref="B153:M154"/>
    <mergeCell ref="B155:M156"/>
    <mergeCell ref="B150:D150"/>
    <mergeCell ref="E150:F150"/>
    <mergeCell ref="G150:H150"/>
    <mergeCell ref="I150:J150"/>
    <mergeCell ref="B157:M157"/>
    <mergeCell ref="C165:M166"/>
    <mergeCell ref="C167:M167"/>
    <mergeCell ref="B158:M158"/>
    <mergeCell ref="B159:M160"/>
    <mergeCell ref="B161:M161"/>
    <mergeCell ref="C162:M162"/>
    <mergeCell ref="A32:D32"/>
    <mergeCell ref="A184:M184"/>
    <mergeCell ref="A185:M185"/>
    <mergeCell ref="A187:M187"/>
    <mergeCell ref="B175:M175"/>
    <mergeCell ref="A177:M177"/>
    <mergeCell ref="A178:M182"/>
    <mergeCell ref="A183:M183"/>
    <mergeCell ref="C168:M168"/>
    <mergeCell ref="B169:M170"/>
    <mergeCell ref="A193:M193"/>
    <mergeCell ref="A194:M194"/>
    <mergeCell ref="A195:M195"/>
    <mergeCell ref="B33:D33"/>
    <mergeCell ref="A188:M192"/>
    <mergeCell ref="B171:M172"/>
    <mergeCell ref="B173:M174"/>
    <mergeCell ref="C163:M163"/>
    <mergeCell ref="C164:M164"/>
    <mergeCell ref="K52:M52"/>
  </mergeCells>
  <dataValidations count="8">
    <dataValidation type="list" allowBlank="1" showInputMessage="1" showErrorMessage="1" sqref="C104:E104 G11:H11">
      <formula1>$T$5:$T$92</formula1>
    </dataValidation>
    <dataValidation type="list" allowBlank="1" showInputMessage="1" showErrorMessage="1" sqref="B42">
      <formula1>$V$38:$V$49</formula1>
    </dataValidation>
    <dataValidation type="list" allowBlank="1" showInputMessage="1" showErrorMessage="1" sqref="F60">
      <formula1>$V$59:$V$62</formula1>
    </dataValidation>
    <dataValidation type="list" allowBlank="1" showInputMessage="1" showErrorMessage="1" sqref="E57 E34">
      <formula1>$S$30:$S$32</formula1>
    </dataValidation>
    <dataValidation type="list" allowBlank="1" showInputMessage="1" showErrorMessage="1" sqref="G9:H9">
      <formula1>$T$5:$T$79</formula1>
    </dataValidation>
    <dataValidation type="list" allowBlank="1" showInputMessage="1" showErrorMessage="1" sqref="B33:D33">
      <formula1>$V$30:$V$32</formula1>
    </dataValidation>
    <dataValidation type="list" allowBlank="1" showInputMessage="1" showErrorMessage="1" sqref="F59">
      <formula1>$V$53:$V$56</formula1>
    </dataValidation>
    <dataValidation type="list" allowBlank="1" showInputMessage="1" showErrorMessage="1" sqref="B49:D49">
      <formula1>$X$45:$X$62</formula1>
    </dataValidation>
  </dataValidations>
  <printOptions horizontalCentered="1"/>
  <pageMargins left="0.5" right="0.5" top="0.5" bottom="0.5" header="0.35" footer="0.35"/>
  <pageSetup horizontalDpi="600" verticalDpi="600" orientation="portrait" r:id="rId2"/>
  <headerFooter alignWithMargins="0">
    <oddHeader>&amp;L&amp;"Tahoma,Bold"&amp;11CNMP Planning Tool&amp;C&amp;"Tahoma,Bold"590 Job Sheet</oddHeader>
  </headerFooter>
  <rowBreaks count="3" manualBreakCount="3">
    <brk id="50" max="255" man="1"/>
    <brk id="100" max="255" man="1"/>
    <brk id="148" max="255" man="1"/>
  </rowBreaks>
  <legacyDrawing r:id="rId1"/>
</worksheet>
</file>

<file path=xl/worksheets/sheet8.xml><?xml version="1.0" encoding="utf-8"?>
<worksheet xmlns="http://schemas.openxmlformats.org/spreadsheetml/2006/main" xmlns:r="http://schemas.openxmlformats.org/officeDocument/2006/relationships">
  <sheetPr>
    <tabColor indexed="40"/>
  </sheetPr>
  <dimension ref="A1:Z85"/>
  <sheetViews>
    <sheetView workbookViewId="0" topLeftCell="A1">
      <selection activeCell="A8" sqref="A8:D8"/>
    </sheetView>
  </sheetViews>
  <sheetFormatPr defaultColWidth="9.140625" defaultRowHeight="12.75"/>
  <cols>
    <col min="1" max="1" width="2.7109375" style="46" customWidth="1"/>
    <col min="2" max="4" width="8.28125" style="46" customWidth="1"/>
    <col min="5" max="5" width="7.7109375" style="46" customWidth="1"/>
    <col min="6" max="6" width="7.8515625" style="46" customWidth="1"/>
    <col min="7" max="7" width="8.00390625" style="46" customWidth="1"/>
    <col min="8" max="9" width="8.140625" style="46" customWidth="1"/>
    <col min="10" max="10" width="7.8515625" style="46" customWidth="1"/>
    <col min="11" max="12" width="7.7109375" style="46" customWidth="1"/>
    <col min="13" max="18" width="9.140625" style="46" customWidth="1"/>
    <col min="19" max="27" width="0" style="46" hidden="1" customWidth="1"/>
    <col min="28" max="16384" width="9.140625" style="46" customWidth="1"/>
  </cols>
  <sheetData>
    <row r="1" ht="15" customHeight="1">
      <c r="L1" s="1010" t="s">
        <v>72</v>
      </c>
    </row>
    <row r="2" spans="1:12" ht="18" customHeight="1">
      <c r="A2" s="1540" t="s">
        <v>73</v>
      </c>
      <c r="B2" s="1540"/>
      <c r="C2" s="1540"/>
      <c r="D2" s="1540"/>
      <c r="E2" s="1540"/>
      <c r="F2" s="1540"/>
      <c r="G2" s="1540"/>
      <c r="H2" s="1540"/>
      <c r="I2" s="1540"/>
      <c r="J2" s="1540"/>
      <c r="K2" s="1540"/>
      <c r="L2" s="1540"/>
    </row>
    <row r="3" spans="1:12" ht="17.25" customHeight="1">
      <c r="A3" s="1541" t="s">
        <v>564</v>
      </c>
      <c r="B3" s="1542"/>
      <c r="C3" s="1549">
        <f>IF('590 JS'!B6="","",'590 JS'!B6)</f>
      </c>
      <c r="D3" s="1550"/>
      <c r="E3" s="1550"/>
      <c r="F3" s="1551"/>
      <c r="G3" s="1552"/>
      <c r="H3" s="824"/>
      <c r="I3" s="823" t="s">
        <v>565</v>
      </c>
      <c r="J3" s="1543">
        <f ca="1">TODAY()</f>
        <v>39106</v>
      </c>
      <c r="K3" s="1544"/>
      <c r="L3" s="1545"/>
    </row>
    <row r="4" spans="1:26" ht="13.5" customHeight="1">
      <c r="A4" s="1498" t="s">
        <v>566</v>
      </c>
      <c r="B4" s="1512"/>
      <c r="C4" s="1512"/>
      <c r="D4" s="1512"/>
      <c r="E4" s="1512"/>
      <c r="F4" s="1512"/>
      <c r="G4" s="1512"/>
      <c r="H4" s="1512"/>
      <c r="I4" s="1512"/>
      <c r="J4" s="1512"/>
      <c r="K4" s="1512"/>
      <c r="L4" s="1513"/>
      <c r="T4" s="825" t="s">
        <v>567</v>
      </c>
      <c r="U4" s="69"/>
      <c r="V4" s="46" t="s">
        <v>30</v>
      </c>
      <c r="X4" s="826" t="s">
        <v>1152</v>
      </c>
      <c r="Y4" s="827"/>
      <c r="Z4" s="828"/>
    </row>
    <row r="5" spans="1:26" ht="13.5" customHeight="1">
      <c r="A5" s="1546"/>
      <c r="B5" s="1547"/>
      <c r="C5" s="1547"/>
      <c r="D5" s="1547"/>
      <c r="E5" s="1547"/>
      <c r="F5" s="1547"/>
      <c r="G5" s="1547"/>
      <c r="H5" s="1547"/>
      <c r="I5" s="1547"/>
      <c r="J5" s="1547"/>
      <c r="K5" s="1547"/>
      <c r="L5" s="1548"/>
      <c r="T5" s="825"/>
      <c r="U5" s="69"/>
      <c r="X5" s="829"/>
      <c r="Y5" s="830"/>
      <c r="Z5" s="70"/>
    </row>
    <row r="6" spans="1:26" ht="12.75" customHeight="1">
      <c r="A6" s="1498" t="s">
        <v>567</v>
      </c>
      <c r="B6" s="1512"/>
      <c r="C6" s="1512"/>
      <c r="D6" s="1513"/>
      <c r="E6" s="1517" t="s">
        <v>568</v>
      </c>
      <c r="F6" s="1517" t="s">
        <v>569</v>
      </c>
      <c r="G6" s="1517" t="s">
        <v>570</v>
      </c>
      <c r="H6" s="1535" t="s">
        <v>571</v>
      </c>
      <c r="I6" s="1537" t="s">
        <v>572</v>
      </c>
      <c r="J6" s="1538"/>
      <c r="K6" s="1538"/>
      <c r="L6" s="1539"/>
      <c r="T6" s="831" t="s">
        <v>1060</v>
      </c>
      <c r="U6" s="70"/>
      <c r="X6" s="831" t="s">
        <v>1162</v>
      </c>
      <c r="Y6" s="830"/>
      <c r="Z6" s="70"/>
    </row>
    <row r="7" spans="1:26" ht="11.25" customHeight="1">
      <c r="A7" s="1514"/>
      <c r="B7" s="1515"/>
      <c r="C7" s="1515"/>
      <c r="D7" s="1516"/>
      <c r="E7" s="1518"/>
      <c r="F7" s="1518"/>
      <c r="G7" s="1518"/>
      <c r="H7" s="1536"/>
      <c r="I7" s="1537" t="s">
        <v>573</v>
      </c>
      <c r="J7" s="1539"/>
      <c r="K7" s="1537" t="s">
        <v>428</v>
      </c>
      <c r="L7" s="1539"/>
      <c r="T7" s="831" t="s">
        <v>1062</v>
      </c>
      <c r="U7" s="70"/>
      <c r="X7" s="831" t="s">
        <v>1164</v>
      </c>
      <c r="Y7" s="830"/>
      <c r="Z7" s="70"/>
    </row>
    <row r="8" spans="1:26" ht="15" customHeight="1">
      <c r="A8" s="1529"/>
      <c r="B8" s="1530"/>
      <c r="C8" s="1530"/>
      <c r="D8" s="1531"/>
      <c r="E8" s="819"/>
      <c r="F8" s="832">
        <f>IF(ISTEXT(A8),VLOOKUP(A8,'[1]Tables'!A5:H84,3),"")</f>
      </c>
      <c r="G8" s="833">
        <f>IF(ISTEXT(A8),VLOOKUP(A8,'[1]Tables'!A5:H84,4),"")</f>
      </c>
      <c r="H8" s="832">
        <f>IF(ISTEXT(A8),VLOOKUP(A8,'[1]Tables'!A5:H84,5),"")</f>
      </c>
      <c r="I8" s="1532">
        <f>IF(AND(ISNUMBER(E8),ISTEXT(A8)),VLOOKUP(A8,Tables2!A5:H84,6)*(E8*G8)*(H8/100)/100,"")</f>
      </c>
      <c r="J8" s="1533"/>
      <c r="K8" s="1532">
        <f>IF(AND(ISNUMBER(E8),ISTEXT(A8)),VLOOKUP(A8,Tables2!A5:H84,7)*(E8*G8)*(H8/100)/100,"")</f>
      </c>
      <c r="L8" s="1533"/>
      <c r="T8" s="831" t="s">
        <v>1063</v>
      </c>
      <c r="U8" s="70"/>
      <c r="X8" s="831" t="s">
        <v>1166</v>
      </c>
      <c r="Y8" s="830"/>
      <c r="Z8" s="70"/>
    </row>
    <row r="9" spans="1:26" ht="15" customHeight="1">
      <c r="A9" s="1529"/>
      <c r="B9" s="1530"/>
      <c r="C9" s="1530"/>
      <c r="D9" s="1531"/>
      <c r="E9" s="820"/>
      <c r="F9" s="832">
        <f>IF(ISTEXT(A9),VLOOKUP(A9,'[1]Tables'!A5:H84,3),"")</f>
      </c>
      <c r="G9" s="833">
        <f>IF(ISTEXT(A9),VLOOKUP(A9,'[1]Tables'!A5:H84,4),"")</f>
      </c>
      <c r="H9" s="832">
        <f>IF(ISTEXT(A9),VLOOKUP(A9,'[1]Tables'!A5:H84,5),"")</f>
      </c>
      <c r="I9" s="1532">
        <f>IF(AND(ISNUMBER(E9),ISTEXT(A9)),VLOOKUP(A9,Tables2!A5:H84,6)*(E9*G9)*(H9/100)/100,"")</f>
      </c>
      <c r="J9" s="1533"/>
      <c r="K9" s="1532">
        <f>IF(AND(ISNUMBER(E9),ISTEXT(A9)),VLOOKUP(A9,Tables2!A5:H84,7)*(E9*G9)*(H9/100)/100,"")</f>
      </c>
      <c r="L9" s="1533"/>
      <c r="T9" s="831" t="s">
        <v>1064</v>
      </c>
      <c r="U9" s="70"/>
      <c r="X9" s="831" t="s">
        <v>1167</v>
      </c>
      <c r="Y9" s="830"/>
      <c r="Z9" s="70"/>
    </row>
    <row r="10" spans="1:26" ht="15" customHeight="1">
      <c r="A10" s="1529"/>
      <c r="B10" s="1530"/>
      <c r="C10" s="1530"/>
      <c r="D10" s="1531"/>
      <c r="E10" s="820"/>
      <c r="F10" s="832">
        <f>IF(ISTEXT(A10),VLOOKUP(A10,'[1]Tables'!A5:H84,3),"")</f>
      </c>
      <c r="G10" s="833">
        <f>IF(ISTEXT(A10),VLOOKUP(A10,'[1]Tables'!A5:H84,4),"")</f>
      </c>
      <c r="H10" s="832">
        <f>IF(ISTEXT(A10),VLOOKUP(A10,'[1]Tables'!A5:H84,5),"")</f>
      </c>
      <c r="I10" s="1532">
        <f>IF(AND(ISNUMBER(E10),ISTEXT(A10)),VLOOKUP(A10,Tables2!A5:H84,6)*(E10*G10)*(H10/100)/100,"")</f>
      </c>
      <c r="J10" s="1533"/>
      <c r="K10" s="1532">
        <f>IF(AND(ISNUMBER(E10),ISTEXT(A10)),VLOOKUP(A10,Tables2!A5:H84,7)*(E10*G10)*(H10/100)/100,"")</f>
      </c>
      <c r="L10" s="1533"/>
      <c r="T10" s="831" t="s">
        <v>1065</v>
      </c>
      <c r="U10" s="70"/>
      <c r="X10" s="831" t="s">
        <v>1168</v>
      </c>
      <c r="Y10" s="830"/>
      <c r="Z10" s="70"/>
    </row>
    <row r="11" spans="1:26" ht="11.25" customHeight="1">
      <c r="A11" s="1534"/>
      <c r="B11" s="1534"/>
      <c r="C11" s="1534"/>
      <c r="D11" s="1534"/>
      <c r="E11" s="1534"/>
      <c r="F11" s="1534"/>
      <c r="G11" s="1534"/>
      <c r="H11" s="1534"/>
      <c r="I11" s="1534"/>
      <c r="J11" s="1534"/>
      <c r="K11" s="1534"/>
      <c r="L11" s="1534"/>
      <c r="M11" s="834"/>
      <c r="T11" s="831" t="s">
        <v>1066</v>
      </c>
      <c r="U11" s="70"/>
      <c r="X11" s="831" t="s">
        <v>1169</v>
      </c>
      <c r="Y11" s="830"/>
      <c r="Z11" s="70"/>
    </row>
    <row r="12" spans="1:26" ht="13.5" customHeight="1">
      <c r="A12" s="1498" t="s">
        <v>574</v>
      </c>
      <c r="B12" s="1512"/>
      <c r="C12" s="1512"/>
      <c r="D12" s="1512"/>
      <c r="E12" s="1512"/>
      <c r="F12" s="1512"/>
      <c r="G12" s="1512"/>
      <c r="H12" s="1512"/>
      <c r="I12" s="1512"/>
      <c r="J12" s="1512"/>
      <c r="K12" s="1512"/>
      <c r="L12" s="1513"/>
      <c r="T12" s="831" t="s">
        <v>1068</v>
      </c>
      <c r="U12" s="70"/>
      <c r="X12" s="831" t="s">
        <v>1170</v>
      </c>
      <c r="Y12" s="830"/>
      <c r="Z12" s="70"/>
    </row>
    <row r="13" spans="1:26" ht="13.5" customHeight="1">
      <c r="A13" s="1514"/>
      <c r="B13" s="1515"/>
      <c r="C13" s="1515"/>
      <c r="D13" s="1515"/>
      <c r="E13" s="1515"/>
      <c r="F13" s="1515"/>
      <c r="G13" s="1515"/>
      <c r="H13" s="1515"/>
      <c r="I13" s="1515"/>
      <c r="J13" s="1515"/>
      <c r="K13" s="1515"/>
      <c r="L13" s="1516"/>
      <c r="M13" s="834"/>
      <c r="T13" s="831" t="s">
        <v>1069</v>
      </c>
      <c r="U13" s="70"/>
      <c r="X13" s="831" t="s">
        <v>1171</v>
      </c>
      <c r="Y13" s="830"/>
      <c r="Z13" s="70"/>
    </row>
    <row r="14" spans="1:26" ht="12.75" customHeight="1">
      <c r="A14" s="1471" t="s">
        <v>613</v>
      </c>
      <c r="B14" s="1522"/>
      <c r="C14" s="1522"/>
      <c r="D14" s="1525">
        <f>IF('Solid Manure Inv'!A10="","",'Solid Manure Inv'!A10)</f>
      </c>
      <c r="E14" s="1526"/>
      <c r="F14" s="1517" t="s">
        <v>575</v>
      </c>
      <c r="G14" s="1517" t="s">
        <v>612</v>
      </c>
      <c r="H14" s="1517" t="s">
        <v>577</v>
      </c>
      <c r="I14" s="1517" t="s">
        <v>578</v>
      </c>
      <c r="J14" s="1517" t="s">
        <v>579</v>
      </c>
      <c r="K14" s="1490" t="s">
        <v>580</v>
      </c>
      <c r="L14" s="1519"/>
      <c r="M14" s="835"/>
      <c r="T14" s="831" t="s">
        <v>1070</v>
      </c>
      <c r="U14" s="70"/>
      <c r="X14" s="831" t="s">
        <v>1172</v>
      </c>
      <c r="Y14" s="830"/>
      <c r="Z14" s="70"/>
    </row>
    <row r="15" spans="1:26" ht="11.25" customHeight="1">
      <c r="A15" s="1523"/>
      <c r="B15" s="1524"/>
      <c r="C15" s="1524"/>
      <c r="D15" s="1527"/>
      <c r="E15" s="1528"/>
      <c r="F15" s="1518"/>
      <c r="G15" s="1518"/>
      <c r="H15" s="1518"/>
      <c r="I15" s="1518"/>
      <c r="J15" s="1518"/>
      <c r="K15" s="1520"/>
      <c r="L15" s="1521"/>
      <c r="M15" s="835"/>
      <c r="T15" s="831" t="s">
        <v>1071</v>
      </c>
      <c r="U15" s="70"/>
      <c r="X15" s="831" t="s">
        <v>1173</v>
      </c>
      <c r="Y15" s="830"/>
      <c r="Z15" s="70"/>
    </row>
    <row r="16" spans="1:26" ht="15" customHeight="1">
      <c r="A16" s="836">
        <v>1</v>
      </c>
      <c r="B16" s="1505">
        <f>IF('Solid Manure Inv'!A11="","",'Solid Manure Inv'!A11)</f>
      </c>
      <c r="C16" s="1506"/>
      <c r="D16" s="1506"/>
      <c r="E16" s="1507"/>
      <c r="F16" s="837">
        <f>IF('Solid Manure Inv'!B11="","",'Solid Manure Inv'!B11)</f>
      </c>
      <c r="G16" s="838">
        <f>IF('Solid Manure Inv'!E11="","",'Solid Manure Inv'!E11)</f>
      </c>
      <c r="H16" s="821"/>
      <c r="I16" s="821"/>
      <c r="J16" s="839">
        <f>IF('Solid Manure Inv'!C11="","",'Solid Manure Inv'!C11)</f>
      </c>
      <c r="K16" s="1504">
        <f>IF('Solid Manure Inv'!H11="","",'Solid Manure Inv'!H11)</f>
      </c>
      <c r="L16" s="1511"/>
      <c r="M16" s="834"/>
      <c r="T16" s="831" t="s">
        <v>1072</v>
      </c>
      <c r="U16" s="70"/>
      <c r="X16" s="831" t="s">
        <v>1174</v>
      </c>
      <c r="Y16" s="830"/>
      <c r="Z16" s="70"/>
    </row>
    <row r="17" spans="1:26" ht="15" customHeight="1">
      <c r="A17" s="836">
        <v>2</v>
      </c>
      <c r="B17" s="1505">
        <f>IF('Solid Manure Inv'!A12="","",'Solid Manure Inv'!A12)</f>
      </c>
      <c r="C17" s="1506"/>
      <c r="D17" s="1506"/>
      <c r="E17" s="1507"/>
      <c r="F17" s="837">
        <f>IF('Solid Manure Inv'!B12="","",'Solid Manure Inv'!B12)</f>
      </c>
      <c r="G17" s="838">
        <f>IF('Solid Manure Inv'!E12="","",'Solid Manure Inv'!E12)</f>
      </c>
      <c r="H17" s="821"/>
      <c r="I17" s="821"/>
      <c r="J17" s="839">
        <f>IF('Solid Manure Inv'!C12="","",'Solid Manure Inv'!C12)</f>
      </c>
      <c r="K17" s="1504">
        <f>IF('Solid Manure Inv'!H12="","",'Solid Manure Inv'!H12)</f>
      </c>
      <c r="L17" s="1511"/>
      <c r="M17" s="834"/>
      <c r="T17" s="831" t="s">
        <v>1073</v>
      </c>
      <c r="U17" s="70"/>
      <c r="X17" s="831" t="s">
        <v>1175</v>
      </c>
      <c r="Y17" s="830"/>
      <c r="Z17" s="70"/>
    </row>
    <row r="18" spans="1:26" ht="15" customHeight="1">
      <c r="A18" s="836">
        <v>3</v>
      </c>
      <c r="B18" s="1505">
        <f>IF('Solid Manure Inv'!A13="","",'Solid Manure Inv'!A13)</f>
      </c>
      <c r="C18" s="1506"/>
      <c r="D18" s="1506"/>
      <c r="E18" s="1507"/>
      <c r="F18" s="837">
        <f>IF('Solid Manure Inv'!B13="","",'Solid Manure Inv'!B13)</f>
      </c>
      <c r="G18" s="838">
        <f>IF('Solid Manure Inv'!E13="","",'Solid Manure Inv'!E13)</f>
      </c>
      <c r="H18" s="821"/>
      <c r="I18" s="821"/>
      <c r="J18" s="839">
        <f>IF('Solid Manure Inv'!C13="","",'Solid Manure Inv'!C13)</f>
      </c>
      <c r="K18" s="1504">
        <f>IF('Solid Manure Inv'!H13="","",'Solid Manure Inv'!H13)</f>
      </c>
      <c r="L18" s="1511"/>
      <c r="M18" s="834"/>
      <c r="T18" s="831" t="s">
        <v>1074</v>
      </c>
      <c r="U18" s="70"/>
      <c r="X18" s="831" t="s">
        <v>1176</v>
      </c>
      <c r="Y18" s="830"/>
      <c r="Z18" s="70"/>
    </row>
    <row r="19" spans="1:26" ht="15" customHeight="1">
      <c r="A19" s="836">
        <v>4</v>
      </c>
      <c r="B19" s="1505">
        <f>IF('Solid Manure Inv'!A14="","",'Solid Manure Inv'!A14)</f>
      </c>
      <c r="C19" s="1506"/>
      <c r="D19" s="1506"/>
      <c r="E19" s="1507"/>
      <c r="F19" s="837">
        <f>IF('Solid Manure Inv'!B14="","",'Solid Manure Inv'!B14)</f>
      </c>
      <c r="G19" s="838">
        <f>IF('Solid Manure Inv'!E14="","",'Solid Manure Inv'!E14)</f>
      </c>
      <c r="H19" s="821"/>
      <c r="I19" s="821"/>
      <c r="J19" s="839">
        <f>IF('Solid Manure Inv'!C14="","",'Solid Manure Inv'!C14)</f>
      </c>
      <c r="K19" s="1504">
        <f>IF('Solid Manure Inv'!H14="","",'Solid Manure Inv'!H14)</f>
      </c>
      <c r="L19" s="1511"/>
      <c r="T19" s="831" t="s">
        <v>1075</v>
      </c>
      <c r="U19" s="70"/>
      <c r="X19" s="831" t="s">
        <v>1177</v>
      </c>
      <c r="Y19" s="830"/>
      <c r="Z19" s="70"/>
    </row>
    <row r="20" spans="1:26" ht="15" customHeight="1">
      <c r="A20" s="836">
        <v>5</v>
      </c>
      <c r="B20" s="1505">
        <f>IF('Solid Manure Inv'!A15="","",'Solid Manure Inv'!A15)</f>
      </c>
      <c r="C20" s="1506"/>
      <c r="D20" s="1506"/>
      <c r="E20" s="1507"/>
      <c r="F20" s="837">
        <f>IF('Solid Manure Inv'!B15="","",'Solid Manure Inv'!B15)</f>
      </c>
      <c r="G20" s="838">
        <f>IF('Solid Manure Inv'!E15="","",'Solid Manure Inv'!E15)</f>
      </c>
      <c r="H20" s="821"/>
      <c r="I20" s="821"/>
      <c r="J20" s="839">
        <f>IF('Solid Manure Inv'!C15="","",'Solid Manure Inv'!C15)</f>
      </c>
      <c r="K20" s="1504">
        <f>IF('Solid Manure Inv'!H15="","",'Solid Manure Inv'!H15)</f>
      </c>
      <c r="L20" s="1511"/>
      <c r="T20" s="831" t="s">
        <v>1076</v>
      </c>
      <c r="U20" s="70"/>
      <c r="X20" s="831" t="s">
        <v>1178</v>
      </c>
      <c r="Y20" s="830"/>
      <c r="Z20" s="70"/>
    </row>
    <row r="21" spans="1:26" ht="19.5" customHeight="1">
      <c r="A21" s="1508" t="s">
        <v>620</v>
      </c>
      <c r="B21" s="1509"/>
      <c r="C21" s="1509"/>
      <c r="D21" s="1510"/>
      <c r="E21" s="840" t="s">
        <v>174</v>
      </c>
      <c r="F21" s="852">
        <f>IF('Solid Manure Inv'!L23="","",'Solid Manure Inv'!L23)</f>
        <v>0</v>
      </c>
      <c r="G21" s="842" t="s">
        <v>614</v>
      </c>
      <c r="H21" s="852">
        <f>IF('Solid Manure Inv'!M23="","",'Solid Manure Inv'!M23)</f>
        <v>0</v>
      </c>
      <c r="I21" s="842" t="s">
        <v>615</v>
      </c>
      <c r="J21" s="853">
        <f>IF('Solid Manure Inv'!N23="","",'Solid Manure Inv'!N23)</f>
        <v>0</v>
      </c>
      <c r="K21" s="843"/>
      <c r="L21" s="844"/>
      <c r="T21" s="831" t="s">
        <v>1077</v>
      </c>
      <c r="U21" s="70"/>
      <c r="X21" s="831" t="s">
        <v>1179</v>
      </c>
      <c r="Y21" s="830"/>
      <c r="Z21" s="70"/>
    </row>
    <row r="22" spans="1:26" ht="11.25" customHeight="1">
      <c r="A22" s="845"/>
      <c r="B22" s="845"/>
      <c r="C22" s="845"/>
      <c r="D22" s="845"/>
      <c r="E22" s="845"/>
      <c r="F22" s="845"/>
      <c r="G22" s="845"/>
      <c r="H22" s="845"/>
      <c r="I22" s="845"/>
      <c r="J22" s="845"/>
      <c r="K22" s="845"/>
      <c r="L22" s="845"/>
      <c r="T22" s="831"/>
      <c r="U22" s="70"/>
      <c r="X22" s="831"/>
      <c r="Y22" s="830"/>
      <c r="Z22" s="70"/>
    </row>
    <row r="23" spans="1:26" ht="13.5" customHeight="1">
      <c r="A23" s="1498" t="s">
        <v>581</v>
      </c>
      <c r="B23" s="1499"/>
      <c r="C23" s="1499"/>
      <c r="D23" s="1499"/>
      <c r="E23" s="1499"/>
      <c r="F23" s="1499"/>
      <c r="G23" s="1499"/>
      <c r="H23" s="1499"/>
      <c r="I23" s="1499"/>
      <c r="J23" s="1499"/>
      <c r="K23" s="1499"/>
      <c r="L23" s="1500"/>
      <c r="T23" s="831" t="s">
        <v>1078</v>
      </c>
      <c r="U23" s="70"/>
      <c r="X23" s="846"/>
      <c r="Y23" s="847"/>
      <c r="Z23" s="73"/>
    </row>
    <row r="24" spans="1:21" ht="15.75" customHeight="1">
      <c r="A24" s="1501"/>
      <c r="B24" s="1502"/>
      <c r="C24" s="1502"/>
      <c r="D24" s="1502"/>
      <c r="E24" s="1502"/>
      <c r="F24" s="1502"/>
      <c r="G24" s="1502"/>
      <c r="H24" s="1502"/>
      <c r="I24" s="1502"/>
      <c r="J24" s="1502"/>
      <c r="K24" s="1502"/>
      <c r="L24" s="1503"/>
      <c r="T24" s="831" t="s">
        <v>1079</v>
      </c>
      <c r="U24" s="70"/>
    </row>
    <row r="25" spans="1:21" ht="12.75" customHeight="1">
      <c r="A25" s="1490" t="s">
        <v>613</v>
      </c>
      <c r="B25" s="1554"/>
      <c r="C25" s="1554"/>
      <c r="D25" s="1525">
        <f>IF('Liquid Waste'!A12="","",'Liquid Waste'!A12)</f>
      </c>
      <c r="E25" s="1526"/>
      <c r="F25" s="1517" t="s">
        <v>575</v>
      </c>
      <c r="G25" s="1517" t="s">
        <v>576</v>
      </c>
      <c r="H25" s="1517" t="s">
        <v>577</v>
      </c>
      <c r="I25" s="1517" t="s">
        <v>578</v>
      </c>
      <c r="J25" s="1517" t="s">
        <v>579</v>
      </c>
      <c r="K25" s="1490" t="s">
        <v>582</v>
      </c>
      <c r="L25" s="1491"/>
      <c r="T25" s="831" t="s">
        <v>1080</v>
      </c>
      <c r="U25" s="70"/>
    </row>
    <row r="26" spans="1:21" ht="11.25" customHeight="1">
      <c r="A26" s="1492"/>
      <c r="B26" s="1555"/>
      <c r="C26" s="1555"/>
      <c r="D26" s="1527"/>
      <c r="E26" s="1528"/>
      <c r="F26" s="1553"/>
      <c r="G26" s="1553"/>
      <c r="H26" s="1553"/>
      <c r="I26" s="1553"/>
      <c r="J26" s="1553"/>
      <c r="K26" s="1492"/>
      <c r="L26" s="1493"/>
      <c r="T26" s="831" t="s">
        <v>1082</v>
      </c>
      <c r="U26" s="70"/>
    </row>
    <row r="27" spans="1:21" ht="15" customHeight="1">
      <c r="A27" s="836">
        <v>1</v>
      </c>
      <c r="B27" s="1505">
        <f>IF('Liquid Waste'!A13="","",'Liquid Waste'!A13)</f>
      </c>
      <c r="C27" s="1506"/>
      <c r="D27" s="1506"/>
      <c r="E27" s="1507"/>
      <c r="F27" s="837">
        <f>IF('Liquid Waste'!B13="","",'Liquid Waste'!B13)</f>
      </c>
      <c r="G27" s="848">
        <f>IF('Liquid Waste'!E13="","",'Liquid Waste'!E13)</f>
      </c>
      <c r="H27" s="822"/>
      <c r="I27" s="822"/>
      <c r="J27" s="839">
        <f>IF('Liquid Waste'!C13="","",'Liquid Waste'!C13)</f>
      </c>
      <c r="K27" s="1504">
        <f>IF('Liquid Waste'!H13="","",'Liquid Waste'!H13)</f>
      </c>
      <c r="L27" s="1477"/>
      <c r="T27" s="831" t="s">
        <v>1083</v>
      </c>
      <c r="U27" s="70"/>
    </row>
    <row r="28" spans="1:21" ht="15" customHeight="1">
      <c r="A28" s="836">
        <v>2</v>
      </c>
      <c r="B28" s="1505">
        <f>IF('Liquid Waste'!A14="","",'Liquid Waste'!A14)</f>
      </c>
      <c r="C28" s="1506"/>
      <c r="D28" s="1506"/>
      <c r="E28" s="1507"/>
      <c r="F28" s="837">
        <f>IF('Liquid Waste'!B14="","",'Liquid Waste'!B14)</f>
      </c>
      <c r="G28" s="848">
        <f>IF('Liquid Waste'!E14="","",'Liquid Waste'!E14)</f>
      </c>
      <c r="H28" s="822"/>
      <c r="I28" s="822"/>
      <c r="J28" s="839">
        <f>IF('Liquid Waste'!C14="","",'Liquid Waste'!C14)</f>
      </c>
      <c r="K28" s="1504">
        <f>IF('Liquid Waste'!H14="","",'Liquid Waste'!H14)</f>
      </c>
      <c r="L28" s="1477"/>
      <c r="T28" s="831" t="s">
        <v>1084</v>
      </c>
      <c r="U28" s="70"/>
    </row>
    <row r="29" spans="1:21" ht="15" customHeight="1">
      <c r="A29" s="836">
        <v>3</v>
      </c>
      <c r="B29" s="1505">
        <f>IF('Liquid Waste'!A15="","",'Liquid Waste'!A15)</f>
      </c>
      <c r="C29" s="1506"/>
      <c r="D29" s="1506"/>
      <c r="E29" s="1507"/>
      <c r="F29" s="837">
        <f>IF('Liquid Waste'!B15="","",'Liquid Waste'!B15)</f>
      </c>
      <c r="G29" s="848">
        <f>IF('Liquid Waste'!E15="","",'Liquid Waste'!E15)</f>
      </c>
      <c r="H29" s="822"/>
      <c r="I29" s="822"/>
      <c r="J29" s="839">
        <f>IF('Liquid Waste'!C15="","",'Liquid Waste'!C15)</f>
      </c>
      <c r="K29" s="1504">
        <f>IF('Liquid Waste'!H15="","",'Liquid Waste'!H15)</f>
      </c>
      <c r="L29" s="1477"/>
      <c r="T29" s="831" t="s">
        <v>1085</v>
      </c>
      <c r="U29" s="70"/>
    </row>
    <row r="30" spans="1:21" ht="15" customHeight="1">
      <c r="A30" s="836">
        <v>4</v>
      </c>
      <c r="B30" s="1505">
        <f>IF('Liquid Waste'!A16="","",'Liquid Waste'!A16)</f>
      </c>
      <c r="C30" s="1506"/>
      <c r="D30" s="1506"/>
      <c r="E30" s="1507"/>
      <c r="F30" s="837">
        <f>IF('Liquid Waste'!B16="","",'Liquid Waste'!B16)</f>
      </c>
      <c r="G30" s="848">
        <f>IF('Liquid Waste'!E16="","",'Liquid Waste'!E16)</f>
      </c>
      <c r="H30" s="822"/>
      <c r="I30" s="822"/>
      <c r="J30" s="839">
        <f>IF('Liquid Waste'!C16="","",'Liquid Waste'!C16)</f>
      </c>
      <c r="K30" s="1504">
        <f>IF('Liquid Waste'!H16="","",'Liquid Waste'!H16)</f>
      </c>
      <c r="L30" s="1477"/>
      <c r="T30" s="831" t="s">
        <v>1086</v>
      </c>
      <c r="U30" s="70"/>
    </row>
    <row r="31" spans="1:21" ht="15.75" customHeight="1">
      <c r="A31" s="836">
        <v>5</v>
      </c>
      <c r="B31" s="1505">
        <f>IF('Liquid Waste'!A17="","",'Liquid Waste'!A17)</f>
      </c>
      <c r="C31" s="1506"/>
      <c r="D31" s="1506"/>
      <c r="E31" s="1507"/>
      <c r="F31" s="837">
        <f>IF('Liquid Waste'!B17="","",'Liquid Waste'!B17)</f>
      </c>
      <c r="G31" s="848">
        <f>IF('Liquid Waste'!E17="","",'Liquid Waste'!E17)</f>
      </c>
      <c r="H31" s="822"/>
      <c r="I31" s="822"/>
      <c r="J31" s="839">
        <f>IF('Liquid Waste'!C17="","",'Liquid Waste'!C17)</f>
      </c>
      <c r="K31" s="1504">
        <f>IF('Liquid Waste'!H17="","",'Liquid Waste'!H17)</f>
      </c>
      <c r="L31" s="1477"/>
      <c r="T31" s="831" t="s">
        <v>1087</v>
      </c>
      <c r="U31" s="70"/>
    </row>
    <row r="32" spans="1:21" ht="15.75" customHeight="1">
      <c r="A32" s="836">
        <v>6</v>
      </c>
      <c r="B32" s="1505">
        <f>IF('Liquid Waste'!A18="","",'Liquid Waste'!A18)</f>
      </c>
      <c r="C32" s="1506"/>
      <c r="D32" s="1506"/>
      <c r="E32" s="1507"/>
      <c r="F32" s="837">
        <f>IF('Liquid Waste'!B18="","",'Liquid Waste'!B18)</f>
      </c>
      <c r="G32" s="848">
        <f>IF('Liquid Waste'!E18="","",'Liquid Waste'!E18)</f>
      </c>
      <c r="H32" s="822"/>
      <c r="I32" s="822"/>
      <c r="J32" s="839">
        <f>IF('Liquid Waste'!C18="","",'Liquid Waste'!C18)</f>
      </c>
      <c r="K32" s="1504">
        <f>IF('Liquid Waste'!H18="","",'Liquid Waste'!H18)</f>
      </c>
      <c r="L32" s="1477"/>
      <c r="T32" s="831" t="s">
        <v>1088</v>
      </c>
      <c r="U32" s="70"/>
    </row>
    <row r="33" spans="1:21" ht="19.5" customHeight="1">
      <c r="A33" s="1508" t="s">
        <v>620</v>
      </c>
      <c r="B33" s="1509"/>
      <c r="C33" s="1509"/>
      <c r="D33" s="1510"/>
      <c r="E33" s="840" t="s">
        <v>174</v>
      </c>
      <c r="F33" s="841">
        <f>IF('Liquid Waste'!L26="","",'Liquid Waste'!L26)</f>
        <v>0</v>
      </c>
      <c r="G33" s="842" t="s">
        <v>614</v>
      </c>
      <c r="H33" s="841">
        <f>IF('Liquid Waste'!M26="","",'Liquid Waste'!M26)</f>
        <v>0</v>
      </c>
      <c r="I33" s="842" t="s">
        <v>615</v>
      </c>
      <c r="J33" s="849">
        <f>IF('Liquid Waste'!N26="","",'Liquid Waste'!N26)</f>
        <v>0</v>
      </c>
      <c r="T33" s="831" t="s">
        <v>1089</v>
      </c>
      <c r="U33" s="70"/>
    </row>
    <row r="34" spans="20:21" ht="11.25" customHeight="1">
      <c r="T34" s="831"/>
      <c r="U34" s="70"/>
    </row>
    <row r="35" spans="1:21" ht="15.75" customHeight="1">
      <c r="A35" s="1498" t="s">
        <v>616</v>
      </c>
      <c r="B35" s="1499"/>
      <c r="C35" s="1499"/>
      <c r="D35" s="1499"/>
      <c r="E35" s="1499"/>
      <c r="F35" s="1499"/>
      <c r="G35" s="1499"/>
      <c r="H35" s="1499"/>
      <c r="I35" s="1499"/>
      <c r="J35" s="1499"/>
      <c r="K35" s="1499"/>
      <c r="L35" s="1500"/>
      <c r="T35" s="831" t="s">
        <v>1090</v>
      </c>
      <c r="U35" s="70"/>
    </row>
    <row r="36" spans="1:21" ht="13.5" customHeight="1">
      <c r="A36" s="1501"/>
      <c r="B36" s="1502"/>
      <c r="C36" s="1502"/>
      <c r="D36" s="1502"/>
      <c r="E36" s="1502"/>
      <c r="F36" s="1502"/>
      <c r="G36" s="1502"/>
      <c r="H36" s="1502"/>
      <c r="I36" s="1502"/>
      <c r="J36" s="1502"/>
      <c r="K36" s="1502"/>
      <c r="L36" s="1503"/>
      <c r="T36" s="831" t="s">
        <v>1091</v>
      </c>
      <c r="U36" s="70"/>
    </row>
    <row r="37" spans="1:21" ht="15.75" customHeight="1">
      <c r="A37" s="1471" t="s">
        <v>583</v>
      </c>
      <c r="B37" s="1472"/>
      <c r="C37" s="1472"/>
      <c r="D37" s="1472"/>
      <c r="E37" s="1472"/>
      <c r="F37" s="1472"/>
      <c r="G37" s="1475" t="s">
        <v>585</v>
      </c>
      <c r="H37" s="1476"/>
      <c r="I37" s="1476"/>
      <c r="J37" s="1476"/>
      <c r="K37" s="1476"/>
      <c r="L37" s="1477"/>
      <c r="T37" s="831" t="s">
        <v>1092</v>
      </c>
      <c r="U37" s="70"/>
    </row>
    <row r="38" spans="1:21" ht="12" customHeight="1">
      <c r="A38" s="1473"/>
      <c r="B38" s="1474"/>
      <c r="C38" s="1474"/>
      <c r="D38" s="1474"/>
      <c r="E38" s="1474"/>
      <c r="F38" s="1474"/>
      <c r="G38" s="1478" t="s">
        <v>54</v>
      </c>
      <c r="H38" s="1477"/>
      <c r="I38" s="1478" t="s">
        <v>428</v>
      </c>
      <c r="J38" s="1477"/>
      <c r="K38" s="1478" t="s">
        <v>900</v>
      </c>
      <c r="L38" s="1477"/>
      <c r="T38" s="831" t="s">
        <v>1093</v>
      </c>
      <c r="U38" s="70"/>
    </row>
    <row r="39" spans="1:21" ht="15.75" customHeight="1">
      <c r="A39" s="503">
        <v>1</v>
      </c>
      <c r="B39" s="1494" t="s">
        <v>618</v>
      </c>
      <c r="C39" s="1495"/>
      <c r="D39" s="1495"/>
      <c r="E39" s="1496"/>
      <c r="F39" s="1497"/>
      <c r="G39" s="1468">
        <f>F21</f>
        <v>0</v>
      </c>
      <c r="H39" s="1469"/>
      <c r="I39" s="1468">
        <f>H21*0.437</f>
        <v>0</v>
      </c>
      <c r="J39" s="1470"/>
      <c r="K39" s="1468">
        <f>J21*0.83</f>
        <v>0</v>
      </c>
      <c r="L39" s="1470"/>
      <c r="T39" s="831" t="s">
        <v>1094</v>
      </c>
      <c r="U39" s="70"/>
    </row>
    <row r="40" spans="1:21" ht="15.75" customHeight="1">
      <c r="A40" s="503">
        <v>2</v>
      </c>
      <c r="B40" s="1494" t="s">
        <v>619</v>
      </c>
      <c r="C40" s="1495"/>
      <c r="D40" s="1495"/>
      <c r="E40" s="1496"/>
      <c r="F40" s="1497"/>
      <c r="G40" s="1481">
        <f>F33</f>
        <v>0</v>
      </c>
      <c r="H40" s="1482"/>
      <c r="I40" s="1468">
        <f>H33*0.437</f>
        <v>0</v>
      </c>
      <c r="J40" s="1470"/>
      <c r="K40" s="1468">
        <f>J33*0.083</f>
        <v>0</v>
      </c>
      <c r="L40" s="1470"/>
      <c r="T40" s="831" t="s">
        <v>1095</v>
      </c>
      <c r="U40" s="70"/>
    </row>
    <row r="41" spans="1:21" ht="13.5" customHeight="1">
      <c r="A41" s="1486" t="s">
        <v>617</v>
      </c>
      <c r="B41" s="1487"/>
      <c r="C41" s="1487"/>
      <c r="D41" s="1487"/>
      <c r="E41" s="1487"/>
      <c r="F41" s="1487"/>
      <c r="G41" s="1478" t="s">
        <v>586</v>
      </c>
      <c r="H41" s="1477"/>
      <c r="I41" s="1478" t="s">
        <v>587</v>
      </c>
      <c r="J41" s="1477"/>
      <c r="K41" s="1479"/>
      <c r="L41" s="1480"/>
      <c r="T41" s="831" t="s">
        <v>1096</v>
      </c>
      <c r="U41" s="70"/>
    </row>
    <row r="42" spans="1:21" ht="15.75" customHeight="1">
      <c r="A42" s="1488"/>
      <c r="B42" s="1489"/>
      <c r="C42" s="1489"/>
      <c r="D42" s="1489"/>
      <c r="E42" s="1489"/>
      <c r="F42" s="1489"/>
      <c r="G42" s="1483">
        <f>IF(AND(SUM(G39:G40)&gt;0,SUM(I8:I10)&gt;0),SUM(G39:G40)/AVERAGE(I8:I10),"")</f>
      </c>
      <c r="H42" s="1484"/>
      <c r="I42" s="1483">
        <f>IF(AND(SUM(I39:I40)&gt;0,SUM(K8:K10)&gt;0),SUM(I39:I40)/AVERAGE(K8:K10),"")</f>
      </c>
      <c r="J42" s="1484"/>
      <c r="K42" s="1485"/>
      <c r="L42" s="1480"/>
      <c r="T42" s="831" t="s">
        <v>1099</v>
      </c>
      <c r="U42" s="70"/>
    </row>
    <row r="43" spans="1:21" ht="11.25" customHeight="1">
      <c r="A43" s="1462" t="s">
        <v>589</v>
      </c>
      <c r="B43" s="1463"/>
      <c r="C43" s="1463"/>
      <c r="D43" s="1463"/>
      <c r="E43" s="1463"/>
      <c r="F43" s="1463"/>
      <c r="G43" s="1463"/>
      <c r="H43" s="1463"/>
      <c r="I43" s="1463"/>
      <c r="J43" s="1463"/>
      <c r="K43" s="1463"/>
      <c r="L43" s="1464"/>
      <c r="T43" s="831" t="s">
        <v>1100</v>
      </c>
      <c r="U43" s="70"/>
    </row>
    <row r="44" spans="1:21" ht="15.75" customHeight="1">
      <c r="A44" s="1465"/>
      <c r="B44" s="1466"/>
      <c r="C44" s="1466"/>
      <c r="D44" s="1466"/>
      <c r="E44" s="1466"/>
      <c r="F44" s="1466"/>
      <c r="G44" s="1466"/>
      <c r="H44" s="1466"/>
      <c r="I44" s="1466"/>
      <c r="J44" s="1466"/>
      <c r="K44" s="1466"/>
      <c r="L44" s="1467"/>
      <c r="T44" s="831" t="s">
        <v>1101</v>
      </c>
      <c r="U44" s="70"/>
    </row>
    <row r="45" spans="1:21" ht="15.75" customHeight="1">
      <c r="A45" s="850"/>
      <c r="B45" s="850"/>
      <c r="C45" s="850"/>
      <c r="D45" s="850"/>
      <c r="E45" s="850"/>
      <c r="F45" s="850"/>
      <c r="G45" s="850"/>
      <c r="H45" s="850"/>
      <c r="I45" s="850"/>
      <c r="J45" s="850"/>
      <c r="K45" s="850"/>
      <c r="L45" s="850"/>
      <c r="T45" s="831" t="s">
        <v>1102</v>
      </c>
      <c r="U45" s="70"/>
    </row>
    <row r="46" spans="20:21" ht="13.5" customHeight="1">
      <c r="T46" s="831" t="s">
        <v>1103</v>
      </c>
      <c r="U46" s="70"/>
    </row>
    <row r="47" spans="20:21" ht="15.75" customHeight="1">
      <c r="T47" s="831" t="s">
        <v>1104</v>
      </c>
      <c r="U47" s="70"/>
    </row>
    <row r="48" spans="20:21" ht="13.5" customHeight="1">
      <c r="T48" s="831" t="s">
        <v>1105</v>
      </c>
      <c r="U48" s="70"/>
    </row>
    <row r="49" spans="20:21" ht="13.5" customHeight="1">
      <c r="T49" s="831" t="s">
        <v>1106</v>
      </c>
      <c r="U49" s="70"/>
    </row>
    <row r="50" spans="20:21" ht="15" customHeight="1">
      <c r="T50" s="831" t="s">
        <v>1107</v>
      </c>
      <c r="U50" s="70"/>
    </row>
    <row r="51" spans="20:21" ht="15" customHeight="1">
      <c r="T51" s="831" t="s">
        <v>1108</v>
      </c>
      <c r="U51" s="70"/>
    </row>
    <row r="52" spans="20:21" ht="15" customHeight="1">
      <c r="T52" s="831" t="s">
        <v>1109</v>
      </c>
      <c r="U52" s="70"/>
    </row>
    <row r="53" spans="20:21" ht="15" customHeight="1">
      <c r="T53" s="831" t="s">
        <v>1110</v>
      </c>
      <c r="U53" s="70"/>
    </row>
    <row r="54" spans="20:21" ht="15" customHeight="1">
      <c r="T54" s="831" t="s">
        <v>1111</v>
      </c>
      <c r="U54" s="70"/>
    </row>
    <row r="55" spans="20:21" ht="15" customHeight="1">
      <c r="T55" s="831" t="s">
        <v>1112</v>
      </c>
      <c r="U55" s="70"/>
    </row>
    <row r="56" spans="20:21" ht="15" customHeight="1">
      <c r="T56" s="831" t="s">
        <v>1113</v>
      </c>
      <c r="U56" s="70"/>
    </row>
    <row r="57" spans="20:21" ht="15" customHeight="1">
      <c r="T57" s="831" t="s">
        <v>1114</v>
      </c>
      <c r="U57" s="70"/>
    </row>
    <row r="58" spans="20:21" ht="15" customHeight="1">
      <c r="T58" s="831" t="s">
        <v>1115</v>
      </c>
      <c r="U58" s="70"/>
    </row>
    <row r="59" spans="20:21" ht="15" customHeight="1">
      <c r="T59" s="831" t="s">
        <v>1116</v>
      </c>
      <c r="U59" s="70"/>
    </row>
    <row r="60" spans="20:21" ht="15" customHeight="1">
      <c r="T60" s="831" t="s">
        <v>1117</v>
      </c>
      <c r="U60" s="70"/>
    </row>
    <row r="61" spans="20:21" ht="15" customHeight="1">
      <c r="T61" s="831" t="s">
        <v>1118</v>
      </c>
      <c r="U61" s="70"/>
    </row>
    <row r="62" spans="20:21" ht="15" customHeight="1">
      <c r="T62" s="831" t="s">
        <v>1119</v>
      </c>
      <c r="U62" s="70"/>
    </row>
    <row r="63" spans="20:21" ht="15" customHeight="1">
      <c r="T63" s="831" t="s">
        <v>1120</v>
      </c>
      <c r="U63" s="70"/>
    </row>
    <row r="64" spans="20:21" ht="15" customHeight="1">
      <c r="T64" s="831" t="s">
        <v>1121</v>
      </c>
      <c r="U64" s="70"/>
    </row>
    <row r="65" spans="20:21" ht="15" customHeight="1">
      <c r="T65" s="831" t="s">
        <v>1122</v>
      </c>
      <c r="U65" s="70"/>
    </row>
    <row r="66" spans="20:21" ht="15" customHeight="1">
      <c r="T66" s="831" t="s">
        <v>1123</v>
      </c>
      <c r="U66" s="70"/>
    </row>
    <row r="67" spans="20:21" ht="12.75">
      <c r="T67" s="831" t="s">
        <v>1124</v>
      </c>
      <c r="U67" s="70"/>
    </row>
    <row r="68" spans="20:21" ht="12.75">
      <c r="T68" s="831" t="s">
        <v>1125</v>
      </c>
      <c r="U68" s="70"/>
    </row>
    <row r="69" spans="20:21" ht="12.75">
      <c r="T69" s="831" t="s">
        <v>1127</v>
      </c>
      <c r="U69" s="70"/>
    </row>
    <row r="70" spans="20:21" ht="12.75">
      <c r="T70" s="831" t="s">
        <v>1128</v>
      </c>
      <c r="U70" s="70"/>
    </row>
    <row r="71" spans="20:21" ht="12.75">
      <c r="T71" s="831" t="s">
        <v>1129</v>
      </c>
      <c r="U71" s="70"/>
    </row>
    <row r="72" spans="20:21" ht="12.75">
      <c r="T72" s="831" t="s">
        <v>1130</v>
      </c>
      <c r="U72" s="70"/>
    </row>
    <row r="73" spans="20:21" ht="12.75">
      <c r="T73" s="831" t="s">
        <v>1131</v>
      </c>
      <c r="U73" s="70"/>
    </row>
    <row r="74" spans="20:21" ht="12.75">
      <c r="T74" s="831" t="s">
        <v>1132</v>
      </c>
      <c r="U74" s="70"/>
    </row>
    <row r="75" spans="20:21" ht="12.75">
      <c r="T75" s="831" t="s">
        <v>1133</v>
      </c>
      <c r="U75" s="70"/>
    </row>
    <row r="76" spans="20:21" ht="12.75">
      <c r="T76" s="831" t="s">
        <v>1134</v>
      </c>
      <c r="U76" s="70"/>
    </row>
    <row r="77" spans="20:21" ht="12.75">
      <c r="T77" s="831" t="s">
        <v>1135</v>
      </c>
      <c r="U77" s="70"/>
    </row>
    <row r="78" spans="20:21" ht="12.75">
      <c r="T78" s="831" t="s">
        <v>1136</v>
      </c>
      <c r="U78" s="70"/>
    </row>
    <row r="79" spans="20:21" ht="12.75">
      <c r="T79" s="831" t="s">
        <v>1137</v>
      </c>
      <c r="U79" s="70"/>
    </row>
    <row r="80" spans="20:21" ht="12.75">
      <c r="T80" s="831" t="s">
        <v>1138</v>
      </c>
      <c r="U80" s="70"/>
    </row>
    <row r="81" spans="20:21" ht="12.75">
      <c r="T81" s="831" t="s">
        <v>1139</v>
      </c>
      <c r="U81" s="70"/>
    </row>
    <row r="82" spans="20:21" ht="12.75">
      <c r="T82" s="831" t="s">
        <v>1140</v>
      </c>
      <c r="U82" s="70"/>
    </row>
    <row r="83" spans="20:21" ht="12.75">
      <c r="T83" s="831" t="s">
        <v>1141</v>
      </c>
      <c r="U83" s="70"/>
    </row>
    <row r="84" spans="20:21" ht="12.75">
      <c r="T84" s="813"/>
      <c r="U84" s="70"/>
    </row>
    <row r="85" spans="20:21" ht="12.75">
      <c r="T85" s="851"/>
      <c r="U85" s="73"/>
    </row>
  </sheetData>
  <sheetProtection password="CC96" sheet="1" objects="1" scenarios="1"/>
  <mergeCells count="87">
    <mergeCell ref="B28:E28"/>
    <mergeCell ref="A25:C26"/>
    <mergeCell ref="D25:E26"/>
    <mergeCell ref="F25:F26"/>
    <mergeCell ref="J25:J26"/>
    <mergeCell ref="H25:H26"/>
    <mergeCell ref="I25:I26"/>
    <mergeCell ref="B27:E27"/>
    <mergeCell ref="G25:G26"/>
    <mergeCell ref="K19:L19"/>
    <mergeCell ref="B20:E20"/>
    <mergeCell ref="K20:L20"/>
    <mergeCell ref="A23:L24"/>
    <mergeCell ref="A21:D21"/>
    <mergeCell ref="A2:L2"/>
    <mergeCell ref="A3:B3"/>
    <mergeCell ref="J3:L3"/>
    <mergeCell ref="A4:L5"/>
    <mergeCell ref="C3:G3"/>
    <mergeCell ref="A6:D7"/>
    <mergeCell ref="E6:E7"/>
    <mergeCell ref="F6:F7"/>
    <mergeCell ref="G6:G7"/>
    <mergeCell ref="H6:H7"/>
    <mergeCell ref="I6:L6"/>
    <mergeCell ref="I7:J7"/>
    <mergeCell ref="K7:L7"/>
    <mergeCell ref="A8:D8"/>
    <mergeCell ref="I8:J8"/>
    <mergeCell ref="K8:L8"/>
    <mergeCell ref="A9:D9"/>
    <mergeCell ref="I9:J9"/>
    <mergeCell ref="K9:L9"/>
    <mergeCell ref="A10:D10"/>
    <mergeCell ref="I10:J10"/>
    <mergeCell ref="K10:L10"/>
    <mergeCell ref="A11:L11"/>
    <mergeCell ref="A12:L13"/>
    <mergeCell ref="F14:F15"/>
    <mergeCell ref="G14:G15"/>
    <mergeCell ref="H14:H15"/>
    <mergeCell ref="I14:I15"/>
    <mergeCell ref="J14:J15"/>
    <mergeCell ref="K14:L15"/>
    <mergeCell ref="A14:C15"/>
    <mergeCell ref="D14:E15"/>
    <mergeCell ref="A33:D33"/>
    <mergeCell ref="B16:E16"/>
    <mergeCell ref="K16:L16"/>
    <mergeCell ref="B17:E17"/>
    <mergeCell ref="K17:L17"/>
    <mergeCell ref="K27:L27"/>
    <mergeCell ref="K28:L28"/>
    <mergeCell ref="B18:E18"/>
    <mergeCell ref="K18:L18"/>
    <mergeCell ref="B19:E19"/>
    <mergeCell ref="K30:L30"/>
    <mergeCell ref="K31:L31"/>
    <mergeCell ref="K32:L32"/>
    <mergeCell ref="B29:E29"/>
    <mergeCell ref="B30:E30"/>
    <mergeCell ref="B31:E31"/>
    <mergeCell ref="B32:E32"/>
    <mergeCell ref="K25:L26"/>
    <mergeCell ref="I40:J40"/>
    <mergeCell ref="K40:L40"/>
    <mergeCell ref="B39:F39"/>
    <mergeCell ref="B40:F40"/>
    <mergeCell ref="G38:H38"/>
    <mergeCell ref="I38:J38"/>
    <mergeCell ref="K38:L38"/>
    <mergeCell ref="A35:L36"/>
    <mergeCell ref="K29:L29"/>
    <mergeCell ref="I42:J42"/>
    <mergeCell ref="K42:L42"/>
    <mergeCell ref="A41:F42"/>
    <mergeCell ref="G42:H42"/>
    <mergeCell ref="A43:L44"/>
    <mergeCell ref="G39:H39"/>
    <mergeCell ref="I39:J39"/>
    <mergeCell ref="A37:F38"/>
    <mergeCell ref="G37:L37"/>
    <mergeCell ref="K39:L39"/>
    <mergeCell ref="I41:J41"/>
    <mergeCell ref="K41:L41"/>
    <mergeCell ref="G40:H40"/>
    <mergeCell ref="G41:H41"/>
  </mergeCells>
  <dataValidations count="1">
    <dataValidation type="list" allowBlank="1" showInputMessage="1" showErrorMessage="1" sqref="A8:D10">
      <formula1>$T$5:$T$85</formula1>
    </dataValidation>
  </dataValidations>
  <printOptions/>
  <pageMargins left="0.75" right="0.75" top="0.5" bottom="0.5" header="0.35" footer="0.5"/>
  <pageSetup horizontalDpi="600" verticalDpi="600" orientation="portrait" r:id="rId1"/>
  <headerFooter alignWithMargins="0">
    <oddHeader>&amp;L&amp;"Tahoma,Bold"&amp;11CNMP Planning Tool&amp;C&amp;"Tahoma,Bold"Land Base Requirement</oddHeader>
  </headerFooter>
</worksheet>
</file>

<file path=xl/worksheets/sheet9.xml><?xml version="1.0" encoding="utf-8"?>
<worksheet xmlns="http://schemas.openxmlformats.org/spreadsheetml/2006/main" xmlns:r="http://schemas.openxmlformats.org/officeDocument/2006/relationships">
  <sheetPr>
    <tabColor indexed="11"/>
  </sheetPr>
  <dimension ref="A1:L143"/>
  <sheetViews>
    <sheetView workbookViewId="0" topLeftCell="A1">
      <selection activeCell="K5" sqref="K5:L5"/>
    </sheetView>
  </sheetViews>
  <sheetFormatPr defaultColWidth="9.140625" defaultRowHeight="12.75"/>
  <cols>
    <col min="1" max="1" width="7.28125" style="0" customWidth="1"/>
    <col min="2" max="2" width="8.7109375" style="0" customWidth="1"/>
    <col min="3" max="6" width="7.421875" style="0" customWidth="1"/>
    <col min="7" max="7" width="7.7109375" style="0" customWidth="1"/>
    <col min="8" max="10" width="7.421875" style="0" customWidth="1"/>
    <col min="11" max="12" width="6.7109375" style="0" customWidth="1"/>
  </cols>
  <sheetData>
    <row r="1" ht="15" customHeight="1">
      <c r="L1" s="1005" t="s">
        <v>74</v>
      </c>
    </row>
    <row r="2" spans="1:12" s="346" customFormat="1" ht="18.75" customHeight="1">
      <c r="A2" s="489" t="s">
        <v>564</v>
      </c>
      <c r="B2" s="1778">
        <f>IF('590 JS'!B6="","",'590 JS'!B6)</f>
      </c>
      <c r="C2" s="1778"/>
      <c r="D2" s="1778"/>
      <c r="E2" s="1778"/>
      <c r="F2" s="1778"/>
      <c r="G2" s="626" t="s">
        <v>590</v>
      </c>
      <c r="H2" s="1778">
        <f>IF('590 JS'!G6="","",'590 JS'!G6)</f>
      </c>
      <c r="I2" s="1778"/>
      <c r="J2" s="489" t="s">
        <v>565</v>
      </c>
      <c r="K2" s="1779">
        <f ca="1">TODAY()</f>
        <v>39106</v>
      </c>
      <c r="L2" s="1779"/>
    </row>
    <row r="4" spans="1:12" s="462" customFormat="1" ht="24" customHeight="1">
      <c r="A4" s="1780" t="s">
        <v>591</v>
      </c>
      <c r="B4" s="1781"/>
      <c r="C4" s="1780" t="s">
        <v>592</v>
      </c>
      <c r="D4" s="1781"/>
      <c r="E4" s="1780" t="s">
        <v>593</v>
      </c>
      <c r="F4" s="1781"/>
      <c r="G4" s="1780" t="s">
        <v>594</v>
      </c>
      <c r="H4" s="1781"/>
      <c r="I4" s="1780" t="s">
        <v>595</v>
      </c>
      <c r="J4" s="1781"/>
      <c r="K4" s="1780" t="s">
        <v>596</v>
      </c>
      <c r="L4" s="1781"/>
    </row>
    <row r="5" spans="1:12" ht="36.75" customHeight="1">
      <c r="A5" s="1776" t="s">
        <v>1224</v>
      </c>
      <c r="B5" s="1777"/>
      <c r="C5" s="1763" t="s">
        <v>597</v>
      </c>
      <c r="D5" s="1764"/>
      <c r="E5" s="1763" t="s">
        <v>598</v>
      </c>
      <c r="F5" s="1764"/>
      <c r="G5" s="1763" t="s">
        <v>599</v>
      </c>
      <c r="H5" s="1764"/>
      <c r="I5" s="1763" t="s">
        <v>600</v>
      </c>
      <c r="J5" s="1764"/>
      <c r="K5" s="1769"/>
      <c r="L5" s="1770"/>
    </row>
    <row r="6" spans="1:12" s="463" customFormat="1" ht="48" customHeight="1">
      <c r="A6" s="1752" t="s">
        <v>1225</v>
      </c>
      <c r="B6" s="1775"/>
      <c r="C6" s="1763" t="s">
        <v>601</v>
      </c>
      <c r="D6" s="1764"/>
      <c r="E6" s="1763" t="s">
        <v>602</v>
      </c>
      <c r="F6" s="1764"/>
      <c r="G6" s="1763" t="s">
        <v>603</v>
      </c>
      <c r="H6" s="1764"/>
      <c r="I6" s="1763" t="s">
        <v>604</v>
      </c>
      <c r="J6" s="1764"/>
      <c r="K6" s="1765"/>
      <c r="L6" s="1766"/>
    </row>
    <row r="7" spans="1:12" s="463" customFormat="1" ht="58.5" customHeight="1">
      <c r="A7" s="1771" t="s">
        <v>1226</v>
      </c>
      <c r="B7" s="1772"/>
      <c r="C7" s="1763" t="s">
        <v>605</v>
      </c>
      <c r="D7" s="1764"/>
      <c r="E7" s="1763" t="s">
        <v>606</v>
      </c>
      <c r="F7" s="1764"/>
      <c r="G7" s="1763" t="s">
        <v>607</v>
      </c>
      <c r="H7" s="1764"/>
      <c r="I7" s="1763" t="s">
        <v>608</v>
      </c>
      <c r="J7" s="1764"/>
      <c r="K7" s="1765"/>
      <c r="L7" s="1766"/>
    </row>
    <row r="8" spans="1:12" ht="48" customHeight="1">
      <c r="A8" s="1773"/>
      <c r="B8" s="1774"/>
      <c r="C8" s="1763" t="s">
        <v>609</v>
      </c>
      <c r="D8" s="1764"/>
      <c r="E8" s="1763" t="s">
        <v>610</v>
      </c>
      <c r="F8" s="1764"/>
      <c r="G8" s="1763" t="s">
        <v>611</v>
      </c>
      <c r="H8" s="1764"/>
      <c r="I8" s="1763" t="s">
        <v>622</v>
      </c>
      <c r="J8" s="1764"/>
      <c r="K8" s="1769"/>
      <c r="L8" s="1770"/>
    </row>
    <row r="9" spans="1:12" s="463" customFormat="1" ht="50.25" customHeight="1">
      <c r="A9" s="1752" t="s">
        <v>1227</v>
      </c>
      <c r="B9" s="1753"/>
      <c r="C9" s="1763" t="s">
        <v>623</v>
      </c>
      <c r="D9" s="1764"/>
      <c r="E9" s="1763" t="s">
        <v>624</v>
      </c>
      <c r="F9" s="1764"/>
      <c r="G9" s="1763" t="s">
        <v>625</v>
      </c>
      <c r="H9" s="1764"/>
      <c r="I9" s="1763" t="s">
        <v>626</v>
      </c>
      <c r="J9" s="1764"/>
      <c r="K9" s="1765"/>
      <c r="L9" s="1766"/>
    </row>
    <row r="10" spans="1:12" s="464" customFormat="1" ht="21" customHeight="1">
      <c r="A10" s="1758" t="s">
        <v>627</v>
      </c>
      <c r="B10" s="1759"/>
      <c r="C10" s="1759"/>
      <c r="D10" s="1759"/>
      <c r="E10" s="1759"/>
      <c r="F10" s="1759"/>
      <c r="G10" s="1759"/>
      <c r="H10" s="1759"/>
      <c r="I10" s="1759"/>
      <c r="J10" s="1760"/>
      <c r="K10" s="1767">
        <f>SUM(K5:L9)</f>
        <v>0</v>
      </c>
      <c r="L10" s="1768"/>
    </row>
    <row r="11" spans="1:12" s="463" customFormat="1" ht="60" customHeight="1">
      <c r="A11" s="1752" t="s">
        <v>628</v>
      </c>
      <c r="B11" s="1753"/>
      <c r="C11" s="1754" t="s">
        <v>0</v>
      </c>
      <c r="D11" s="1755"/>
      <c r="E11" s="1755"/>
      <c r="F11" s="1755"/>
      <c r="G11" s="1755"/>
      <c r="H11" s="1755"/>
      <c r="I11" s="1755"/>
      <c r="J11" s="1753"/>
      <c r="K11" s="1756"/>
      <c r="L11" s="1757"/>
    </row>
    <row r="12" spans="1:12" ht="21" customHeight="1">
      <c r="A12" s="1758" t="s">
        <v>629</v>
      </c>
      <c r="B12" s="1759"/>
      <c r="C12" s="1759"/>
      <c r="D12" s="1759"/>
      <c r="E12" s="1759"/>
      <c r="F12" s="1759"/>
      <c r="G12" s="1759"/>
      <c r="H12" s="1759"/>
      <c r="I12" s="1759"/>
      <c r="J12" s="1760"/>
      <c r="K12" s="1761">
        <f>K10-K11</f>
        <v>0</v>
      </c>
      <c r="L12" s="1762"/>
    </row>
    <row r="13" spans="1:12" ht="24" customHeight="1">
      <c r="A13" s="1751" t="s">
        <v>630</v>
      </c>
      <c r="B13" s="1751"/>
      <c r="C13" s="1751"/>
      <c r="D13" s="1751"/>
      <c r="E13" s="1751"/>
      <c r="F13" s="1751"/>
      <c r="G13" s="1751"/>
      <c r="H13" s="1751"/>
      <c r="I13" s="1751"/>
      <c r="J13" s="1751"/>
      <c r="K13" s="1751"/>
      <c r="L13" s="1751"/>
    </row>
    <row r="14" spans="1:12" ht="19.5" customHeight="1">
      <c r="A14" s="1240" t="s">
        <v>631</v>
      </c>
      <c r="B14" s="1242"/>
      <c r="C14" s="1240" t="s">
        <v>632</v>
      </c>
      <c r="D14" s="1241"/>
      <c r="E14" s="1241"/>
      <c r="F14" s="1241"/>
      <c r="G14" s="1241"/>
      <c r="H14" s="1241"/>
      <c r="I14" s="1241"/>
      <c r="J14" s="1241"/>
      <c r="K14" s="1241"/>
      <c r="L14" s="1242"/>
    </row>
    <row r="15" spans="1:12" ht="36.75" customHeight="1">
      <c r="A15" s="1296" t="s">
        <v>633</v>
      </c>
      <c r="B15" s="1297"/>
      <c r="C15" s="1747" t="s">
        <v>1</v>
      </c>
      <c r="D15" s="1748"/>
      <c r="E15" s="1748"/>
      <c r="F15" s="1748"/>
      <c r="G15" s="1748"/>
      <c r="H15" s="1748"/>
      <c r="I15" s="1748"/>
      <c r="J15" s="1748"/>
      <c r="K15" s="1748"/>
      <c r="L15" s="1749"/>
    </row>
    <row r="16" spans="1:12" ht="48.75" customHeight="1">
      <c r="A16" s="1296" t="s">
        <v>634</v>
      </c>
      <c r="B16" s="1297"/>
      <c r="C16" s="1747" t="s">
        <v>2</v>
      </c>
      <c r="D16" s="1748"/>
      <c r="E16" s="1748"/>
      <c r="F16" s="1748"/>
      <c r="G16" s="1748"/>
      <c r="H16" s="1748"/>
      <c r="I16" s="1748"/>
      <c r="J16" s="1748"/>
      <c r="K16" s="1748"/>
      <c r="L16" s="1749"/>
    </row>
    <row r="17" spans="1:12" s="465" customFormat="1" ht="61.5" customHeight="1">
      <c r="A17" s="1296" t="s">
        <v>635</v>
      </c>
      <c r="B17" s="1297"/>
      <c r="C17" s="1747" t="s">
        <v>3</v>
      </c>
      <c r="D17" s="1748"/>
      <c r="E17" s="1748"/>
      <c r="F17" s="1748"/>
      <c r="G17" s="1748"/>
      <c r="H17" s="1748"/>
      <c r="I17" s="1748"/>
      <c r="J17" s="1748"/>
      <c r="K17" s="1748"/>
      <c r="L17" s="1749"/>
    </row>
    <row r="18" spans="1:12" ht="48" customHeight="1">
      <c r="A18" s="1296">
        <v>16</v>
      </c>
      <c r="B18" s="1297"/>
      <c r="C18" s="1747" t="s">
        <v>4</v>
      </c>
      <c r="D18" s="1748"/>
      <c r="E18" s="1748"/>
      <c r="F18" s="1748"/>
      <c r="G18" s="1748"/>
      <c r="H18" s="1748"/>
      <c r="I18" s="1748"/>
      <c r="J18" s="1748"/>
      <c r="K18" s="1748"/>
      <c r="L18" s="1749"/>
    </row>
    <row r="19" spans="1:12" ht="36" customHeight="1">
      <c r="A19" s="1563" t="s">
        <v>52</v>
      </c>
      <c r="B19" s="1563"/>
      <c r="C19" s="1562"/>
      <c r="D19" s="1562"/>
      <c r="E19" s="1562"/>
      <c r="F19" s="1562"/>
      <c r="G19" s="1562"/>
      <c r="H19" s="1562"/>
      <c r="I19" s="1562"/>
      <c r="J19" s="1562"/>
      <c r="K19" s="1562"/>
      <c r="L19" s="1562"/>
    </row>
    <row r="20" spans="1:12" ht="12.75">
      <c r="A20" s="627"/>
      <c r="B20" s="627"/>
      <c r="C20" s="628"/>
      <c r="D20" s="628"/>
      <c r="E20" s="628"/>
      <c r="F20" s="628"/>
      <c r="G20" s="628"/>
      <c r="H20" s="628"/>
      <c r="I20" s="628"/>
      <c r="J20" s="628"/>
      <c r="K20" s="628"/>
      <c r="L20" s="628"/>
    </row>
    <row r="21" spans="1:12" ht="15.75">
      <c r="A21" s="1750" t="s">
        <v>636</v>
      </c>
      <c r="B21" s="1750"/>
      <c r="C21" s="1750"/>
      <c r="D21" s="1750"/>
      <c r="E21" s="1750"/>
      <c r="F21" s="1750"/>
      <c r="G21" s="1750"/>
      <c r="H21" s="1750"/>
      <c r="I21" s="1750"/>
      <c r="J21" s="1750"/>
      <c r="K21" s="1750"/>
      <c r="L21" s="1750"/>
    </row>
    <row r="22" spans="1:12" ht="12.75">
      <c r="A22" s="1735" t="s">
        <v>637</v>
      </c>
      <c r="B22" s="1735"/>
      <c r="C22" s="1735"/>
      <c r="D22" s="1735"/>
      <c r="E22" s="1735"/>
      <c r="F22" s="1735"/>
      <c r="G22" s="1735"/>
      <c r="H22" s="1735"/>
      <c r="I22" s="1735"/>
      <c r="J22" s="1735"/>
      <c r="K22" s="1735"/>
      <c r="L22" s="1735"/>
    </row>
    <row r="23" spans="1:12" ht="15.75">
      <c r="A23" s="1735" t="s">
        <v>638</v>
      </c>
      <c r="B23" s="1735"/>
      <c r="C23" s="1735"/>
      <c r="D23" s="1735"/>
      <c r="E23" s="1735"/>
      <c r="F23" s="1735"/>
      <c r="G23" s="1735"/>
      <c r="H23" s="1735"/>
      <c r="I23" s="1735"/>
      <c r="J23" s="1735"/>
      <c r="K23" s="1735"/>
      <c r="L23" s="1735"/>
    </row>
    <row r="24" spans="1:12" ht="12.75">
      <c r="A24" s="350"/>
      <c r="B24" s="350"/>
      <c r="C24" s="350"/>
      <c r="D24" s="350"/>
      <c r="E24" s="350"/>
      <c r="F24" s="350"/>
      <c r="G24" s="350"/>
      <c r="H24" s="350"/>
      <c r="I24" s="350"/>
      <c r="J24" s="350"/>
      <c r="K24" s="350"/>
      <c r="L24" s="350"/>
    </row>
    <row r="25" spans="1:12" ht="12.75" customHeight="1">
      <c r="A25" s="1736" t="s">
        <v>644</v>
      </c>
      <c r="B25" s="1736"/>
      <c r="C25" s="1736"/>
      <c r="D25" s="1736"/>
      <c r="E25" s="1736"/>
      <c r="F25" s="1736"/>
      <c r="G25" s="1736"/>
      <c r="H25" s="1736"/>
      <c r="I25" s="1736"/>
      <c r="J25" s="1736"/>
      <c r="K25" s="1736"/>
      <c r="L25" s="1736"/>
    </row>
    <row r="26" spans="1:12" ht="12.75">
      <c r="A26" s="1736"/>
      <c r="B26" s="1736"/>
      <c r="C26" s="1736"/>
      <c r="D26" s="1736"/>
      <c r="E26" s="1736"/>
      <c r="F26" s="1736"/>
      <c r="G26" s="1736"/>
      <c r="H26" s="1736"/>
      <c r="I26" s="1736"/>
      <c r="J26" s="1736"/>
      <c r="K26" s="1736"/>
      <c r="L26" s="1736"/>
    </row>
    <row r="27" spans="1:12" ht="12.75">
      <c r="A27" s="1736"/>
      <c r="B27" s="1736"/>
      <c r="C27" s="1736"/>
      <c r="D27" s="1736"/>
      <c r="E27" s="1736"/>
      <c r="F27" s="1736"/>
      <c r="G27" s="1736"/>
      <c r="H27" s="1736"/>
      <c r="I27" s="1736"/>
      <c r="J27" s="1736"/>
      <c r="K27" s="1736"/>
      <c r="L27" s="1736"/>
    </row>
    <row r="28" spans="1:12" ht="12.75">
      <c r="A28" s="624"/>
      <c r="B28" s="624"/>
      <c r="C28" s="624"/>
      <c r="D28" s="624"/>
      <c r="E28" s="624"/>
      <c r="F28" s="624"/>
      <c r="G28" s="624"/>
      <c r="H28" s="624"/>
      <c r="I28" s="624"/>
      <c r="J28" s="624"/>
      <c r="K28" s="624"/>
      <c r="L28" s="624"/>
    </row>
    <row r="29" spans="1:12" ht="12.75">
      <c r="A29" s="1736" t="s">
        <v>645</v>
      </c>
      <c r="B29" s="1736"/>
      <c r="C29" s="1736"/>
      <c r="D29" s="1736"/>
      <c r="E29" s="1736"/>
      <c r="F29" s="1736"/>
      <c r="G29" s="1736"/>
      <c r="H29" s="1736"/>
      <c r="I29" s="1736"/>
      <c r="J29" s="1736"/>
      <c r="K29" s="1736"/>
      <c r="L29" s="1736"/>
    </row>
    <row r="30" spans="1:12" ht="12.75">
      <c r="A30" s="1736"/>
      <c r="B30" s="1736"/>
      <c r="C30" s="1736"/>
      <c r="D30" s="1736"/>
      <c r="E30" s="1736"/>
      <c r="F30" s="1736"/>
      <c r="G30" s="1736"/>
      <c r="H30" s="1736"/>
      <c r="I30" s="1736"/>
      <c r="J30" s="1736"/>
      <c r="K30" s="1736"/>
      <c r="L30" s="1736"/>
    </row>
    <row r="31" spans="1:12" ht="12.75">
      <c r="A31" s="1736"/>
      <c r="B31" s="1736"/>
      <c r="C31" s="1736"/>
      <c r="D31" s="1736"/>
      <c r="E31" s="1736"/>
      <c r="F31" s="1736"/>
      <c r="G31" s="1736"/>
      <c r="H31" s="1736"/>
      <c r="I31" s="1736"/>
      <c r="J31" s="1736"/>
      <c r="K31" s="1736"/>
      <c r="L31" s="1736"/>
    </row>
    <row r="32" spans="1:12" ht="12.75">
      <c r="A32" s="350"/>
      <c r="B32" s="350"/>
      <c r="C32" s="350"/>
      <c r="D32" s="350"/>
      <c r="E32" s="350"/>
      <c r="F32" s="350"/>
      <c r="G32" s="350"/>
      <c r="H32" s="350"/>
      <c r="I32" s="350"/>
      <c r="J32" s="350"/>
      <c r="K32" s="350"/>
      <c r="L32" s="350"/>
    </row>
    <row r="33" spans="1:12" ht="12.75">
      <c r="A33" s="1736" t="s">
        <v>646</v>
      </c>
      <c r="B33" s="1736"/>
      <c r="C33" s="1736"/>
      <c r="D33" s="1736"/>
      <c r="E33" s="1736"/>
      <c r="F33" s="1736"/>
      <c r="G33" s="1736"/>
      <c r="H33" s="1736"/>
      <c r="I33" s="1736"/>
      <c r="J33" s="1736"/>
      <c r="K33" s="1736"/>
      <c r="L33" s="1736"/>
    </row>
    <row r="34" spans="1:12" ht="12.75">
      <c r="A34" s="1736"/>
      <c r="B34" s="1736"/>
      <c r="C34" s="1736"/>
      <c r="D34" s="1736"/>
      <c r="E34" s="1736"/>
      <c r="F34" s="1736"/>
      <c r="G34" s="1736"/>
      <c r="H34" s="1736"/>
      <c r="I34" s="1736"/>
      <c r="J34" s="1736"/>
      <c r="K34" s="1736"/>
      <c r="L34" s="1736"/>
    </row>
    <row r="35" spans="1:12" ht="12.75">
      <c r="A35" s="350"/>
      <c r="B35" s="350"/>
      <c r="C35" s="350"/>
      <c r="D35" s="350"/>
      <c r="E35" s="350"/>
      <c r="F35" s="350"/>
      <c r="G35" s="350"/>
      <c r="H35" s="350"/>
      <c r="I35" s="350"/>
      <c r="J35" s="350"/>
      <c r="K35" s="350"/>
      <c r="L35" s="350"/>
    </row>
    <row r="36" spans="1:12" ht="12.75">
      <c r="A36" s="1735" t="s">
        <v>647</v>
      </c>
      <c r="B36" s="1735"/>
      <c r="C36" s="1735"/>
      <c r="D36" s="1735"/>
      <c r="E36" s="1735"/>
      <c r="F36" s="1735"/>
      <c r="G36" s="1735"/>
      <c r="H36" s="1735"/>
      <c r="I36" s="1735"/>
      <c r="J36" s="1735"/>
      <c r="K36" s="1735"/>
      <c r="L36" s="1735"/>
    </row>
    <row r="37" spans="1:12" ht="12.75">
      <c r="A37" s="350"/>
      <c r="B37" s="350"/>
      <c r="C37" s="350"/>
      <c r="D37" s="350"/>
      <c r="E37" s="350"/>
      <c r="F37" s="350"/>
      <c r="G37" s="350"/>
      <c r="H37" s="350"/>
      <c r="I37" s="350"/>
      <c r="J37" s="350"/>
      <c r="K37" s="350"/>
      <c r="L37" s="350"/>
    </row>
    <row r="38" spans="1:12" ht="12.75">
      <c r="A38" s="1737" t="s">
        <v>648</v>
      </c>
      <c r="B38" s="1738"/>
      <c r="C38" s="1738"/>
      <c r="D38" s="1738"/>
      <c r="E38" s="1739"/>
      <c r="F38" s="350"/>
      <c r="G38" s="350"/>
      <c r="H38" s="1737" t="s">
        <v>649</v>
      </c>
      <c r="I38" s="1738"/>
      <c r="J38" s="1738"/>
      <c r="K38" s="1738"/>
      <c r="L38" s="1739"/>
    </row>
    <row r="39" spans="1:12" ht="12.75">
      <c r="A39" s="1740"/>
      <c r="B39" s="1741"/>
      <c r="C39" s="1741"/>
      <c r="D39" s="1741"/>
      <c r="E39" s="1742"/>
      <c r="F39" s="1746" t="s">
        <v>650</v>
      </c>
      <c r="G39" s="1746"/>
      <c r="H39" s="1740"/>
      <c r="I39" s="1741"/>
      <c r="J39" s="1741"/>
      <c r="K39" s="1741"/>
      <c r="L39" s="1742"/>
    </row>
    <row r="40" spans="1:12" ht="12.75">
      <c r="A40" s="1743"/>
      <c r="B40" s="1744"/>
      <c r="C40" s="1744"/>
      <c r="D40" s="1744"/>
      <c r="E40" s="1745"/>
      <c r="F40" s="350"/>
      <c r="G40" s="350"/>
      <c r="H40" s="1743"/>
      <c r="I40" s="1744"/>
      <c r="J40" s="1744"/>
      <c r="K40" s="1744"/>
      <c r="L40" s="1745"/>
    </row>
    <row r="41" spans="1:12" ht="25.5">
      <c r="A41" s="350"/>
      <c r="B41" s="350"/>
      <c r="C41" s="615" t="s">
        <v>651</v>
      </c>
      <c r="D41" s="350"/>
      <c r="E41" s="350"/>
      <c r="F41" s="350"/>
      <c r="G41" s="350"/>
      <c r="H41" s="350"/>
      <c r="I41" s="350"/>
      <c r="J41" s="350"/>
      <c r="K41" s="350"/>
      <c r="L41" s="350"/>
    </row>
    <row r="42" spans="1:12" ht="12.75">
      <c r="A42" s="1737" t="s">
        <v>652</v>
      </c>
      <c r="B42" s="1738"/>
      <c r="C42" s="1738"/>
      <c r="D42" s="1738"/>
      <c r="E42" s="1739"/>
      <c r="F42" s="350"/>
      <c r="G42" s="350"/>
      <c r="H42" s="1737" t="s">
        <v>649</v>
      </c>
      <c r="I42" s="1738"/>
      <c r="J42" s="1738"/>
      <c r="K42" s="1738"/>
      <c r="L42" s="1739"/>
    </row>
    <row r="43" spans="1:12" ht="12.75">
      <c r="A43" s="1740"/>
      <c r="B43" s="1741"/>
      <c r="C43" s="1741"/>
      <c r="D43" s="1741"/>
      <c r="E43" s="1742"/>
      <c r="F43" s="1746" t="s">
        <v>650</v>
      </c>
      <c r="G43" s="1746"/>
      <c r="H43" s="1740"/>
      <c r="I43" s="1741"/>
      <c r="J43" s="1741"/>
      <c r="K43" s="1741"/>
      <c r="L43" s="1742"/>
    </row>
    <row r="44" spans="1:12" ht="12.75">
      <c r="A44" s="1743"/>
      <c r="B44" s="1744"/>
      <c r="C44" s="1744"/>
      <c r="D44" s="1744"/>
      <c r="E44" s="1745"/>
      <c r="F44" s="350"/>
      <c r="G44" s="350"/>
      <c r="H44" s="1743"/>
      <c r="I44" s="1744"/>
      <c r="J44" s="1744"/>
      <c r="K44" s="1744"/>
      <c r="L44" s="1745"/>
    </row>
    <row r="45" spans="1:12" ht="25.5">
      <c r="A45" s="350"/>
      <c r="B45" s="350"/>
      <c r="C45" s="615" t="s">
        <v>651</v>
      </c>
      <c r="D45" s="350"/>
      <c r="E45" s="350"/>
      <c r="F45" s="350"/>
      <c r="G45" s="350"/>
      <c r="H45" s="350"/>
      <c r="I45" s="350"/>
      <c r="J45" s="350"/>
      <c r="K45" s="350"/>
      <c r="L45" s="350"/>
    </row>
    <row r="46" spans="1:12" ht="12.75">
      <c r="A46" s="1737" t="s">
        <v>655</v>
      </c>
      <c r="B46" s="1738"/>
      <c r="C46" s="1738"/>
      <c r="D46" s="1738"/>
      <c r="E46" s="1739"/>
      <c r="F46" s="350"/>
      <c r="G46" s="350"/>
      <c r="H46" s="350"/>
      <c r="I46" s="350"/>
      <c r="J46" s="350"/>
      <c r="K46" s="350"/>
      <c r="L46" s="350"/>
    </row>
    <row r="47" spans="1:12" ht="12.75">
      <c r="A47" s="1740"/>
      <c r="B47" s="1741"/>
      <c r="C47" s="1741"/>
      <c r="D47" s="1741"/>
      <c r="E47" s="1742"/>
      <c r="F47" s="350"/>
      <c r="G47" s="350"/>
      <c r="H47" s="350"/>
      <c r="I47" s="350"/>
      <c r="J47" s="350"/>
      <c r="K47" s="350"/>
      <c r="L47" s="350"/>
    </row>
    <row r="48" spans="1:12" ht="12.75">
      <c r="A48" s="1743"/>
      <c r="B48" s="1744"/>
      <c r="C48" s="1744"/>
      <c r="D48" s="1744"/>
      <c r="E48" s="1745"/>
      <c r="F48" s="350"/>
      <c r="G48" s="350"/>
      <c r="H48" s="350"/>
      <c r="I48" s="350"/>
      <c r="J48" s="350"/>
      <c r="K48" s="350"/>
      <c r="L48" s="350"/>
    </row>
    <row r="49" spans="1:12" ht="12.75">
      <c r="A49" s="350"/>
      <c r="B49" s="350"/>
      <c r="C49" s="350"/>
      <c r="D49" s="350"/>
      <c r="E49" s="350"/>
      <c r="F49" s="350"/>
      <c r="G49" s="350"/>
      <c r="H49" s="350"/>
      <c r="I49" s="350"/>
      <c r="J49" s="350"/>
      <c r="K49" s="350"/>
      <c r="L49" s="350"/>
    </row>
    <row r="50" spans="1:12" ht="12.75">
      <c r="A50" s="350"/>
      <c r="B50" s="350"/>
      <c r="C50" s="350"/>
      <c r="D50" s="350"/>
      <c r="E50" s="350"/>
      <c r="F50" s="350"/>
      <c r="G50" s="350"/>
      <c r="H50" s="350"/>
      <c r="I50" s="350"/>
      <c r="J50" s="350"/>
      <c r="K50" s="350"/>
      <c r="L50" s="350"/>
    </row>
    <row r="51" spans="1:12" ht="13.5">
      <c r="A51" s="1734" t="s">
        <v>656</v>
      </c>
      <c r="B51" s="1734"/>
      <c r="C51" s="1734"/>
      <c r="D51" s="1734"/>
      <c r="E51" s="1734"/>
      <c r="F51" s="1734"/>
      <c r="G51" s="1734"/>
      <c r="H51" s="1734"/>
      <c r="I51" s="1734"/>
      <c r="J51" s="1734"/>
      <c r="K51" s="1734"/>
      <c r="L51" s="1734"/>
    </row>
    <row r="52" spans="1:12" ht="13.5">
      <c r="A52" s="1734" t="s">
        <v>657</v>
      </c>
      <c r="B52" s="1734"/>
      <c r="C52" s="1734"/>
      <c r="D52" s="1734"/>
      <c r="E52" s="1734"/>
      <c r="F52" s="1734"/>
      <c r="G52" s="1734"/>
      <c r="H52" s="1734"/>
      <c r="I52" s="1734"/>
      <c r="J52" s="1734"/>
      <c r="K52" s="1734"/>
      <c r="L52" s="1734"/>
    </row>
    <row r="53" spans="1:12" ht="12.75">
      <c r="A53" s="350"/>
      <c r="B53" s="350"/>
      <c r="C53" s="350"/>
      <c r="D53" s="350"/>
      <c r="E53" s="350"/>
      <c r="F53" s="350"/>
      <c r="G53" s="350"/>
      <c r="H53" s="350"/>
      <c r="I53" s="350"/>
      <c r="J53" s="350"/>
      <c r="K53" s="350"/>
      <c r="L53" s="350"/>
    </row>
    <row r="54" spans="1:12" ht="12.75">
      <c r="A54" s="350"/>
      <c r="B54" s="350"/>
      <c r="C54" s="350"/>
      <c r="D54" s="350"/>
      <c r="E54" s="350"/>
      <c r="F54" s="350"/>
      <c r="G54" s="350"/>
      <c r="H54" s="350"/>
      <c r="I54" s="350"/>
      <c r="J54" s="350"/>
      <c r="K54" s="350"/>
      <c r="L54" s="350"/>
    </row>
    <row r="55" spans="1:12" ht="12.75">
      <c r="A55" s="1735" t="s">
        <v>658</v>
      </c>
      <c r="B55" s="1735"/>
      <c r="C55" s="1735"/>
      <c r="D55" s="1735"/>
      <c r="E55" s="1735"/>
      <c r="F55" s="1735"/>
      <c r="G55" s="1735"/>
      <c r="H55" s="1735"/>
      <c r="I55" s="1735"/>
      <c r="J55" s="1735"/>
      <c r="K55" s="1735"/>
      <c r="L55" s="1735"/>
    </row>
    <row r="56" spans="1:12" ht="12.75">
      <c r="A56" s="350"/>
      <c r="B56" s="350"/>
      <c r="C56" s="350"/>
      <c r="D56" s="350"/>
      <c r="E56" s="350"/>
      <c r="F56" s="350"/>
      <c r="G56" s="350"/>
      <c r="H56" s="350"/>
      <c r="I56" s="350"/>
      <c r="J56" s="350"/>
      <c r="K56" s="350"/>
      <c r="L56" s="350"/>
    </row>
    <row r="57" spans="1:12" ht="12.75">
      <c r="A57" s="1736" t="s">
        <v>659</v>
      </c>
      <c r="B57" s="1736"/>
      <c r="C57" s="1736"/>
      <c r="D57" s="1736"/>
      <c r="E57" s="1736"/>
      <c r="F57" s="1736"/>
      <c r="G57" s="1736"/>
      <c r="H57" s="1736"/>
      <c r="I57" s="1736"/>
      <c r="J57" s="1736"/>
      <c r="K57" s="1736"/>
      <c r="L57" s="1736"/>
    </row>
    <row r="58" spans="1:12" ht="12.75">
      <c r="A58" s="1736"/>
      <c r="B58" s="1736"/>
      <c r="C58" s="1736"/>
      <c r="D58" s="1736"/>
      <c r="E58" s="1736"/>
      <c r="F58" s="1736"/>
      <c r="G58" s="1736"/>
      <c r="H58" s="1736"/>
      <c r="I58" s="1736"/>
      <c r="J58" s="1736"/>
      <c r="K58" s="1736"/>
      <c r="L58" s="1736"/>
    </row>
    <row r="59" spans="1:12" ht="12.75">
      <c r="A59" s="1736"/>
      <c r="B59" s="1736"/>
      <c r="C59" s="1736"/>
      <c r="D59" s="1736"/>
      <c r="E59" s="1736"/>
      <c r="F59" s="1736"/>
      <c r="G59" s="1736"/>
      <c r="H59" s="1736"/>
      <c r="I59" s="1736"/>
      <c r="J59" s="1736"/>
      <c r="K59" s="1736"/>
      <c r="L59" s="1736"/>
    </row>
    <row r="60" spans="1:12" ht="12.75">
      <c r="A60" s="1736"/>
      <c r="B60" s="1736"/>
      <c r="C60" s="1736"/>
      <c r="D60" s="1736"/>
      <c r="E60" s="1736"/>
      <c r="F60" s="1736"/>
      <c r="G60" s="1736"/>
      <c r="H60" s="1736"/>
      <c r="I60" s="1736"/>
      <c r="J60" s="1736"/>
      <c r="K60" s="1736"/>
      <c r="L60" s="1736"/>
    </row>
    <row r="61" spans="1:12" ht="12.75">
      <c r="A61" s="1736"/>
      <c r="B61" s="1736"/>
      <c r="C61" s="1736"/>
      <c r="D61" s="1736"/>
      <c r="E61" s="1736"/>
      <c r="F61" s="1736"/>
      <c r="G61" s="1736"/>
      <c r="H61" s="1736"/>
      <c r="I61" s="1736"/>
      <c r="J61" s="1736"/>
      <c r="K61" s="1736"/>
      <c r="L61" s="1736"/>
    </row>
    <row r="62" spans="1:12" ht="12.75">
      <c r="A62" s="1736"/>
      <c r="B62" s="1736"/>
      <c r="C62" s="1736"/>
      <c r="D62" s="1736"/>
      <c r="E62" s="1736"/>
      <c r="F62" s="1736"/>
      <c r="G62" s="1736"/>
      <c r="H62" s="1736"/>
      <c r="I62" s="1736"/>
      <c r="J62" s="1736"/>
      <c r="K62" s="1736"/>
      <c r="L62" s="1736"/>
    </row>
    <row r="63" spans="1:12" ht="12.75">
      <c r="A63" s="1736"/>
      <c r="B63" s="1736"/>
      <c r="C63" s="1736"/>
      <c r="D63" s="1736"/>
      <c r="E63" s="1736"/>
      <c r="F63" s="1736"/>
      <c r="G63" s="1736"/>
      <c r="H63" s="1736"/>
      <c r="I63" s="1736"/>
      <c r="J63" s="1736"/>
      <c r="K63" s="1736"/>
      <c r="L63" s="1736"/>
    </row>
    <row r="64" spans="1:12" ht="12.75">
      <c r="A64" s="1736"/>
      <c r="B64" s="1736"/>
      <c r="C64" s="1736"/>
      <c r="D64" s="1736"/>
      <c r="E64" s="1736"/>
      <c r="F64" s="1736"/>
      <c r="G64" s="1736"/>
      <c r="H64" s="1736"/>
      <c r="I64" s="1736"/>
      <c r="J64" s="1736"/>
      <c r="K64" s="1736"/>
      <c r="L64" s="1736"/>
    </row>
    <row r="65" spans="1:12" ht="12.75">
      <c r="A65" s="1736"/>
      <c r="B65" s="1736"/>
      <c r="C65" s="1736"/>
      <c r="D65" s="1736"/>
      <c r="E65" s="1736"/>
      <c r="F65" s="1736"/>
      <c r="G65" s="1736"/>
      <c r="H65" s="1736"/>
      <c r="I65" s="1736"/>
      <c r="J65" s="1736"/>
      <c r="K65" s="1736"/>
      <c r="L65" s="1736"/>
    </row>
    <row r="66" spans="1:12" ht="13.5" thickBot="1">
      <c r="A66" s="350"/>
      <c r="B66" s="350"/>
      <c r="C66" s="350"/>
      <c r="D66" s="350"/>
      <c r="E66" s="350"/>
      <c r="F66" s="350"/>
      <c r="G66" s="350"/>
      <c r="H66" s="350"/>
      <c r="I66" s="350"/>
      <c r="J66" s="350"/>
      <c r="K66" s="350"/>
      <c r="L66" s="350"/>
    </row>
    <row r="67" spans="1:12" ht="12.75">
      <c r="A67" s="1720" t="s">
        <v>660</v>
      </c>
      <c r="B67" s="1721"/>
      <c r="C67" s="1721"/>
      <c r="D67" s="1721"/>
      <c r="E67" s="1721"/>
      <c r="F67" s="1721"/>
      <c r="G67" s="1721"/>
      <c r="H67" s="1721"/>
      <c r="I67" s="1721"/>
      <c r="J67" s="1721"/>
      <c r="K67" s="1721"/>
      <c r="L67" s="1722"/>
    </row>
    <row r="68" spans="1:12" ht="12.75">
      <c r="A68" s="1723"/>
      <c r="B68" s="1724"/>
      <c r="C68" s="1724"/>
      <c r="D68" s="1724"/>
      <c r="E68" s="1724"/>
      <c r="F68" s="1724"/>
      <c r="G68" s="1724"/>
      <c r="H68" s="1724"/>
      <c r="I68" s="1724"/>
      <c r="J68" s="1724"/>
      <c r="K68" s="1724"/>
      <c r="L68" s="1725"/>
    </row>
    <row r="69" spans="1:12" ht="12.75">
      <c r="A69" s="1723"/>
      <c r="B69" s="1724"/>
      <c r="C69" s="1724"/>
      <c r="D69" s="1724"/>
      <c r="E69" s="1724"/>
      <c r="F69" s="1724"/>
      <c r="G69" s="1724"/>
      <c r="H69" s="1724"/>
      <c r="I69" s="1724"/>
      <c r="J69" s="1724"/>
      <c r="K69" s="1724"/>
      <c r="L69" s="1725"/>
    </row>
    <row r="70" spans="1:12" ht="12.75">
      <c r="A70" s="1723"/>
      <c r="B70" s="1724"/>
      <c r="C70" s="1724"/>
      <c r="D70" s="1724"/>
      <c r="E70" s="1724"/>
      <c r="F70" s="1724"/>
      <c r="G70" s="1724"/>
      <c r="H70" s="1724"/>
      <c r="I70" s="1724"/>
      <c r="J70" s="1724"/>
      <c r="K70" s="1724"/>
      <c r="L70" s="1725"/>
    </row>
    <row r="71" spans="1:12" ht="12.75">
      <c r="A71" s="1726" t="s">
        <v>661</v>
      </c>
      <c r="B71" s="1727"/>
      <c r="C71" s="1727"/>
      <c r="D71" s="1727"/>
      <c r="E71" s="1727"/>
      <c r="F71" s="1727"/>
      <c r="G71" s="1727"/>
      <c r="H71" s="1727"/>
      <c r="I71" s="1727"/>
      <c r="J71" s="1727"/>
      <c r="K71" s="1727"/>
      <c r="L71" s="1728"/>
    </row>
    <row r="72" spans="1:12" ht="19.5" customHeight="1">
      <c r="A72" s="1729" t="s">
        <v>592</v>
      </c>
      <c r="B72" s="1730"/>
      <c r="C72" s="1731"/>
      <c r="D72" s="1732" t="s">
        <v>593</v>
      </c>
      <c r="E72" s="1730"/>
      <c r="F72" s="1731"/>
      <c r="G72" s="1732" t="s">
        <v>594</v>
      </c>
      <c r="H72" s="1730"/>
      <c r="I72" s="1731"/>
      <c r="J72" s="1732" t="s">
        <v>595</v>
      </c>
      <c r="K72" s="1730"/>
      <c r="L72" s="1733"/>
    </row>
    <row r="73" spans="1:12" ht="12.75" customHeight="1">
      <c r="A73" s="1579" t="s">
        <v>662</v>
      </c>
      <c r="B73" s="1580"/>
      <c r="C73" s="1581"/>
      <c r="D73" s="1588" t="s">
        <v>663</v>
      </c>
      <c r="E73" s="1580"/>
      <c r="F73" s="1581"/>
      <c r="G73" s="1588" t="s">
        <v>664</v>
      </c>
      <c r="H73" s="1580"/>
      <c r="I73" s="1581"/>
      <c r="J73" s="1588" t="s">
        <v>665</v>
      </c>
      <c r="K73" s="1580"/>
      <c r="L73" s="1591"/>
    </row>
    <row r="74" spans="1:12" ht="12.75" customHeight="1">
      <c r="A74" s="1582"/>
      <c r="B74" s="1583"/>
      <c r="C74" s="1584"/>
      <c r="D74" s="1589"/>
      <c r="E74" s="1583"/>
      <c r="F74" s="1584"/>
      <c r="G74" s="1589"/>
      <c r="H74" s="1583"/>
      <c r="I74" s="1584"/>
      <c r="J74" s="1589"/>
      <c r="K74" s="1583"/>
      <c r="L74" s="1592"/>
    </row>
    <row r="75" spans="1:12" ht="12.75" customHeight="1">
      <c r="A75" s="1582"/>
      <c r="B75" s="1583"/>
      <c r="C75" s="1584"/>
      <c r="D75" s="1589"/>
      <c r="E75" s="1583"/>
      <c r="F75" s="1584"/>
      <c r="G75" s="1589"/>
      <c r="H75" s="1583"/>
      <c r="I75" s="1584"/>
      <c r="J75" s="1589"/>
      <c r="K75" s="1583"/>
      <c r="L75" s="1592"/>
    </row>
    <row r="76" spans="1:12" ht="12.75" customHeight="1">
      <c r="A76" s="1582"/>
      <c r="B76" s="1583"/>
      <c r="C76" s="1584"/>
      <c r="D76" s="1589"/>
      <c r="E76" s="1583"/>
      <c r="F76" s="1584"/>
      <c r="G76" s="1589"/>
      <c r="H76" s="1583"/>
      <c r="I76" s="1584"/>
      <c r="J76" s="1589"/>
      <c r="K76" s="1583"/>
      <c r="L76" s="1592"/>
    </row>
    <row r="77" spans="1:12" ht="12.75" customHeight="1">
      <c r="A77" s="1582"/>
      <c r="B77" s="1583"/>
      <c r="C77" s="1584"/>
      <c r="D77" s="1589"/>
      <c r="E77" s="1583"/>
      <c r="F77" s="1584"/>
      <c r="G77" s="1589"/>
      <c r="H77" s="1583"/>
      <c r="I77" s="1584"/>
      <c r="J77" s="1589"/>
      <c r="K77" s="1583"/>
      <c r="L77" s="1592"/>
    </row>
    <row r="78" spans="1:12" ht="12.75" customHeight="1">
      <c r="A78" s="1582"/>
      <c r="B78" s="1583"/>
      <c r="C78" s="1584"/>
      <c r="D78" s="1589"/>
      <c r="E78" s="1583"/>
      <c r="F78" s="1584"/>
      <c r="G78" s="1589"/>
      <c r="H78" s="1583"/>
      <c r="I78" s="1584"/>
      <c r="J78" s="1589"/>
      <c r="K78" s="1583"/>
      <c r="L78" s="1592"/>
    </row>
    <row r="79" spans="1:12" ht="12.75" customHeight="1" thickBot="1">
      <c r="A79" s="1585"/>
      <c r="B79" s="1586"/>
      <c r="C79" s="1587"/>
      <c r="D79" s="1590"/>
      <c r="E79" s="1586"/>
      <c r="F79" s="1587"/>
      <c r="G79" s="1590"/>
      <c r="H79" s="1586"/>
      <c r="I79" s="1587"/>
      <c r="J79" s="1590"/>
      <c r="K79" s="1586"/>
      <c r="L79" s="1593"/>
    </row>
    <row r="80" spans="1:12" ht="13.5" thickBot="1">
      <c r="A80" s="1689"/>
      <c r="B80" s="1689"/>
      <c r="C80" s="1689"/>
      <c r="D80" s="1689"/>
      <c r="E80" s="1689"/>
      <c r="F80" s="1689"/>
      <c r="G80" s="1689"/>
      <c r="H80" s="1689"/>
      <c r="I80" s="1689"/>
      <c r="J80" s="1689"/>
      <c r="K80" s="1689"/>
      <c r="L80" s="1689"/>
    </row>
    <row r="81" spans="1:12" ht="12.75">
      <c r="A81" s="1564" t="s">
        <v>666</v>
      </c>
      <c r="B81" s="1565"/>
      <c r="C81" s="1565"/>
      <c r="D81" s="1565"/>
      <c r="E81" s="1565"/>
      <c r="F81" s="1565"/>
      <c r="G81" s="1565"/>
      <c r="H81" s="1565"/>
      <c r="I81" s="1565"/>
      <c r="J81" s="1565"/>
      <c r="K81" s="1565"/>
      <c r="L81" s="1566"/>
    </row>
    <row r="82" spans="1:12" ht="12.75">
      <c r="A82" s="1567"/>
      <c r="B82" s="1568"/>
      <c r="C82" s="1568"/>
      <c r="D82" s="1568"/>
      <c r="E82" s="1568"/>
      <c r="F82" s="1568"/>
      <c r="G82" s="1568"/>
      <c r="H82" s="1568"/>
      <c r="I82" s="1568"/>
      <c r="J82" s="1568"/>
      <c r="K82" s="1568"/>
      <c r="L82" s="1569"/>
    </row>
    <row r="83" spans="1:12" ht="12.75">
      <c r="A83" s="1567"/>
      <c r="B83" s="1568"/>
      <c r="C83" s="1568"/>
      <c r="D83" s="1568"/>
      <c r="E83" s="1568"/>
      <c r="F83" s="1568"/>
      <c r="G83" s="1568"/>
      <c r="H83" s="1568"/>
      <c r="I83" s="1568"/>
      <c r="J83" s="1568"/>
      <c r="K83" s="1568"/>
      <c r="L83" s="1569"/>
    </row>
    <row r="84" spans="1:12" ht="12.75">
      <c r="A84" s="1567"/>
      <c r="B84" s="1568"/>
      <c r="C84" s="1568"/>
      <c r="D84" s="1568"/>
      <c r="E84" s="1568"/>
      <c r="F84" s="1568"/>
      <c r="G84" s="1568"/>
      <c r="H84" s="1568"/>
      <c r="I84" s="1568"/>
      <c r="J84" s="1568"/>
      <c r="K84" s="1568"/>
      <c r="L84" s="1569"/>
    </row>
    <row r="85" spans="1:12" ht="12.75">
      <c r="A85" s="1567"/>
      <c r="B85" s="1568"/>
      <c r="C85" s="1568"/>
      <c r="D85" s="1568"/>
      <c r="E85" s="1568"/>
      <c r="F85" s="1568"/>
      <c r="G85" s="1568"/>
      <c r="H85" s="1568"/>
      <c r="I85" s="1568"/>
      <c r="J85" s="1568"/>
      <c r="K85" s="1568"/>
      <c r="L85" s="1569"/>
    </row>
    <row r="86" spans="1:12" ht="12.75">
      <c r="A86" s="1717" t="s">
        <v>667</v>
      </c>
      <c r="B86" s="1718"/>
      <c r="C86" s="1718"/>
      <c r="D86" s="1718"/>
      <c r="E86" s="1718"/>
      <c r="F86" s="1718"/>
      <c r="G86" s="1718"/>
      <c r="H86" s="1718"/>
      <c r="I86" s="1718"/>
      <c r="J86" s="1718"/>
      <c r="K86" s="1718"/>
      <c r="L86" s="1719"/>
    </row>
    <row r="87" spans="1:12" s="466" customFormat="1" ht="24" customHeight="1">
      <c r="A87" s="1594" t="s">
        <v>592</v>
      </c>
      <c r="B87" s="1595"/>
      <c r="C87" s="1596"/>
      <c r="D87" s="1597" t="s">
        <v>593</v>
      </c>
      <c r="E87" s="1595"/>
      <c r="F87" s="1596"/>
      <c r="G87" s="1597" t="s">
        <v>594</v>
      </c>
      <c r="H87" s="1595"/>
      <c r="I87" s="1596"/>
      <c r="J87" s="1597" t="s">
        <v>595</v>
      </c>
      <c r="K87" s="1595"/>
      <c r="L87" s="1598"/>
    </row>
    <row r="88" spans="1:12" ht="12.75">
      <c r="A88" s="1709" t="s">
        <v>668</v>
      </c>
      <c r="B88" s="1710"/>
      <c r="C88" s="1614"/>
      <c r="D88" s="1695" t="s">
        <v>669</v>
      </c>
      <c r="E88" s="1710"/>
      <c r="F88" s="1614"/>
      <c r="G88" s="1695" t="s">
        <v>670</v>
      </c>
      <c r="H88" s="1710"/>
      <c r="I88" s="1614"/>
      <c r="J88" s="1695" t="s">
        <v>671</v>
      </c>
      <c r="K88" s="1710"/>
      <c r="L88" s="1715"/>
    </row>
    <row r="89" spans="1:12" ht="12.75">
      <c r="A89" s="1711"/>
      <c r="B89" s="1712"/>
      <c r="C89" s="1713"/>
      <c r="D89" s="1714"/>
      <c r="E89" s="1712"/>
      <c r="F89" s="1713"/>
      <c r="G89" s="1714"/>
      <c r="H89" s="1712"/>
      <c r="I89" s="1713"/>
      <c r="J89" s="1714"/>
      <c r="K89" s="1712"/>
      <c r="L89" s="1716"/>
    </row>
    <row r="90" spans="1:12" ht="12.75">
      <c r="A90" s="1579" t="s">
        <v>672</v>
      </c>
      <c r="B90" s="1580"/>
      <c r="C90" s="1581"/>
      <c r="D90" s="1695" t="s">
        <v>673</v>
      </c>
      <c r="E90" s="1696"/>
      <c r="F90" s="1697"/>
      <c r="G90" s="1588" t="s">
        <v>674</v>
      </c>
      <c r="H90" s="1580"/>
      <c r="I90" s="1581"/>
      <c r="J90" s="1676" t="s">
        <v>675</v>
      </c>
      <c r="K90" s="1668"/>
      <c r="L90" s="1704"/>
    </row>
    <row r="91" spans="1:12" ht="12.75">
      <c r="A91" s="1582"/>
      <c r="B91" s="1583"/>
      <c r="C91" s="1584"/>
      <c r="D91" s="1698"/>
      <c r="E91" s="1699"/>
      <c r="F91" s="1700"/>
      <c r="G91" s="1589"/>
      <c r="H91" s="1583"/>
      <c r="I91" s="1584"/>
      <c r="J91" s="1677"/>
      <c r="K91" s="1671"/>
      <c r="L91" s="1705"/>
    </row>
    <row r="92" spans="1:12" ht="12.75">
      <c r="A92" s="1582"/>
      <c r="B92" s="1583"/>
      <c r="C92" s="1584"/>
      <c r="D92" s="1698"/>
      <c r="E92" s="1699"/>
      <c r="F92" s="1700"/>
      <c r="G92" s="1589"/>
      <c r="H92" s="1583"/>
      <c r="I92" s="1584"/>
      <c r="J92" s="1677"/>
      <c r="K92" s="1671"/>
      <c r="L92" s="1705"/>
    </row>
    <row r="93" spans="1:12" ht="12.75">
      <c r="A93" s="1582"/>
      <c r="B93" s="1583"/>
      <c r="C93" s="1584"/>
      <c r="D93" s="1698"/>
      <c r="E93" s="1699"/>
      <c r="F93" s="1700"/>
      <c r="G93" s="1589"/>
      <c r="H93" s="1583"/>
      <c r="I93" s="1584"/>
      <c r="J93" s="1677"/>
      <c r="K93" s="1671"/>
      <c r="L93" s="1705"/>
    </row>
    <row r="94" spans="1:12" ht="13.5" thickBot="1">
      <c r="A94" s="1585"/>
      <c r="B94" s="1586"/>
      <c r="C94" s="1587"/>
      <c r="D94" s="1701"/>
      <c r="E94" s="1702"/>
      <c r="F94" s="1703"/>
      <c r="G94" s="1590"/>
      <c r="H94" s="1586"/>
      <c r="I94" s="1587"/>
      <c r="J94" s="1706"/>
      <c r="K94" s="1707"/>
      <c r="L94" s="1708"/>
    </row>
    <row r="95" spans="1:12" ht="13.5" thickBot="1">
      <c r="A95" s="1689"/>
      <c r="B95" s="1689"/>
      <c r="C95" s="1689"/>
      <c r="D95" s="1689"/>
      <c r="E95" s="1689"/>
      <c r="F95" s="1689"/>
      <c r="G95" s="1689"/>
      <c r="H95" s="1689"/>
      <c r="I95" s="1689"/>
      <c r="J95" s="1689"/>
      <c r="K95" s="1689"/>
      <c r="L95" s="1689"/>
    </row>
    <row r="96" spans="1:12" ht="12.75">
      <c r="A96" s="1564" t="s">
        <v>676</v>
      </c>
      <c r="B96" s="1690"/>
      <c r="C96" s="1690"/>
      <c r="D96" s="1690"/>
      <c r="E96" s="1690"/>
      <c r="F96" s="1690"/>
      <c r="G96" s="1690"/>
      <c r="H96" s="1690"/>
      <c r="I96" s="1690"/>
      <c r="J96" s="1690"/>
      <c r="K96" s="1690"/>
      <c r="L96" s="1691"/>
    </row>
    <row r="97" spans="1:12" ht="12.75">
      <c r="A97" s="1692"/>
      <c r="B97" s="1693"/>
      <c r="C97" s="1693"/>
      <c r="D97" s="1693"/>
      <c r="E97" s="1693"/>
      <c r="F97" s="1693"/>
      <c r="G97" s="1693"/>
      <c r="H97" s="1693"/>
      <c r="I97" s="1693"/>
      <c r="J97" s="1693"/>
      <c r="K97" s="1693"/>
      <c r="L97" s="1694"/>
    </row>
    <row r="98" spans="1:12" ht="12.75">
      <c r="A98" s="1692"/>
      <c r="B98" s="1693"/>
      <c r="C98" s="1693"/>
      <c r="D98" s="1693"/>
      <c r="E98" s="1693"/>
      <c r="F98" s="1693"/>
      <c r="G98" s="1693"/>
      <c r="H98" s="1693"/>
      <c r="I98" s="1693"/>
      <c r="J98" s="1693"/>
      <c r="K98" s="1693"/>
      <c r="L98" s="1694"/>
    </row>
    <row r="99" spans="1:12" ht="12.75">
      <c r="A99" s="1692" t="s">
        <v>677</v>
      </c>
      <c r="B99" s="1693"/>
      <c r="C99" s="1693"/>
      <c r="D99" s="1693"/>
      <c r="E99" s="1693"/>
      <c r="F99" s="1693"/>
      <c r="G99" s="1693"/>
      <c r="H99" s="1693"/>
      <c r="I99" s="1693"/>
      <c r="J99" s="1693"/>
      <c r="K99" s="1693"/>
      <c r="L99" s="1694"/>
    </row>
    <row r="100" spans="1:12" ht="12.75">
      <c r="A100" s="1692"/>
      <c r="B100" s="1693"/>
      <c r="C100" s="1693"/>
      <c r="D100" s="1693"/>
      <c r="E100" s="1693"/>
      <c r="F100" s="1693"/>
      <c r="G100" s="1693"/>
      <c r="H100" s="1693"/>
      <c r="I100" s="1693"/>
      <c r="J100" s="1693"/>
      <c r="K100" s="1693"/>
      <c r="L100" s="1694"/>
    </row>
    <row r="101" spans="1:12" ht="12.75">
      <c r="A101" s="1692"/>
      <c r="B101" s="1693"/>
      <c r="C101" s="1693"/>
      <c r="D101" s="1693"/>
      <c r="E101" s="1693"/>
      <c r="F101" s="1693"/>
      <c r="G101" s="1693"/>
      <c r="H101" s="1693"/>
      <c r="I101" s="1693"/>
      <c r="J101" s="1693"/>
      <c r="K101" s="1693"/>
      <c r="L101" s="1694"/>
    </row>
    <row r="102" spans="1:12" ht="12.75">
      <c r="A102" s="1692"/>
      <c r="B102" s="1693"/>
      <c r="C102" s="1693"/>
      <c r="D102" s="1693"/>
      <c r="E102" s="1693"/>
      <c r="F102" s="1693"/>
      <c r="G102" s="1693"/>
      <c r="H102" s="1693"/>
      <c r="I102" s="1693"/>
      <c r="J102" s="1693"/>
      <c r="K102" s="1693"/>
      <c r="L102" s="1694"/>
    </row>
    <row r="103" spans="1:12" ht="12.75">
      <c r="A103" s="1604" t="s">
        <v>678</v>
      </c>
      <c r="B103" s="1605"/>
      <c r="C103" s="1605"/>
      <c r="D103" s="1605"/>
      <c r="E103" s="1605"/>
      <c r="F103" s="1605"/>
      <c r="G103" s="1605"/>
      <c r="H103" s="1605"/>
      <c r="I103" s="1605"/>
      <c r="J103" s="1605"/>
      <c r="K103" s="1605"/>
      <c r="L103" s="1606"/>
    </row>
    <row r="104" spans="1:12" ht="24.75" customHeight="1">
      <c r="A104" s="1594" t="s">
        <v>592</v>
      </c>
      <c r="B104" s="1595"/>
      <c r="C104" s="1596"/>
      <c r="D104" s="1597" t="s">
        <v>593</v>
      </c>
      <c r="E104" s="1595"/>
      <c r="F104" s="1596"/>
      <c r="G104" s="1597" t="s">
        <v>594</v>
      </c>
      <c r="H104" s="1595"/>
      <c r="I104" s="1596"/>
      <c r="J104" s="1597" t="s">
        <v>595</v>
      </c>
      <c r="K104" s="1595"/>
      <c r="L104" s="1598"/>
    </row>
    <row r="105" spans="1:12" ht="12.75">
      <c r="A105" s="1579" t="s">
        <v>679</v>
      </c>
      <c r="B105" s="1580"/>
      <c r="C105" s="1581"/>
      <c r="D105" s="1588" t="s">
        <v>606</v>
      </c>
      <c r="E105" s="1580"/>
      <c r="F105" s="1581"/>
      <c r="G105" s="1588" t="s">
        <v>680</v>
      </c>
      <c r="H105" s="1580"/>
      <c r="I105" s="1581"/>
      <c r="J105" s="1588" t="s">
        <v>681</v>
      </c>
      <c r="K105" s="1580"/>
      <c r="L105" s="1591"/>
    </row>
    <row r="106" spans="1:12" ht="12.75">
      <c r="A106" s="1687"/>
      <c r="B106" s="1680"/>
      <c r="C106" s="1688"/>
      <c r="D106" s="1679"/>
      <c r="E106" s="1680"/>
      <c r="F106" s="1688"/>
      <c r="G106" s="1679"/>
      <c r="H106" s="1680"/>
      <c r="I106" s="1688"/>
      <c r="J106" s="1679"/>
      <c r="K106" s="1680"/>
      <c r="L106" s="1681"/>
    </row>
    <row r="107" spans="1:12" ht="12.75">
      <c r="A107" s="1682"/>
      <c r="B107" s="1683"/>
      <c r="C107" s="1683"/>
      <c r="D107" s="1683"/>
      <c r="E107" s="1683"/>
      <c r="F107" s="1683"/>
      <c r="G107" s="1683"/>
      <c r="H107" s="1683"/>
      <c r="I107" s="1683"/>
      <c r="J107" s="1683"/>
      <c r="K107" s="1683"/>
      <c r="L107" s="1684"/>
    </row>
    <row r="108" spans="1:12" ht="12.75">
      <c r="A108" s="1685" t="s">
        <v>682</v>
      </c>
      <c r="B108" s="1605"/>
      <c r="C108" s="1605"/>
      <c r="D108" s="1605"/>
      <c r="E108" s="1605"/>
      <c r="F108" s="1605"/>
      <c r="G108" s="1605"/>
      <c r="H108" s="1605"/>
      <c r="I108" s="1605"/>
      <c r="J108" s="1605"/>
      <c r="K108" s="1605"/>
      <c r="L108" s="1686"/>
    </row>
    <row r="109" spans="1:12" ht="24.75" customHeight="1">
      <c r="A109" s="1594" t="s">
        <v>592</v>
      </c>
      <c r="B109" s="1595"/>
      <c r="C109" s="1596"/>
      <c r="D109" s="1597" t="s">
        <v>593</v>
      </c>
      <c r="E109" s="1595"/>
      <c r="F109" s="1596"/>
      <c r="G109" s="1597" t="s">
        <v>594</v>
      </c>
      <c r="H109" s="1595"/>
      <c r="I109" s="1596"/>
      <c r="J109" s="1597" t="s">
        <v>595</v>
      </c>
      <c r="K109" s="1595"/>
      <c r="L109" s="1598"/>
    </row>
    <row r="110" spans="1:12" ht="12.75">
      <c r="A110" s="1667" t="s">
        <v>609</v>
      </c>
      <c r="B110" s="1668"/>
      <c r="C110" s="1669"/>
      <c r="D110" s="1676" t="s">
        <v>610</v>
      </c>
      <c r="E110" s="1668"/>
      <c r="F110" s="1669"/>
      <c r="G110" s="1676" t="s">
        <v>611</v>
      </c>
      <c r="H110" s="1668"/>
      <c r="I110" s="1669"/>
      <c r="J110" s="1588" t="s">
        <v>622</v>
      </c>
      <c r="K110" s="1580"/>
      <c r="L110" s="1591"/>
    </row>
    <row r="111" spans="1:12" ht="12.75">
      <c r="A111" s="1670"/>
      <c r="B111" s="1671"/>
      <c r="C111" s="1672"/>
      <c r="D111" s="1677"/>
      <c r="E111" s="1671"/>
      <c r="F111" s="1672"/>
      <c r="G111" s="1677"/>
      <c r="H111" s="1671"/>
      <c r="I111" s="1672"/>
      <c r="J111" s="1589"/>
      <c r="K111" s="1583"/>
      <c r="L111" s="1592"/>
    </row>
    <row r="112" spans="1:12" ht="12.75">
      <c r="A112" s="1673"/>
      <c r="B112" s="1674"/>
      <c r="C112" s="1675"/>
      <c r="D112" s="1678"/>
      <c r="E112" s="1674"/>
      <c r="F112" s="1675"/>
      <c r="G112" s="1678"/>
      <c r="H112" s="1674"/>
      <c r="I112" s="1675"/>
      <c r="J112" s="1679"/>
      <c r="K112" s="1680"/>
      <c r="L112" s="1681"/>
    </row>
    <row r="113" spans="1:12" ht="12.75">
      <c r="A113" s="1656"/>
      <c r="B113" s="1657"/>
      <c r="C113" s="1657"/>
      <c r="D113" s="1657"/>
      <c r="E113" s="1657"/>
      <c r="F113" s="1657"/>
      <c r="G113" s="1657"/>
      <c r="H113" s="1657"/>
      <c r="I113" s="1657"/>
      <c r="J113" s="1657"/>
      <c r="K113" s="1657"/>
      <c r="L113" s="1658"/>
    </row>
    <row r="114" spans="1:12" ht="12.75">
      <c r="A114" s="1604" t="s">
        <v>683</v>
      </c>
      <c r="B114" s="1605"/>
      <c r="C114" s="1605"/>
      <c r="D114" s="1605"/>
      <c r="E114" s="1605"/>
      <c r="F114" s="1605"/>
      <c r="G114" s="1605"/>
      <c r="H114" s="1605"/>
      <c r="I114" s="1605"/>
      <c r="J114" s="1605"/>
      <c r="K114" s="1605"/>
      <c r="L114" s="1606"/>
    </row>
    <row r="115" spans="1:12" ht="13.5" customHeight="1">
      <c r="A115" s="1659" t="s">
        <v>684</v>
      </c>
      <c r="B115" s="1660"/>
      <c r="C115" s="1660"/>
      <c r="D115" s="1660"/>
      <c r="E115" s="1660"/>
      <c r="F115" s="1661"/>
      <c r="G115" s="1624" t="s">
        <v>685</v>
      </c>
      <c r="H115" s="1665"/>
      <c r="I115" s="1665"/>
      <c r="J115" s="1665"/>
      <c r="K115" s="1665"/>
      <c r="L115" s="1666"/>
    </row>
    <row r="116" spans="1:12" ht="13.5" customHeight="1">
      <c r="A116" s="1662"/>
      <c r="B116" s="1663"/>
      <c r="C116" s="1663"/>
      <c r="D116" s="1663"/>
      <c r="E116" s="1663"/>
      <c r="F116" s="1664"/>
      <c r="G116" s="1624" t="s">
        <v>686</v>
      </c>
      <c r="H116" s="1625"/>
      <c r="I116" s="1624" t="s">
        <v>687</v>
      </c>
      <c r="J116" s="1625"/>
      <c r="K116" s="1624" t="s">
        <v>688</v>
      </c>
      <c r="L116" s="1666"/>
    </row>
    <row r="117" spans="1:12" s="467" customFormat="1" ht="13.5" customHeight="1">
      <c r="A117" s="1650" t="s">
        <v>689</v>
      </c>
      <c r="B117" s="1651"/>
      <c r="C117" s="1652"/>
      <c r="D117" s="1643" t="s">
        <v>690</v>
      </c>
      <c r="E117" s="1644"/>
      <c r="F117" s="1645"/>
      <c r="G117" s="1646" t="s">
        <v>691</v>
      </c>
      <c r="H117" s="1647"/>
      <c r="I117" s="1616" t="s">
        <v>692</v>
      </c>
      <c r="J117" s="1635"/>
      <c r="K117" s="1616" t="s">
        <v>693</v>
      </c>
      <c r="L117" s="1617"/>
    </row>
    <row r="118" spans="1:12" s="467" customFormat="1" ht="13.5" customHeight="1">
      <c r="A118" s="1653"/>
      <c r="B118" s="1654"/>
      <c r="C118" s="1655"/>
      <c r="D118" s="1643" t="s">
        <v>694</v>
      </c>
      <c r="E118" s="1644"/>
      <c r="F118" s="1645"/>
      <c r="G118" s="1646" t="s">
        <v>695</v>
      </c>
      <c r="H118" s="1647"/>
      <c r="I118" s="1648" t="s">
        <v>693</v>
      </c>
      <c r="J118" s="1649"/>
      <c r="K118" s="1636" t="s">
        <v>696</v>
      </c>
      <c r="L118" s="1637"/>
    </row>
    <row r="119" spans="1:12" s="467" customFormat="1" ht="12.75">
      <c r="A119" s="1607" t="s">
        <v>78</v>
      </c>
      <c r="B119" s="1608"/>
      <c r="C119" s="1609"/>
      <c r="D119" s="1621" t="s">
        <v>509</v>
      </c>
      <c r="E119" s="1622"/>
      <c r="F119" s="1623"/>
      <c r="G119" s="1624" t="s">
        <v>697</v>
      </c>
      <c r="H119" s="1625"/>
      <c r="I119" s="1616" t="s">
        <v>698</v>
      </c>
      <c r="J119" s="1635"/>
      <c r="K119" s="1636" t="s">
        <v>696</v>
      </c>
      <c r="L119" s="1637"/>
    </row>
    <row r="120" spans="1:12" s="467" customFormat="1" ht="12.75">
      <c r="A120" s="1640"/>
      <c r="B120" s="1641"/>
      <c r="C120" s="1642"/>
      <c r="D120" s="1621" t="s">
        <v>694</v>
      </c>
      <c r="E120" s="1622"/>
      <c r="F120" s="1623"/>
      <c r="G120" s="1624" t="s">
        <v>699</v>
      </c>
      <c r="H120" s="1625"/>
      <c r="I120" s="1638" t="s">
        <v>700</v>
      </c>
      <c r="J120" s="1639"/>
      <c r="K120" s="1636" t="s">
        <v>696</v>
      </c>
      <c r="L120" s="1637"/>
    </row>
    <row r="121" spans="1:12" s="467" customFormat="1" ht="12.75">
      <c r="A121" s="1629" t="s">
        <v>44</v>
      </c>
      <c r="B121" s="1630"/>
      <c r="C121" s="1631"/>
      <c r="D121" s="1632" t="s">
        <v>509</v>
      </c>
      <c r="E121" s="1633"/>
      <c r="F121" s="1634"/>
      <c r="G121" s="1624" t="s">
        <v>701</v>
      </c>
      <c r="H121" s="1625"/>
      <c r="I121" s="1616" t="s">
        <v>692</v>
      </c>
      <c r="J121" s="1635"/>
      <c r="K121" s="1616" t="s">
        <v>693</v>
      </c>
      <c r="L121" s="1617"/>
    </row>
    <row r="122" spans="1:12" ht="12.75">
      <c r="A122" s="1618" t="s">
        <v>702</v>
      </c>
      <c r="B122" s="1619"/>
      <c r="C122" s="1620"/>
      <c r="D122" s="1621" t="s">
        <v>703</v>
      </c>
      <c r="E122" s="1622"/>
      <c r="F122" s="1623"/>
      <c r="G122" s="1624" t="s">
        <v>704</v>
      </c>
      <c r="H122" s="1625"/>
      <c r="I122" s="1626" t="s">
        <v>693</v>
      </c>
      <c r="J122" s="1627"/>
      <c r="K122" s="1626" t="s">
        <v>696</v>
      </c>
      <c r="L122" s="1628"/>
    </row>
    <row r="123" spans="1:12" ht="12.75">
      <c r="A123" s="1607" t="s">
        <v>43</v>
      </c>
      <c r="B123" s="1608"/>
      <c r="C123" s="1609"/>
      <c r="D123" s="1610" t="s">
        <v>705</v>
      </c>
      <c r="E123" s="1611"/>
      <c r="F123" s="1612"/>
      <c r="G123" s="1613" t="s">
        <v>691</v>
      </c>
      <c r="H123" s="1614"/>
      <c r="I123" s="1599" t="s">
        <v>692</v>
      </c>
      <c r="J123" s="1615"/>
      <c r="K123" s="1599" t="s">
        <v>693</v>
      </c>
      <c r="L123" s="1600"/>
    </row>
    <row r="124" spans="1:12" ht="13.5" thickBot="1">
      <c r="A124" s="1601" t="s">
        <v>706</v>
      </c>
      <c r="B124" s="1602"/>
      <c r="C124" s="1602"/>
      <c r="D124" s="1602"/>
      <c r="E124" s="1602"/>
      <c r="F124" s="1602"/>
      <c r="G124" s="1602"/>
      <c r="H124" s="1602"/>
      <c r="I124" s="1602"/>
      <c r="J124" s="1602"/>
      <c r="K124" s="1602"/>
      <c r="L124" s="1603"/>
    </row>
    <row r="125" spans="1:12" ht="13.5" thickBot="1">
      <c r="A125" s="350"/>
      <c r="B125" s="350"/>
      <c r="C125" s="350"/>
      <c r="D125" s="350"/>
      <c r="E125" s="350"/>
      <c r="F125" s="350"/>
      <c r="G125" s="625"/>
      <c r="H125" s="625"/>
      <c r="I125" s="625"/>
      <c r="J125" s="625"/>
      <c r="K125" s="625"/>
      <c r="L125" s="625"/>
    </row>
    <row r="126" spans="1:12" ht="12.75">
      <c r="A126" s="1564" t="s">
        <v>707</v>
      </c>
      <c r="B126" s="1565"/>
      <c r="C126" s="1565"/>
      <c r="D126" s="1565"/>
      <c r="E126" s="1565"/>
      <c r="F126" s="1565"/>
      <c r="G126" s="1565"/>
      <c r="H126" s="1565"/>
      <c r="I126" s="1565"/>
      <c r="J126" s="1565"/>
      <c r="K126" s="1565"/>
      <c r="L126" s="1566"/>
    </row>
    <row r="127" spans="1:12" ht="12.75">
      <c r="A127" s="1570"/>
      <c r="B127" s="1571"/>
      <c r="C127" s="1571"/>
      <c r="D127" s="1571"/>
      <c r="E127" s="1571"/>
      <c r="F127" s="1571"/>
      <c r="G127" s="1571"/>
      <c r="H127" s="1571"/>
      <c r="I127" s="1571"/>
      <c r="J127" s="1571"/>
      <c r="K127" s="1571"/>
      <c r="L127" s="1572"/>
    </row>
    <row r="128" spans="1:12" ht="12.75">
      <c r="A128" s="1604" t="s">
        <v>708</v>
      </c>
      <c r="B128" s="1605"/>
      <c r="C128" s="1605"/>
      <c r="D128" s="1605"/>
      <c r="E128" s="1605"/>
      <c r="F128" s="1605"/>
      <c r="G128" s="1605"/>
      <c r="H128" s="1605"/>
      <c r="I128" s="1605"/>
      <c r="J128" s="1605"/>
      <c r="K128" s="1605"/>
      <c r="L128" s="1606"/>
    </row>
    <row r="129" spans="1:12" ht="24.75" customHeight="1">
      <c r="A129" s="1594" t="s">
        <v>592</v>
      </c>
      <c r="B129" s="1595"/>
      <c r="C129" s="1596"/>
      <c r="D129" s="1597" t="s">
        <v>593</v>
      </c>
      <c r="E129" s="1595"/>
      <c r="F129" s="1596"/>
      <c r="G129" s="1597" t="s">
        <v>594</v>
      </c>
      <c r="H129" s="1595"/>
      <c r="I129" s="1596"/>
      <c r="J129" s="1597" t="s">
        <v>595</v>
      </c>
      <c r="K129" s="1595"/>
      <c r="L129" s="1598"/>
    </row>
    <row r="130" spans="1:12" ht="12.75">
      <c r="A130" s="1579" t="s">
        <v>709</v>
      </c>
      <c r="B130" s="1580"/>
      <c r="C130" s="1581"/>
      <c r="D130" s="1588" t="s">
        <v>624</v>
      </c>
      <c r="E130" s="1580"/>
      <c r="F130" s="1581"/>
      <c r="G130" s="1588" t="s">
        <v>625</v>
      </c>
      <c r="H130" s="1580"/>
      <c r="I130" s="1581"/>
      <c r="J130" s="1588" t="s">
        <v>626</v>
      </c>
      <c r="K130" s="1580"/>
      <c r="L130" s="1591"/>
    </row>
    <row r="131" spans="1:12" ht="12.75">
      <c r="A131" s="1582"/>
      <c r="B131" s="1583"/>
      <c r="C131" s="1584"/>
      <c r="D131" s="1589"/>
      <c r="E131" s="1583"/>
      <c r="F131" s="1584"/>
      <c r="G131" s="1589"/>
      <c r="H131" s="1583"/>
      <c r="I131" s="1584"/>
      <c r="J131" s="1589"/>
      <c r="K131" s="1583"/>
      <c r="L131" s="1592"/>
    </row>
    <row r="132" spans="1:12" ht="13.5" thickBot="1">
      <c r="A132" s="1585"/>
      <c r="B132" s="1586"/>
      <c r="C132" s="1587"/>
      <c r="D132" s="1590"/>
      <c r="E132" s="1586"/>
      <c r="F132" s="1587"/>
      <c r="G132" s="1590"/>
      <c r="H132" s="1586"/>
      <c r="I132" s="1587"/>
      <c r="J132" s="1590"/>
      <c r="K132" s="1586"/>
      <c r="L132" s="1593"/>
    </row>
    <row r="133" spans="1:12" ht="13.5" thickBot="1">
      <c r="A133" s="350"/>
      <c r="B133" s="350"/>
      <c r="C133" s="350"/>
      <c r="D133" s="350"/>
      <c r="E133" s="350"/>
      <c r="F133" s="350"/>
      <c r="G133" s="350"/>
      <c r="H133" s="350"/>
      <c r="I133" s="350"/>
      <c r="J133" s="350"/>
      <c r="K133" s="350"/>
      <c r="L133" s="350"/>
    </row>
    <row r="134" spans="1:12" ht="12.75">
      <c r="A134" s="1564" t="s">
        <v>710</v>
      </c>
      <c r="B134" s="1565"/>
      <c r="C134" s="1565"/>
      <c r="D134" s="1565"/>
      <c r="E134" s="1565"/>
      <c r="F134" s="1565"/>
      <c r="G134" s="1565"/>
      <c r="H134" s="1565"/>
      <c r="I134" s="1565"/>
      <c r="J134" s="1565"/>
      <c r="K134" s="1565"/>
      <c r="L134" s="1566"/>
    </row>
    <row r="135" spans="1:12" ht="12.75">
      <c r="A135" s="1567"/>
      <c r="B135" s="1568"/>
      <c r="C135" s="1568"/>
      <c r="D135" s="1568"/>
      <c r="E135" s="1568"/>
      <c r="F135" s="1568"/>
      <c r="G135" s="1568"/>
      <c r="H135" s="1568"/>
      <c r="I135" s="1568"/>
      <c r="J135" s="1568"/>
      <c r="K135" s="1568"/>
      <c r="L135" s="1569"/>
    </row>
    <row r="136" spans="1:12" ht="12.75">
      <c r="A136" s="1570"/>
      <c r="B136" s="1571"/>
      <c r="C136" s="1571"/>
      <c r="D136" s="1571"/>
      <c r="E136" s="1571"/>
      <c r="F136" s="1571"/>
      <c r="G136" s="1571"/>
      <c r="H136" s="1571"/>
      <c r="I136" s="1571"/>
      <c r="J136" s="1571"/>
      <c r="K136" s="1571"/>
      <c r="L136" s="1572"/>
    </row>
    <row r="137" spans="1:12" ht="12.75">
      <c r="A137" s="1573" t="s">
        <v>711</v>
      </c>
      <c r="B137" s="1574"/>
      <c r="C137" s="1574"/>
      <c r="D137" s="1574"/>
      <c r="E137" s="1574"/>
      <c r="F137" s="1574"/>
      <c r="G137" s="1574"/>
      <c r="H137" s="1574"/>
      <c r="I137" s="1574"/>
      <c r="J137" s="1574"/>
      <c r="K137" s="1574"/>
      <c r="L137" s="1575"/>
    </row>
    <row r="138" spans="1:12" ht="12.75">
      <c r="A138" s="1556" t="s">
        <v>712</v>
      </c>
      <c r="B138" s="1557"/>
      <c r="C138" s="1557"/>
      <c r="D138" s="1557"/>
      <c r="E138" s="1557"/>
      <c r="F138" s="1557"/>
      <c r="G138" s="1557"/>
      <c r="H138" s="1557"/>
      <c r="I138" s="1557"/>
      <c r="J138" s="1557"/>
      <c r="K138" s="1557"/>
      <c r="L138" s="1558"/>
    </row>
    <row r="139" spans="1:12" ht="13.5" customHeight="1">
      <c r="A139" s="1576" t="s">
        <v>713</v>
      </c>
      <c r="B139" s="1577"/>
      <c r="C139" s="1577"/>
      <c r="D139" s="1577"/>
      <c r="E139" s="1577"/>
      <c r="F139" s="1577"/>
      <c r="G139" s="1577"/>
      <c r="H139" s="1577"/>
      <c r="I139" s="1577"/>
      <c r="J139" s="1577"/>
      <c r="K139" s="1577"/>
      <c r="L139" s="1578"/>
    </row>
    <row r="140" spans="1:12" ht="12.75">
      <c r="A140" s="1576"/>
      <c r="B140" s="1577"/>
      <c r="C140" s="1577"/>
      <c r="D140" s="1577"/>
      <c r="E140" s="1577"/>
      <c r="F140" s="1577"/>
      <c r="G140" s="1577"/>
      <c r="H140" s="1577"/>
      <c r="I140" s="1577"/>
      <c r="J140" s="1577"/>
      <c r="K140" s="1577"/>
      <c r="L140" s="1578"/>
    </row>
    <row r="141" spans="1:12" ht="12.75">
      <c r="A141" s="1556" t="s">
        <v>714</v>
      </c>
      <c r="B141" s="1557"/>
      <c r="C141" s="1557"/>
      <c r="D141" s="1557"/>
      <c r="E141" s="1557"/>
      <c r="F141" s="1557"/>
      <c r="G141" s="1557"/>
      <c r="H141" s="1557"/>
      <c r="I141" s="1557"/>
      <c r="J141" s="1557"/>
      <c r="K141" s="1557"/>
      <c r="L141" s="1558"/>
    </row>
    <row r="142" spans="1:12" ht="12.75">
      <c r="A142" s="1556" t="s">
        <v>715</v>
      </c>
      <c r="B142" s="1557"/>
      <c r="C142" s="1557"/>
      <c r="D142" s="1557"/>
      <c r="E142" s="1557"/>
      <c r="F142" s="1557"/>
      <c r="G142" s="1557"/>
      <c r="H142" s="1557"/>
      <c r="I142" s="1557"/>
      <c r="J142" s="1557"/>
      <c r="K142" s="1557"/>
      <c r="L142" s="1558"/>
    </row>
    <row r="143" spans="1:12" ht="13.5" thickBot="1">
      <c r="A143" s="1559" t="s">
        <v>716</v>
      </c>
      <c r="B143" s="1560"/>
      <c r="C143" s="1560"/>
      <c r="D143" s="1560"/>
      <c r="E143" s="1560"/>
      <c r="F143" s="1560"/>
      <c r="G143" s="1560"/>
      <c r="H143" s="1560"/>
      <c r="I143" s="1560"/>
      <c r="J143" s="1560"/>
      <c r="K143" s="1560"/>
      <c r="L143" s="1561"/>
    </row>
  </sheetData>
  <sheetProtection password="CC96" sheet="1" objects="1" scenarios="1"/>
  <mergeCells count="181">
    <mergeCell ref="K2:L2"/>
    <mergeCell ref="A4:B4"/>
    <mergeCell ref="C4:D4"/>
    <mergeCell ref="E4:F4"/>
    <mergeCell ref="G4:H4"/>
    <mergeCell ref="I4:J4"/>
    <mergeCell ref="K4:L4"/>
    <mergeCell ref="G5:H5"/>
    <mergeCell ref="B2:F2"/>
    <mergeCell ref="H2:I2"/>
    <mergeCell ref="I5:J5"/>
    <mergeCell ref="K5:L5"/>
    <mergeCell ref="A6:B6"/>
    <mergeCell ref="C6:D6"/>
    <mergeCell ref="E6:F6"/>
    <mergeCell ref="G6:H6"/>
    <mergeCell ref="I6:J6"/>
    <mergeCell ref="K6:L6"/>
    <mergeCell ref="A5:B5"/>
    <mergeCell ref="C5:D5"/>
    <mergeCell ref="E5:F5"/>
    <mergeCell ref="A7:B8"/>
    <mergeCell ref="C7:D7"/>
    <mergeCell ref="E7:F7"/>
    <mergeCell ref="G7:H7"/>
    <mergeCell ref="I7:J7"/>
    <mergeCell ref="K7:L7"/>
    <mergeCell ref="C8:D8"/>
    <mergeCell ref="E8:F8"/>
    <mergeCell ref="G8:H8"/>
    <mergeCell ref="I8:J8"/>
    <mergeCell ref="K8:L8"/>
    <mergeCell ref="I9:J9"/>
    <mergeCell ref="K9:L9"/>
    <mergeCell ref="A10:J10"/>
    <mergeCell ref="K10:L10"/>
    <mergeCell ref="A9:B9"/>
    <mergeCell ref="C9:D9"/>
    <mergeCell ref="E9:F9"/>
    <mergeCell ref="G9:H9"/>
    <mergeCell ref="A11:B11"/>
    <mergeCell ref="C11:J11"/>
    <mergeCell ref="K11:L11"/>
    <mergeCell ref="A12:J12"/>
    <mergeCell ref="K12:L12"/>
    <mergeCell ref="A13:L13"/>
    <mergeCell ref="A14:B14"/>
    <mergeCell ref="C14:L14"/>
    <mergeCell ref="A15:B15"/>
    <mergeCell ref="C15:L15"/>
    <mergeCell ref="A18:B18"/>
    <mergeCell ref="C18:L18"/>
    <mergeCell ref="A21:L21"/>
    <mergeCell ref="A16:B16"/>
    <mergeCell ref="C16:L16"/>
    <mergeCell ref="A17:B17"/>
    <mergeCell ref="C17:L17"/>
    <mergeCell ref="A22:L22"/>
    <mergeCell ref="A23:L23"/>
    <mergeCell ref="A25:L27"/>
    <mergeCell ref="A29:L31"/>
    <mergeCell ref="A33:L34"/>
    <mergeCell ref="A36:L36"/>
    <mergeCell ref="A38:E40"/>
    <mergeCell ref="H38:L40"/>
    <mergeCell ref="F39:G39"/>
    <mergeCell ref="A42:E44"/>
    <mergeCell ref="H42:L44"/>
    <mergeCell ref="F43:G43"/>
    <mergeCell ref="A46:E48"/>
    <mergeCell ref="A51:L51"/>
    <mergeCell ref="A52:L52"/>
    <mergeCell ref="A55:L55"/>
    <mergeCell ref="A57:L65"/>
    <mergeCell ref="A67:L70"/>
    <mergeCell ref="A71:L71"/>
    <mergeCell ref="A72:C72"/>
    <mergeCell ref="D72:F72"/>
    <mergeCell ref="G72:I72"/>
    <mergeCell ref="J72:L72"/>
    <mergeCell ref="A73:C79"/>
    <mergeCell ref="D73:F79"/>
    <mergeCell ref="G73:I79"/>
    <mergeCell ref="J73:L79"/>
    <mergeCell ref="A80:L80"/>
    <mergeCell ref="A81:L85"/>
    <mergeCell ref="A86:L86"/>
    <mergeCell ref="A87:C87"/>
    <mergeCell ref="D87:F87"/>
    <mergeCell ref="G87:I87"/>
    <mergeCell ref="J87:L87"/>
    <mergeCell ref="A88:C89"/>
    <mergeCell ref="D88:F89"/>
    <mergeCell ref="G88:I89"/>
    <mergeCell ref="J88:L89"/>
    <mergeCell ref="A90:C94"/>
    <mergeCell ref="D90:F94"/>
    <mergeCell ref="G90:I94"/>
    <mergeCell ref="J90:L94"/>
    <mergeCell ref="A95:L95"/>
    <mergeCell ref="A96:L98"/>
    <mergeCell ref="A99:L102"/>
    <mergeCell ref="A103:L103"/>
    <mergeCell ref="A104:C104"/>
    <mergeCell ref="D104:F104"/>
    <mergeCell ref="G104:I104"/>
    <mergeCell ref="J104:L104"/>
    <mergeCell ref="A105:C106"/>
    <mergeCell ref="D105:F106"/>
    <mergeCell ref="G105:I106"/>
    <mergeCell ref="J105:L106"/>
    <mergeCell ref="A107:L107"/>
    <mergeCell ref="A108:L108"/>
    <mergeCell ref="A109:C109"/>
    <mergeCell ref="D109:F109"/>
    <mergeCell ref="G109:I109"/>
    <mergeCell ref="J109:L109"/>
    <mergeCell ref="A110:C112"/>
    <mergeCell ref="D110:F112"/>
    <mergeCell ref="G110:I112"/>
    <mergeCell ref="J110:L112"/>
    <mergeCell ref="A113:L113"/>
    <mergeCell ref="A114:L114"/>
    <mergeCell ref="A115:F116"/>
    <mergeCell ref="G115:L115"/>
    <mergeCell ref="G116:H116"/>
    <mergeCell ref="I116:J116"/>
    <mergeCell ref="K116:L116"/>
    <mergeCell ref="A117:C118"/>
    <mergeCell ref="D117:F117"/>
    <mergeCell ref="G117:H117"/>
    <mergeCell ref="I117:J117"/>
    <mergeCell ref="K117:L117"/>
    <mergeCell ref="D118:F118"/>
    <mergeCell ref="G118:H118"/>
    <mergeCell ref="I118:J118"/>
    <mergeCell ref="K118:L118"/>
    <mergeCell ref="A119:C120"/>
    <mergeCell ref="D119:F119"/>
    <mergeCell ref="G119:H119"/>
    <mergeCell ref="I119:J119"/>
    <mergeCell ref="K119:L119"/>
    <mergeCell ref="D120:F120"/>
    <mergeCell ref="G120:H120"/>
    <mergeCell ref="I120:J120"/>
    <mergeCell ref="K120:L120"/>
    <mergeCell ref="K121:L121"/>
    <mergeCell ref="A122:C122"/>
    <mergeCell ref="D122:F122"/>
    <mergeCell ref="G122:H122"/>
    <mergeCell ref="I122:J122"/>
    <mergeCell ref="K122:L122"/>
    <mergeCell ref="A121:C121"/>
    <mergeCell ref="D121:F121"/>
    <mergeCell ref="G121:H121"/>
    <mergeCell ref="I121:J121"/>
    <mergeCell ref="K123:L123"/>
    <mergeCell ref="A124:L124"/>
    <mergeCell ref="A126:L127"/>
    <mergeCell ref="A128:L128"/>
    <mergeCell ref="A123:C123"/>
    <mergeCell ref="D123:F123"/>
    <mergeCell ref="G123:H123"/>
    <mergeCell ref="I123:J123"/>
    <mergeCell ref="D130:F132"/>
    <mergeCell ref="G130:I132"/>
    <mergeCell ref="J130:L132"/>
    <mergeCell ref="A129:C129"/>
    <mergeCell ref="D129:F129"/>
    <mergeCell ref="G129:I129"/>
    <mergeCell ref="J129:L129"/>
    <mergeCell ref="A141:L141"/>
    <mergeCell ref="A142:L142"/>
    <mergeCell ref="A143:L143"/>
    <mergeCell ref="C19:L19"/>
    <mergeCell ref="A19:B19"/>
    <mergeCell ref="A134:L136"/>
    <mergeCell ref="A137:L137"/>
    <mergeCell ref="A138:L138"/>
    <mergeCell ref="A139:L140"/>
    <mergeCell ref="A130:C132"/>
  </mergeCells>
  <printOptions/>
  <pageMargins left="0.75" right="0.75" top="0.5" bottom="0.75" header="0.35" footer="0.5"/>
  <pageSetup horizontalDpi="600" verticalDpi="600" orientation="portrait" r:id="rId1"/>
  <headerFooter alignWithMargins="0">
    <oddHeader>&amp;L&amp;"Tahoma,Bold"&amp;11CNMP Planning Tool&amp;C&amp;"Tahoma,Bold"Nitrogen Leaching Index</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 Manure &amp; Nutrient Inventory</dc:title>
  <dc:subject/>
  <dc:creator>Eugene Backhaus</dc:creator>
  <cp:keywords/>
  <dc:description/>
  <cp:lastModifiedBy>eugene.backhaus</cp:lastModifiedBy>
  <cp:lastPrinted>2007-01-09T17:53:56Z</cp:lastPrinted>
  <dcterms:created xsi:type="dcterms:W3CDTF">2000-11-17T17:30:10Z</dcterms:created>
  <dcterms:modified xsi:type="dcterms:W3CDTF">2007-01-24T21:03:16Z</dcterms:modified>
  <cp:category/>
  <cp:version/>
  <cp:contentType/>
  <cp:contentStatus/>
</cp:coreProperties>
</file>