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43.xml" ContentType="application/vnd.ms-excel.controlproperties+xml"/>
  <Override PartName="/xl/ctrlProps/ctrlProp44.xml" ContentType="application/vnd.ms-excel.controlproperties+xml"/>
  <Override PartName="/xl/drawings/drawing4.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omments3.xml" ContentType="application/vnd.openxmlformats-officedocument.spreadsheetml.comments+xml"/>
  <Override PartName="/xl/drawings/drawing5.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6.xml" ContentType="application/vnd.openxmlformats-officedocument.drawing+xml"/>
  <Override PartName="/xl/ctrlProps/ctrlProp53.xml" ContentType="application/vnd.ms-excel.controlproperties+xml"/>
  <Override PartName="/xl/drawings/drawing7.xml" ContentType="application/vnd.openxmlformats-officedocument.drawing+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omments4.xml" ContentType="application/vnd.openxmlformats-officedocument.spreadsheetml.comments+xml"/>
  <Override PartName="/xl/drawings/drawing8.xml" ContentType="application/vnd.openxmlformats-officedocument.drawing+xml"/>
  <Override PartName="/xl/ctrlProps/ctrlProp61.xml" ContentType="application/vnd.ms-excel.controlproperties+xml"/>
  <Override PartName="/xl/drawings/drawing9.xml" ContentType="application/vnd.openxmlformats-officedocument.drawing+xml"/>
  <Override PartName="/xl/ctrlProps/ctrlProp62.xml" ContentType="application/vnd.ms-excel.controlproperties+xml"/>
  <Override PartName="/xl/drawings/drawing10.xml" ContentType="application/vnd.openxmlformats-officedocument.drawing+xml"/>
  <Override PartName="/xl/ctrlProps/ctrlProp63.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showInkAnnotation="0" saveExternalLinkValues="0" codeName="ThisWorkbook" defaultThemeVersion="124226"/>
  <mc:AlternateContent xmlns:mc="http://schemas.openxmlformats.org/markup-compatibility/2006">
    <mc:Choice Requires="x15">
      <x15ac:absPath xmlns:x15ac="http://schemas.microsoft.com/office/spreadsheetml/2010/11/ac" url="https://usdagcc-my.sharepoint.com/personal/mark_washechek_usda_gov/Documents/Documents/ACES/Projects/Excel/A Current Version/"/>
    </mc:Choice>
  </mc:AlternateContent>
  <xr:revisionPtr revIDLastSave="0" documentId="8_{267603C6-1F2F-4DAE-B01D-D111896314EC}" xr6:coauthVersionLast="47" xr6:coauthVersionMax="47" xr10:uidLastSave="{00000000-0000-0000-0000-000000000000}"/>
  <bookViews>
    <workbookView xWindow="285" yWindow="45" windowWidth="27675" windowHeight="14550" tabRatio="906" activeTab="1" xr2:uid="{00000000-000D-0000-FFFF-FFFF00000000}"/>
  </bookViews>
  <sheets>
    <sheet name="Print" sheetId="32" r:id="rId1"/>
    <sheet name="Cover crop worksheet" sheetId="20" r:id="rId2"/>
    <sheet name="Prepared Mixes" sheetId="28" r:id="rId3"/>
    <sheet name="Cost estimates" sheetId="25" r:id="rId4"/>
    <sheet name="Vendor" sheetId="27" r:id="rId5"/>
    <sheet name="Table 1 Purpose rating" sheetId="22" r:id="rId6"/>
    <sheet name="Table 1 Urban" sheetId="35" r:id="rId7"/>
    <sheet name="Recommended Cover Crop Mixes" sheetId="10" r:id="rId8"/>
    <sheet name="Graze" sheetId="34" r:id="rId9"/>
    <sheet name="Seed Tag Examples" sheetId="30" r:id="rId10"/>
    <sheet name="Contingency Plan" sheetId="36" r:id="rId11"/>
    <sheet name="Video Tutorial" sheetId="31" r:id="rId12"/>
    <sheet name="DATA" sheetId="29" r:id="rId13"/>
    <sheet name="Notes" sheetId="33" r:id="rId14"/>
  </sheets>
  <definedNames>
    <definedName name="_xlnm._FilterDatabase" localSheetId="1" hidden="1">'Cover crop worksheet'!$A$29:$N$70</definedName>
    <definedName name="_xlnm._FilterDatabase" localSheetId="12" hidden="1">DATA!$Q$21:$T$30</definedName>
    <definedName name="_xlnm._FilterDatabase" localSheetId="5" hidden="1">'Table 1 Purpose rating'!$A$3:$AF$55</definedName>
    <definedName name="_xlnm._FilterDatabase" localSheetId="6" hidden="1">'Table 1 Urban'!$A$3:$AF$55</definedName>
    <definedName name="A_Bulk">'Cover crop worksheet'!$J$54</definedName>
    <definedName name="A_data">'Cover crop worksheet'!$F$56:$J$70,'Cover crop worksheet'!$J$54,'Cover crop worksheet'!$L$54,'Cover crop worksheet'!$N$54</definedName>
    <definedName name="A_species">'Cover crop worksheet'!$B$56:$E$70</definedName>
    <definedName name="Acres">'Cover crop worksheet'!$CA$4</definedName>
    <definedName name="AcresA">'Cover crop worksheet'!$CA$8</definedName>
    <definedName name="AF">DATA!$J$15:$J$19</definedName>
    <definedName name="Animal">DATA!$AT$6:$AT$26</definedName>
    <definedName name="AnimalUnit" localSheetId="8">DATA!$AT$6:$AT$26</definedName>
    <definedName name="AnimalUnit">DATA!$AT$6:$AT$35</definedName>
    <definedName name="AUnitTable">DATA!$AT$6:$AX$35</definedName>
    <definedName name="Build_by_purpose">'Recommended Cover Crop Mixes'!$B$3:$I$94</definedName>
    <definedName name="CC">DATA!$J$2:$J$13</definedName>
    <definedName name="CCHeight">DATA!$BI$5:$BM$43</definedName>
    <definedName name="cert">DATA!$AG$2:$AG$5</definedName>
    <definedName name="Certification">DATA!$AE$2:$AH$7</definedName>
    <definedName name="Cover_Crops">DATA!$T$2:$T$51</definedName>
    <definedName name="Crop">DATA!$AN$6:$AN$25</definedName>
    <definedName name="CropsAUMs">DATA!$AN$6:$AQ$25</definedName>
    <definedName name="CStP">DATA!$AD$2:$AD$18</definedName>
    <definedName name="Fertilizer" localSheetId="12">DATA!$P$2:$P$7</definedName>
    <definedName name="Length">'Cover crop worksheet'!$CA$2</definedName>
    <definedName name="LengthA">'Cover crop worksheet'!$CA$6</definedName>
    <definedName name="MLRA">DATA!$BA$5:$BA$23</definedName>
    <definedName name="No">'Cover crop worksheet'!$N$76</definedName>
    <definedName name="P_inch_first">'Cover crop worksheet'!$N$33</definedName>
    <definedName name="P_Mix">'Cover crop worksheet'!$B$30</definedName>
    <definedName name="P_percent">'Cover crop worksheet'!$I$33:$I$47</definedName>
    <definedName name="P_species">'Cover crop worksheet'!$B$33:$E$47</definedName>
    <definedName name="P_variety">'Cover crop worksheet'!$F$33:$H$47</definedName>
    <definedName name="_xlnm.Print_Area" localSheetId="10">'Contingency Plan'!$B$1:$J$158</definedName>
    <definedName name="_xlnm.Print_Area" localSheetId="3">'Cost estimates'!$B$1:$L$42</definedName>
    <definedName name="_xlnm.Print_Area" localSheetId="1">'Cover crop worksheet'!$B$1:$N$83</definedName>
    <definedName name="_xlnm.Print_Area" localSheetId="8">Graze!$B$2:$N$54</definedName>
    <definedName name="_xlnm.Print_Area" localSheetId="13">Notes!$A$1:$C$42</definedName>
    <definedName name="_xlnm.Print_Area" localSheetId="2">'Prepared Mixes'!$B$6:$I$275</definedName>
    <definedName name="_xlnm.Print_Area" localSheetId="7">'Recommended Cover Crop Mixes'!$A$1:$I$93</definedName>
    <definedName name="_xlnm.Print_Area" localSheetId="5">'Table 1 Purpose rating'!$A$1:$V$73</definedName>
    <definedName name="_xlnm.Print_Area" localSheetId="6">'Table 1 Urban'!$A$1:$AG$75</definedName>
    <definedName name="_xlnm.Print_Area" localSheetId="4">Vendor!$A$1:$M$49</definedName>
    <definedName name="_xlnm.Print_Titles" localSheetId="12">DATA!$F:$F,DATA!$1:$3</definedName>
    <definedName name="_xlnm.Print_Titles" localSheetId="7">'Recommended Cover Crop Mixes'!$1:$3</definedName>
    <definedName name="_xlnm.Print_Titles" localSheetId="5">'Table 1 Purpose rating'!$A:$A,'Table 1 Purpose rating'!$1:$3</definedName>
    <definedName name="_xlnm.Print_Titles" localSheetId="6">'Table 1 Urban'!$A:$A,'Table 1 Urban'!$1:$3</definedName>
    <definedName name="SeedingWindow" localSheetId="12">DATA!$N$2:$N$5</definedName>
    <definedName name="SpeciesTable" localSheetId="1">'Table 1 Purpose rating'!$A$4:$V$55</definedName>
    <definedName name="SpeciesTable">'Table 1 Purpose rating'!$A$4:$V$55</definedName>
    <definedName name="Termination" localSheetId="12">DATA!$L$7:$L$13</definedName>
    <definedName name="Width">'Cover crop worksheet'!$CA$3</definedName>
    <definedName name="WidthA">'Cover crop worksheet'!$CA$7</definedName>
    <definedName name="Yes">'Cover crop worksheet'!$M$76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75" i="29" l="1"/>
  <c r="B74" i="29"/>
  <c r="K74" i="29"/>
  <c r="K75" i="29" s="1"/>
  <c r="J75" i="29" s="1"/>
  <c r="L74" i="29"/>
  <c r="L75" i="29"/>
  <c r="C79" i="20"/>
  <c r="C84" i="36"/>
  <c r="F5" i="36"/>
  <c r="E5" i="36"/>
  <c r="B5" i="36"/>
  <c r="P34" i="20"/>
  <c r="P35" i="20"/>
  <c r="P36" i="20"/>
  <c r="P37" i="20"/>
  <c r="P38" i="20"/>
  <c r="P39" i="20"/>
  <c r="P40" i="20"/>
  <c r="P41" i="20"/>
  <c r="P42" i="20"/>
  <c r="P43" i="20"/>
  <c r="P44" i="20"/>
  <c r="P45" i="20"/>
  <c r="P46" i="20"/>
  <c r="P47" i="20"/>
  <c r="J33" i="20"/>
  <c r="J35" i="20"/>
  <c r="K35" i="20" s="1"/>
  <c r="J36" i="20"/>
  <c r="K36" i="20" s="1"/>
  <c r="J37" i="20"/>
  <c r="K37" i="20" s="1"/>
  <c r="J38" i="20"/>
  <c r="K38" i="20" s="1"/>
  <c r="J39" i="20"/>
  <c r="K39" i="20" s="1"/>
  <c r="J40" i="20"/>
  <c r="K40" i="20" s="1"/>
  <c r="J41" i="20"/>
  <c r="K41" i="20" s="1"/>
  <c r="M41" i="20" s="1"/>
  <c r="J42" i="20"/>
  <c r="K42" i="20" s="1"/>
  <c r="M42" i="20" s="1"/>
  <c r="J43" i="20"/>
  <c r="K43" i="20" s="1"/>
  <c r="M43" i="20" s="1"/>
  <c r="J44" i="20"/>
  <c r="K44" i="20" s="1"/>
  <c r="M44" i="20" s="1"/>
  <c r="J45" i="20"/>
  <c r="K45" i="20" s="1"/>
  <c r="M45" i="20" s="1"/>
  <c r="J46" i="20"/>
  <c r="K46" i="20" s="1"/>
  <c r="M46" i="20" s="1"/>
  <c r="J47" i="20"/>
  <c r="K47" i="20" s="1"/>
  <c r="M47" i="20" s="1"/>
  <c r="J34" i="20"/>
  <c r="K34" i="20" s="1"/>
  <c r="L34" i="20"/>
  <c r="N34" i="20"/>
  <c r="U34" i="20" s="1"/>
  <c r="L35" i="20"/>
  <c r="N35" i="20"/>
  <c r="U35" i="20" s="1"/>
  <c r="L36" i="20"/>
  <c r="N36" i="20"/>
  <c r="U36" i="20" s="1"/>
  <c r="L37" i="20"/>
  <c r="N37" i="20"/>
  <c r="U37" i="20" s="1"/>
  <c r="L38" i="20"/>
  <c r="N38" i="20"/>
  <c r="U38" i="20" s="1"/>
  <c r="L39" i="20"/>
  <c r="N39" i="20"/>
  <c r="V39" i="20" s="1"/>
  <c r="L40" i="20"/>
  <c r="N40" i="20"/>
  <c r="U40" i="20" s="1"/>
  <c r="L41" i="20"/>
  <c r="N41" i="20"/>
  <c r="V41" i="20" s="1"/>
  <c r="L42" i="20"/>
  <c r="N42" i="20"/>
  <c r="U42" i="20" s="1"/>
  <c r="L43" i="20"/>
  <c r="N43" i="20"/>
  <c r="U43" i="20" s="1"/>
  <c r="L44" i="20"/>
  <c r="N44" i="20"/>
  <c r="V44" i="20" s="1"/>
  <c r="L45" i="20"/>
  <c r="N45" i="20"/>
  <c r="U45" i="20" s="1"/>
  <c r="L46" i="20"/>
  <c r="N46" i="20"/>
  <c r="V46" i="20" s="1"/>
  <c r="L47" i="20"/>
  <c r="N47" i="20"/>
  <c r="U47" i="20" s="1"/>
  <c r="AX27" i="29"/>
  <c r="AT27" i="29"/>
  <c r="J74" i="29" l="1"/>
  <c r="M39" i="20"/>
  <c r="M37" i="20"/>
  <c r="M34" i="20"/>
  <c r="U41" i="20"/>
  <c r="T41" i="20" s="1"/>
  <c r="Q34" i="20"/>
  <c r="R34" i="20" s="1"/>
  <c r="V42" i="20"/>
  <c r="T42" i="20" s="1"/>
  <c r="V37" i="20"/>
  <c r="T37" i="20" s="1"/>
  <c r="Q35" i="20"/>
  <c r="R35" i="20" s="1"/>
  <c r="V43" i="20"/>
  <c r="T43" i="20" s="1"/>
  <c r="U46" i="20"/>
  <c r="T46" i="20" s="1"/>
  <c r="V38" i="20"/>
  <c r="T38" i="20" s="1"/>
  <c r="V45" i="20"/>
  <c r="T45" i="20" s="1"/>
  <c r="V36" i="20"/>
  <c r="T36" i="20" s="1"/>
  <c r="U44" i="20"/>
  <c r="T44" i="20" s="1"/>
  <c r="U39" i="20"/>
  <c r="T39" i="20" s="1"/>
  <c r="V34" i="20"/>
  <c r="T34" i="20" s="1"/>
  <c r="V40" i="20"/>
  <c r="T40" i="20" s="1"/>
  <c r="V35" i="20"/>
  <c r="T35" i="20" s="1"/>
  <c r="Q40" i="20"/>
  <c r="R40" i="20" s="1"/>
  <c r="Q37" i="20"/>
  <c r="R37" i="20" s="1"/>
  <c r="Q45" i="20"/>
  <c r="R45" i="20" s="1"/>
  <c r="Q41" i="20"/>
  <c r="R41" i="20" s="1"/>
  <c r="Q36" i="20"/>
  <c r="R36" i="20" s="1"/>
  <c r="Q44" i="20"/>
  <c r="R44" i="20" s="1"/>
  <c r="Q42" i="20"/>
  <c r="R42" i="20" s="1"/>
  <c r="Q39" i="20"/>
  <c r="R39" i="20" s="1"/>
  <c r="Q43" i="20"/>
  <c r="R43" i="20" s="1"/>
  <c r="Q46" i="20"/>
  <c r="R46" i="20" s="1"/>
  <c r="Q38" i="20"/>
  <c r="R38" i="20" s="1"/>
  <c r="Q47" i="20"/>
  <c r="R47" i="20" s="1"/>
  <c r="V47" i="20"/>
  <c r="T47" i="20" s="1"/>
  <c r="M40" i="20"/>
  <c r="M38" i="20"/>
  <c r="M36" i="20"/>
  <c r="M35" i="20"/>
  <c r="P36" i="25"/>
  <c r="P37" i="25"/>
  <c r="P24" i="25"/>
  <c r="P25" i="25"/>
  <c r="P26" i="25"/>
  <c r="P27" i="25"/>
  <c r="P28" i="25"/>
  <c r="P29" i="25"/>
  <c r="P30" i="25"/>
  <c r="P31" i="25"/>
  <c r="P32" i="25"/>
  <c r="P33" i="25"/>
  <c r="P34" i="25"/>
  <c r="P35" i="25"/>
  <c r="B37" i="25"/>
  <c r="E37" i="25" s="1"/>
  <c r="C37" i="25"/>
  <c r="D37" i="25"/>
  <c r="B24" i="25"/>
  <c r="E24" i="25" s="1"/>
  <c r="C24" i="25"/>
  <c r="D24" i="25"/>
  <c r="B25" i="25"/>
  <c r="E25" i="25" s="1"/>
  <c r="C25" i="25"/>
  <c r="D25" i="25"/>
  <c r="B26" i="25"/>
  <c r="E26" i="25" s="1"/>
  <c r="C26" i="25"/>
  <c r="D26" i="25"/>
  <c r="B27" i="25"/>
  <c r="E27" i="25" s="1"/>
  <c r="C27" i="25"/>
  <c r="D27" i="25"/>
  <c r="B28" i="25"/>
  <c r="E28" i="25" s="1"/>
  <c r="C28" i="25"/>
  <c r="D28" i="25"/>
  <c r="B29" i="25"/>
  <c r="E29" i="25" s="1"/>
  <c r="C29" i="25"/>
  <c r="D29" i="25"/>
  <c r="B30" i="25"/>
  <c r="E30" i="25" s="1"/>
  <c r="C30" i="25"/>
  <c r="D30" i="25"/>
  <c r="B31" i="25"/>
  <c r="E31" i="25" s="1"/>
  <c r="C31" i="25"/>
  <c r="D31" i="25"/>
  <c r="B32" i="25"/>
  <c r="E32" i="25" s="1"/>
  <c r="C32" i="25"/>
  <c r="D32" i="25"/>
  <c r="B33" i="25"/>
  <c r="E33" i="25" s="1"/>
  <c r="C33" i="25"/>
  <c r="D33" i="25"/>
  <c r="B34" i="25"/>
  <c r="E34" i="25" s="1"/>
  <c r="C34" i="25"/>
  <c r="D34" i="25"/>
  <c r="B35" i="25"/>
  <c r="E35" i="25" s="1"/>
  <c r="C35" i="25"/>
  <c r="D35" i="25"/>
  <c r="B36" i="25"/>
  <c r="E36" i="25" s="1"/>
  <c r="C36" i="25"/>
  <c r="D36" i="25"/>
  <c r="G23" i="27"/>
  <c r="G24" i="27"/>
  <c r="G25" i="27"/>
  <c r="G26" i="27"/>
  <c r="G27" i="27"/>
  <c r="G28" i="27"/>
  <c r="G29" i="27"/>
  <c r="G30" i="27"/>
  <c r="G31" i="27"/>
  <c r="G32" i="27"/>
  <c r="G33" i="27"/>
  <c r="G34" i="27"/>
  <c r="D23" i="27"/>
  <c r="D24" i="27"/>
  <c r="D25" i="27"/>
  <c r="D26" i="27"/>
  <c r="D27" i="27"/>
  <c r="D28" i="27"/>
  <c r="D29" i="27"/>
  <c r="D30" i="27"/>
  <c r="D31" i="27"/>
  <c r="D32" i="27"/>
  <c r="D33" i="27"/>
  <c r="D34" i="27"/>
  <c r="B23" i="27"/>
  <c r="B24" i="27"/>
  <c r="B25" i="27"/>
  <c r="B26" i="27"/>
  <c r="B27" i="27"/>
  <c r="B28" i="27"/>
  <c r="B29" i="27"/>
  <c r="B30" i="27"/>
  <c r="B31" i="27"/>
  <c r="B32" i="27"/>
  <c r="B33" i="27"/>
  <c r="B34" i="27"/>
  <c r="L56" i="20"/>
  <c r="J23" i="29"/>
  <c r="K23" i="29" s="1"/>
  <c r="R4" i="36" s="1"/>
  <c r="S11" i="36"/>
  <c r="S10" i="36"/>
  <c r="L39" i="29"/>
  <c r="L40" i="29"/>
  <c r="L41" i="29"/>
  <c r="L42" i="29"/>
  <c r="L43" i="29"/>
  <c r="L44" i="29"/>
  <c r="L45" i="29"/>
  <c r="L46" i="29"/>
  <c r="L47" i="29"/>
  <c r="L48" i="29"/>
  <c r="L49" i="29"/>
  <c r="L50" i="29"/>
  <c r="L51" i="29"/>
  <c r="L52" i="29"/>
  <c r="N14" i="29"/>
  <c r="N15" i="29"/>
  <c r="N16" i="29"/>
  <c r="N17" i="29"/>
  <c r="N18" i="29"/>
  <c r="N19" i="29"/>
  <c r="N20" i="29"/>
  <c r="N21" i="29"/>
  <c r="N22" i="29"/>
  <c r="N23" i="29"/>
  <c r="N24" i="29"/>
  <c r="N25" i="29"/>
  <c r="N26" i="29"/>
  <c r="N27" i="29"/>
  <c r="M40" i="29" l="1"/>
  <c r="N40" i="29"/>
  <c r="N39" i="29"/>
  <c r="M39" i="29"/>
  <c r="M51" i="29"/>
  <c r="N51" i="29"/>
  <c r="M49" i="29"/>
  <c r="N49" i="29"/>
  <c r="N52" i="29"/>
  <c r="M52" i="29"/>
  <c r="M50" i="29"/>
  <c r="N50" i="29"/>
  <c r="M48" i="29"/>
  <c r="N48" i="29"/>
  <c r="M41" i="29"/>
  <c r="N41" i="29"/>
  <c r="M47" i="29"/>
  <c r="N47" i="29"/>
  <c r="M42" i="29"/>
  <c r="N42" i="29"/>
  <c r="M46" i="29"/>
  <c r="N46" i="29"/>
  <c r="M45" i="29"/>
  <c r="N45" i="29"/>
  <c r="M44" i="29"/>
  <c r="N44" i="29"/>
  <c r="M43" i="29"/>
  <c r="N43" i="29"/>
  <c r="S4" i="36"/>
  <c r="S23" i="36" s="1"/>
  <c r="C104" i="36" a="1"/>
  <c r="C104" i="36" s="1"/>
  <c r="C3" i="35"/>
  <c r="D3" i="35"/>
  <c r="E3" i="35"/>
  <c r="F3" i="35"/>
  <c r="G3" i="35"/>
  <c r="H3" i="35"/>
  <c r="I3" i="35"/>
  <c r="J3" i="35"/>
  <c r="K3" i="35"/>
  <c r="L3" i="35"/>
  <c r="M3" i="35"/>
  <c r="N3" i="35"/>
  <c r="O3" i="35"/>
  <c r="P3" i="35"/>
  <c r="Q3" i="35"/>
  <c r="R3" i="35"/>
  <c r="S3" i="35"/>
  <c r="T3" i="35"/>
  <c r="U3" i="35"/>
  <c r="V3" i="35"/>
  <c r="W3" i="35"/>
  <c r="X3" i="35"/>
  <c r="Y3" i="35"/>
  <c r="Z3" i="35"/>
  <c r="AA3" i="35"/>
  <c r="AB3" i="35"/>
  <c r="AC3" i="35"/>
  <c r="AD3" i="35"/>
  <c r="AE3" i="35"/>
  <c r="AF3" i="35"/>
  <c r="B3" i="35"/>
  <c r="A3" i="35"/>
  <c r="B48" i="20"/>
  <c r="D6" i="35"/>
  <c r="S50" i="35"/>
  <c r="S51" i="35"/>
  <c r="A49" i="35"/>
  <c r="A48" i="35"/>
  <c r="A47" i="35"/>
  <c r="A46" i="35"/>
  <c r="A45" i="35"/>
  <c r="A44" i="35"/>
  <c r="A43" i="35"/>
  <c r="A42" i="35"/>
  <c r="A41" i="35"/>
  <c r="A40" i="35"/>
  <c r="A39" i="35"/>
  <c r="A38" i="35"/>
  <c r="A37" i="35"/>
  <c r="A36" i="35"/>
  <c r="A35" i="35"/>
  <c r="A34" i="35"/>
  <c r="A33" i="35"/>
  <c r="A32" i="35"/>
  <c r="A31" i="35"/>
  <c r="A30" i="35"/>
  <c r="A29" i="35"/>
  <c r="A28" i="35"/>
  <c r="A27" i="35"/>
  <c r="A26" i="35"/>
  <c r="A25" i="35"/>
  <c r="A24" i="35"/>
  <c r="A23" i="35"/>
  <c r="A22" i="35"/>
  <c r="A21" i="35"/>
  <c r="A20" i="35"/>
  <c r="A19" i="35"/>
  <c r="A18" i="35"/>
  <c r="A17" i="35"/>
  <c r="A16" i="35"/>
  <c r="A15" i="35"/>
  <c r="A14" i="35"/>
  <c r="A13" i="35"/>
  <c r="A12" i="35"/>
  <c r="A11" i="35"/>
  <c r="A10" i="35"/>
  <c r="A9" i="35"/>
  <c r="A8" i="35"/>
  <c r="A7" i="35"/>
  <c r="A6" i="35"/>
  <c r="A5" i="35"/>
  <c r="A4" i="35"/>
  <c r="A51" i="35"/>
  <c r="A52" i="35"/>
  <c r="A53" i="35"/>
  <c r="A54" i="35"/>
  <c r="A55" i="35"/>
  <c r="A50" i="35"/>
  <c r="AF55" i="35"/>
  <c r="AE55" i="35"/>
  <c r="AD55" i="35"/>
  <c r="AC55" i="35"/>
  <c r="AB55" i="35"/>
  <c r="AA55" i="35"/>
  <c r="Z55" i="35"/>
  <c r="Y55" i="35"/>
  <c r="X55" i="35"/>
  <c r="W55" i="35"/>
  <c r="V55" i="35"/>
  <c r="U55" i="35"/>
  <c r="T55" i="35"/>
  <c r="S55" i="35"/>
  <c r="R55" i="35"/>
  <c r="Q55" i="35"/>
  <c r="P55" i="35"/>
  <c r="O55" i="35"/>
  <c r="N55" i="35"/>
  <c r="M55" i="35"/>
  <c r="L55" i="35"/>
  <c r="K55" i="35"/>
  <c r="J55" i="35"/>
  <c r="I55" i="35"/>
  <c r="H55" i="35"/>
  <c r="G55" i="35"/>
  <c r="F55" i="35"/>
  <c r="E55" i="35"/>
  <c r="D55" i="35"/>
  <c r="C55" i="35"/>
  <c r="B55" i="35"/>
  <c r="AF54" i="35"/>
  <c r="AE54" i="35"/>
  <c r="AD54" i="35"/>
  <c r="AC54" i="35"/>
  <c r="AB54" i="35"/>
  <c r="AA54" i="35"/>
  <c r="Z54" i="35"/>
  <c r="Y54" i="35"/>
  <c r="X54" i="35"/>
  <c r="W54" i="35"/>
  <c r="V54" i="35"/>
  <c r="U54" i="35"/>
  <c r="T54" i="35"/>
  <c r="S54" i="35"/>
  <c r="R54" i="35"/>
  <c r="Q54" i="35"/>
  <c r="P54" i="35"/>
  <c r="O54" i="35"/>
  <c r="N54" i="35"/>
  <c r="M54" i="35"/>
  <c r="L54" i="35"/>
  <c r="K54" i="35"/>
  <c r="J54" i="35"/>
  <c r="I54" i="35"/>
  <c r="H54" i="35"/>
  <c r="G54" i="35"/>
  <c r="F54" i="35"/>
  <c r="E54" i="35"/>
  <c r="D54" i="35"/>
  <c r="C54" i="35"/>
  <c r="B54" i="35"/>
  <c r="AF53" i="35"/>
  <c r="AE53" i="35"/>
  <c r="AD53" i="35"/>
  <c r="AC53" i="35"/>
  <c r="AB53" i="35"/>
  <c r="AA53" i="35"/>
  <c r="Z53" i="35"/>
  <c r="Y53" i="35"/>
  <c r="X53" i="35"/>
  <c r="W53" i="35"/>
  <c r="V53" i="35"/>
  <c r="U53" i="35"/>
  <c r="T53" i="35"/>
  <c r="S53" i="35"/>
  <c r="R53" i="35"/>
  <c r="Q53" i="35"/>
  <c r="P53" i="35"/>
  <c r="O53" i="35"/>
  <c r="N53" i="35"/>
  <c r="M53" i="35"/>
  <c r="L53" i="35"/>
  <c r="K53" i="35"/>
  <c r="J53" i="35"/>
  <c r="I53" i="35"/>
  <c r="H53" i="35"/>
  <c r="G53" i="35"/>
  <c r="F53" i="35"/>
  <c r="E53" i="35"/>
  <c r="D53" i="35"/>
  <c r="C53" i="35"/>
  <c r="B53" i="35"/>
  <c r="AF52" i="35"/>
  <c r="AE52" i="35"/>
  <c r="AD52" i="35"/>
  <c r="AC52" i="35"/>
  <c r="AB52" i="35"/>
  <c r="AA52" i="35"/>
  <c r="Z52" i="35"/>
  <c r="Y52" i="35"/>
  <c r="X52" i="35"/>
  <c r="W52" i="35"/>
  <c r="V52" i="35"/>
  <c r="U52" i="35"/>
  <c r="T52" i="35"/>
  <c r="S52" i="35"/>
  <c r="R52" i="35"/>
  <c r="Q52" i="35"/>
  <c r="P52" i="35"/>
  <c r="O52" i="35"/>
  <c r="N52" i="35"/>
  <c r="M52" i="35"/>
  <c r="L52" i="35"/>
  <c r="K52" i="35"/>
  <c r="J52" i="35"/>
  <c r="I52" i="35"/>
  <c r="H52" i="35"/>
  <c r="G52" i="35"/>
  <c r="F52" i="35"/>
  <c r="E52" i="35"/>
  <c r="D52" i="35"/>
  <c r="C52" i="35"/>
  <c r="B52" i="35"/>
  <c r="AF51" i="35"/>
  <c r="AE51" i="35"/>
  <c r="AD51" i="35"/>
  <c r="AC51" i="35"/>
  <c r="AB51" i="35"/>
  <c r="AA51" i="35"/>
  <c r="Z51" i="35"/>
  <c r="Y51" i="35"/>
  <c r="X51" i="35"/>
  <c r="W51" i="35"/>
  <c r="V51" i="35"/>
  <c r="U51" i="35"/>
  <c r="T51" i="35"/>
  <c r="R51" i="35"/>
  <c r="Q51" i="35"/>
  <c r="P51" i="35"/>
  <c r="O51" i="35"/>
  <c r="N51" i="35"/>
  <c r="M51" i="35"/>
  <c r="L51" i="35"/>
  <c r="K51" i="35"/>
  <c r="J51" i="35"/>
  <c r="I51" i="35"/>
  <c r="H51" i="35"/>
  <c r="G51" i="35"/>
  <c r="F51" i="35"/>
  <c r="E51" i="35"/>
  <c r="D51" i="35"/>
  <c r="C51" i="35"/>
  <c r="B51" i="35"/>
  <c r="AF50" i="35"/>
  <c r="AE50" i="35"/>
  <c r="AD50" i="35"/>
  <c r="AC50" i="35"/>
  <c r="AB50" i="35"/>
  <c r="AA50" i="35"/>
  <c r="Z50" i="35"/>
  <c r="Y50" i="35"/>
  <c r="X50" i="35"/>
  <c r="W50" i="35"/>
  <c r="V50" i="35"/>
  <c r="U50" i="35"/>
  <c r="R50" i="35"/>
  <c r="Q50" i="35"/>
  <c r="P50" i="35"/>
  <c r="O50" i="35"/>
  <c r="N50" i="35"/>
  <c r="M50" i="35"/>
  <c r="L50" i="35"/>
  <c r="K50" i="35"/>
  <c r="J50" i="35"/>
  <c r="I50" i="35"/>
  <c r="H50" i="35"/>
  <c r="G50" i="35"/>
  <c r="F50" i="35"/>
  <c r="E50" i="35"/>
  <c r="D50" i="35"/>
  <c r="C50" i="35"/>
  <c r="B50" i="35"/>
  <c r="AF49" i="35"/>
  <c r="AE49" i="35"/>
  <c r="AD49" i="35"/>
  <c r="AC49" i="35"/>
  <c r="AB49" i="35"/>
  <c r="AA49" i="35"/>
  <c r="Z49" i="35"/>
  <c r="Y49" i="35"/>
  <c r="X49" i="35"/>
  <c r="W49" i="35"/>
  <c r="V49" i="35"/>
  <c r="U49" i="35"/>
  <c r="T49" i="35"/>
  <c r="S49" i="35"/>
  <c r="R49" i="35"/>
  <c r="Q49" i="35"/>
  <c r="P49" i="35"/>
  <c r="O49" i="35"/>
  <c r="N49" i="35"/>
  <c r="M49" i="35"/>
  <c r="L49" i="35"/>
  <c r="K49" i="35"/>
  <c r="J49" i="35"/>
  <c r="I49" i="35"/>
  <c r="H49" i="35"/>
  <c r="G49" i="35"/>
  <c r="F49" i="35"/>
  <c r="E49" i="35"/>
  <c r="D49" i="35"/>
  <c r="C49" i="35"/>
  <c r="B49" i="35"/>
  <c r="AF48" i="35"/>
  <c r="AE48" i="35"/>
  <c r="AD48" i="35"/>
  <c r="AC48" i="35"/>
  <c r="AB48" i="35"/>
  <c r="AA48" i="35"/>
  <c r="Z48" i="35"/>
  <c r="Y48" i="35"/>
  <c r="X48" i="35"/>
  <c r="W48" i="35"/>
  <c r="V48" i="35"/>
  <c r="U48" i="35"/>
  <c r="T48" i="35"/>
  <c r="S48" i="35"/>
  <c r="R48" i="35"/>
  <c r="Q48" i="35"/>
  <c r="P48" i="35"/>
  <c r="O48" i="35"/>
  <c r="N48" i="35"/>
  <c r="M48" i="35"/>
  <c r="L48" i="35"/>
  <c r="K48" i="35"/>
  <c r="J48" i="35"/>
  <c r="I48" i="35"/>
  <c r="H48" i="35"/>
  <c r="G48" i="35"/>
  <c r="F48" i="35"/>
  <c r="E48" i="35"/>
  <c r="D48" i="35"/>
  <c r="C48" i="35"/>
  <c r="B48" i="35"/>
  <c r="AG48" i="35" s="1"/>
  <c r="AF47" i="35"/>
  <c r="AE47" i="35"/>
  <c r="AD47" i="35"/>
  <c r="AC47" i="35"/>
  <c r="AB47" i="35"/>
  <c r="AA47" i="35"/>
  <c r="Z47" i="35"/>
  <c r="Y47" i="35"/>
  <c r="X47" i="35"/>
  <c r="W47" i="35"/>
  <c r="V47" i="35"/>
  <c r="U47" i="35"/>
  <c r="T47" i="35"/>
  <c r="S47" i="35"/>
  <c r="R47" i="35"/>
  <c r="Q47" i="35"/>
  <c r="P47" i="35"/>
  <c r="O47" i="35"/>
  <c r="N47" i="35"/>
  <c r="M47" i="35"/>
  <c r="L47" i="35"/>
  <c r="K47" i="35"/>
  <c r="J47" i="35"/>
  <c r="I47" i="35"/>
  <c r="H47" i="35"/>
  <c r="G47" i="35"/>
  <c r="F47" i="35"/>
  <c r="E47" i="35"/>
  <c r="D47" i="35"/>
  <c r="C47" i="35"/>
  <c r="B47" i="35"/>
  <c r="AG47" i="35" s="1"/>
  <c r="AF46" i="35"/>
  <c r="AE46" i="35"/>
  <c r="AD46" i="35"/>
  <c r="AC46" i="35"/>
  <c r="AB46" i="35"/>
  <c r="AA46" i="35"/>
  <c r="Z46" i="35"/>
  <c r="Y46" i="35"/>
  <c r="X46" i="35"/>
  <c r="W46" i="35"/>
  <c r="V46" i="35"/>
  <c r="U46" i="35"/>
  <c r="T46" i="35"/>
  <c r="S46" i="35"/>
  <c r="R46" i="35"/>
  <c r="Q46" i="35"/>
  <c r="P46" i="35"/>
  <c r="O46" i="35"/>
  <c r="N46" i="35"/>
  <c r="M46" i="35"/>
  <c r="L46" i="35"/>
  <c r="K46" i="35"/>
  <c r="J46" i="35"/>
  <c r="I46" i="35"/>
  <c r="H46" i="35"/>
  <c r="G46" i="35"/>
  <c r="F46" i="35"/>
  <c r="E46" i="35"/>
  <c r="D46" i="35"/>
  <c r="C46" i="35"/>
  <c r="B46" i="35"/>
  <c r="AF45" i="35"/>
  <c r="AE45" i="35"/>
  <c r="AD45" i="35"/>
  <c r="AC45" i="35"/>
  <c r="AB45" i="35"/>
  <c r="AA45" i="35"/>
  <c r="Z45" i="35"/>
  <c r="Y45" i="35"/>
  <c r="X45" i="35"/>
  <c r="W45" i="35"/>
  <c r="V45" i="35"/>
  <c r="U45" i="35"/>
  <c r="T45" i="35"/>
  <c r="S45" i="35"/>
  <c r="R45" i="35"/>
  <c r="Q45" i="35"/>
  <c r="P45" i="35"/>
  <c r="O45" i="35"/>
  <c r="N45" i="35"/>
  <c r="M45" i="35"/>
  <c r="L45" i="35"/>
  <c r="K45" i="35"/>
  <c r="J45" i="35"/>
  <c r="I45" i="35"/>
  <c r="H45" i="35"/>
  <c r="G45" i="35"/>
  <c r="F45" i="35"/>
  <c r="E45" i="35"/>
  <c r="D45" i="35"/>
  <c r="C45" i="35"/>
  <c r="B45" i="35"/>
  <c r="AF44" i="35"/>
  <c r="AE44" i="35"/>
  <c r="AD44" i="35"/>
  <c r="AC44" i="35"/>
  <c r="AB44" i="35"/>
  <c r="AA44" i="35"/>
  <c r="Z44" i="35"/>
  <c r="Y44" i="35"/>
  <c r="X44" i="35"/>
  <c r="W44" i="35"/>
  <c r="V44" i="35"/>
  <c r="U44" i="35"/>
  <c r="T44" i="35"/>
  <c r="S44" i="35"/>
  <c r="R44" i="35"/>
  <c r="Q44" i="35"/>
  <c r="P44" i="35"/>
  <c r="O44" i="35"/>
  <c r="N44" i="35"/>
  <c r="M44" i="35"/>
  <c r="L44" i="35"/>
  <c r="K44" i="35"/>
  <c r="J44" i="35"/>
  <c r="I44" i="35"/>
  <c r="H44" i="35"/>
  <c r="G44" i="35"/>
  <c r="F44" i="35"/>
  <c r="E44" i="35"/>
  <c r="D44" i="35"/>
  <c r="C44" i="35"/>
  <c r="B44" i="35"/>
  <c r="AF43" i="35"/>
  <c r="AE43" i="35"/>
  <c r="AD43" i="35"/>
  <c r="AC43" i="35"/>
  <c r="AB43" i="35"/>
  <c r="AA43" i="35"/>
  <c r="Z43" i="35"/>
  <c r="Y43" i="35"/>
  <c r="X43" i="35"/>
  <c r="W43" i="35"/>
  <c r="V43" i="35"/>
  <c r="U43" i="35"/>
  <c r="T43" i="35"/>
  <c r="S43" i="35"/>
  <c r="R43" i="35"/>
  <c r="Q43" i="35"/>
  <c r="P43" i="35"/>
  <c r="O43" i="35"/>
  <c r="N43" i="35"/>
  <c r="M43" i="35"/>
  <c r="L43" i="35"/>
  <c r="K43" i="35"/>
  <c r="J43" i="35"/>
  <c r="I43" i="35"/>
  <c r="H43" i="35"/>
  <c r="G43" i="35"/>
  <c r="F43" i="35"/>
  <c r="E43" i="35"/>
  <c r="D43" i="35"/>
  <c r="C43" i="35"/>
  <c r="B43" i="35"/>
  <c r="AF42" i="35"/>
  <c r="AE42" i="35"/>
  <c r="AD42" i="35"/>
  <c r="AC42" i="35"/>
  <c r="AB42" i="35"/>
  <c r="AA42" i="35"/>
  <c r="Z42" i="35"/>
  <c r="Y42" i="35"/>
  <c r="X42" i="35"/>
  <c r="W42" i="35"/>
  <c r="V42" i="35"/>
  <c r="U42" i="35"/>
  <c r="T42" i="35"/>
  <c r="S42" i="35"/>
  <c r="R42" i="35"/>
  <c r="Q42" i="35"/>
  <c r="P42" i="35"/>
  <c r="O42" i="35"/>
  <c r="N42" i="35"/>
  <c r="M42" i="35"/>
  <c r="L42" i="35"/>
  <c r="K42" i="35"/>
  <c r="J42" i="35"/>
  <c r="I42" i="35"/>
  <c r="H42" i="35"/>
  <c r="G42" i="35"/>
  <c r="F42" i="35"/>
  <c r="E42" i="35"/>
  <c r="D42" i="35"/>
  <c r="C42" i="35"/>
  <c r="B42" i="35"/>
  <c r="AF41" i="35"/>
  <c r="AE41" i="35"/>
  <c r="AD41" i="35"/>
  <c r="AC41" i="35"/>
  <c r="AB41" i="35"/>
  <c r="AA41" i="35"/>
  <c r="Z41" i="35"/>
  <c r="Y41" i="35"/>
  <c r="X41" i="35"/>
  <c r="W41" i="35"/>
  <c r="V41" i="35"/>
  <c r="U41" i="35"/>
  <c r="T41" i="35"/>
  <c r="S41" i="35"/>
  <c r="R41" i="35"/>
  <c r="Q41" i="35"/>
  <c r="P41" i="35"/>
  <c r="O41" i="35"/>
  <c r="N41" i="35"/>
  <c r="M41" i="35"/>
  <c r="L41" i="35"/>
  <c r="K41" i="35"/>
  <c r="J41" i="35"/>
  <c r="I41" i="35"/>
  <c r="H41" i="35"/>
  <c r="G41" i="35"/>
  <c r="F41" i="35"/>
  <c r="E41" i="35"/>
  <c r="D41" i="35"/>
  <c r="C41" i="35"/>
  <c r="B41" i="35"/>
  <c r="AF40" i="35"/>
  <c r="AE40" i="35"/>
  <c r="AD40" i="35"/>
  <c r="AC40" i="35"/>
  <c r="AB40" i="35"/>
  <c r="AA40" i="35"/>
  <c r="Z40" i="35"/>
  <c r="Y40" i="35"/>
  <c r="X40" i="35"/>
  <c r="W40" i="35"/>
  <c r="V40" i="35"/>
  <c r="U40" i="35"/>
  <c r="T40" i="35"/>
  <c r="S40" i="35"/>
  <c r="R40" i="35"/>
  <c r="Q40" i="35"/>
  <c r="P40" i="35"/>
  <c r="O40" i="35"/>
  <c r="N40" i="35"/>
  <c r="M40" i="35"/>
  <c r="L40" i="35"/>
  <c r="K40" i="35"/>
  <c r="J40" i="35"/>
  <c r="I40" i="35"/>
  <c r="H40" i="35"/>
  <c r="G40" i="35"/>
  <c r="F40" i="35"/>
  <c r="E40" i="35"/>
  <c r="D40" i="35"/>
  <c r="C40" i="35"/>
  <c r="B40" i="35"/>
  <c r="AF39" i="35"/>
  <c r="AE39" i="35"/>
  <c r="AD39" i="35"/>
  <c r="AC39" i="35"/>
  <c r="AB39" i="35"/>
  <c r="AA39" i="35"/>
  <c r="Z39" i="35"/>
  <c r="Y39" i="35"/>
  <c r="X39" i="35"/>
  <c r="W39" i="35"/>
  <c r="V39" i="35"/>
  <c r="U39" i="35"/>
  <c r="T39" i="35"/>
  <c r="S39" i="35"/>
  <c r="R39" i="35"/>
  <c r="Q39" i="35"/>
  <c r="P39" i="35"/>
  <c r="O39" i="35"/>
  <c r="N39" i="35"/>
  <c r="M39" i="35"/>
  <c r="L39" i="35"/>
  <c r="K39" i="35"/>
  <c r="J39" i="35"/>
  <c r="I39" i="35"/>
  <c r="H39" i="35"/>
  <c r="G39" i="35"/>
  <c r="F39" i="35"/>
  <c r="E39" i="35"/>
  <c r="D39" i="35"/>
  <c r="C39" i="35"/>
  <c r="B39" i="35"/>
  <c r="AF38" i="35"/>
  <c r="AE38" i="35"/>
  <c r="AD38" i="35"/>
  <c r="AC38" i="35"/>
  <c r="AB38" i="35"/>
  <c r="AA38" i="35"/>
  <c r="Z38" i="35"/>
  <c r="Y38" i="35"/>
  <c r="X38" i="35"/>
  <c r="W38" i="35"/>
  <c r="V38" i="35"/>
  <c r="U38" i="35"/>
  <c r="T38" i="35"/>
  <c r="S38" i="35"/>
  <c r="R38" i="35"/>
  <c r="Q38" i="35"/>
  <c r="P38" i="35"/>
  <c r="O38" i="35"/>
  <c r="N38" i="35"/>
  <c r="M38" i="35"/>
  <c r="L38" i="35"/>
  <c r="K38" i="35"/>
  <c r="J38" i="35"/>
  <c r="I38" i="35"/>
  <c r="H38" i="35"/>
  <c r="G38" i="35"/>
  <c r="F38" i="35"/>
  <c r="E38" i="35"/>
  <c r="D38" i="35"/>
  <c r="C38" i="35"/>
  <c r="B38" i="35"/>
  <c r="AF37" i="35"/>
  <c r="AE37" i="35"/>
  <c r="AD37" i="35"/>
  <c r="AC37" i="35"/>
  <c r="AB37" i="35"/>
  <c r="AA37" i="35"/>
  <c r="Z37" i="35"/>
  <c r="Y37" i="35"/>
  <c r="X37" i="35"/>
  <c r="W37" i="35"/>
  <c r="V37" i="35"/>
  <c r="U37" i="35"/>
  <c r="T37" i="35"/>
  <c r="S37" i="35"/>
  <c r="R37" i="35"/>
  <c r="Q37" i="35"/>
  <c r="P37" i="35"/>
  <c r="O37" i="35"/>
  <c r="N37" i="35"/>
  <c r="M37" i="35"/>
  <c r="L37" i="35"/>
  <c r="K37" i="35"/>
  <c r="J37" i="35"/>
  <c r="I37" i="35"/>
  <c r="H37" i="35"/>
  <c r="G37" i="35"/>
  <c r="F37" i="35"/>
  <c r="E37" i="35"/>
  <c r="D37" i="35"/>
  <c r="C37" i="35"/>
  <c r="B37" i="35"/>
  <c r="AF36" i="35"/>
  <c r="AE36" i="35"/>
  <c r="AD36" i="35"/>
  <c r="AC36" i="35"/>
  <c r="AB36" i="35"/>
  <c r="AA36" i="35"/>
  <c r="Z36" i="35"/>
  <c r="Y36" i="35"/>
  <c r="X36" i="35"/>
  <c r="W36" i="35"/>
  <c r="V36" i="35"/>
  <c r="U36" i="35"/>
  <c r="T36" i="35"/>
  <c r="S36" i="35"/>
  <c r="R36" i="35"/>
  <c r="Q36" i="35"/>
  <c r="P36" i="35"/>
  <c r="O36" i="35"/>
  <c r="N36" i="35"/>
  <c r="M36" i="35"/>
  <c r="L36" i="35"/>
  <c r="K36" i="35"/>
  <c r="J36" i="35"/>
  <c r="I36" i="35"/>
  <c r="H36" i="35"/>
  <c r="G36" i="35"/>
  <c r="F36" i="35"/>
  <c r="E36" i="35"/>
  <c r="D36" i="35"/>
  <c r="C36" i="35"/>
  <c r="B36" i="35"/>
  <c r="AF35" i="35"/>
  <c r="AE35" i="35"/>
  <c r="AD35" i="35"/>
  <c r="AC35" i="35"/>
  <c r="AB35" i="35"/>
  <c r="AA35" i="35"/>
  <c r="Z35" i="35"/>
  <c r="Y35" i="35"/>
  <c r="X35" i="35"/>
  <c r="W35" i="35"/>
  <c r="V35" i="35"/>
  <c r="U35" i="35"/>
  <c r="T35" i="35"/>
  <c r="S35" i="35"/>
  <c r="R35" i="35"/>
  <c r="Q35" i="35"/>
  <c r="P35" i="35"/>
  <c r="O35" i="35"/>
  <c r="N35" i="35"/>
  <c r="M35" i="35"/>
  <c r="L35" i="35"/>
  <c r="K35" i="35"/>
  <c r="J35" i="35"/>
  <c r="I35" i="35"/>
  <c r="H35" i="35"/>
  <c r="G35" i="35"/>
  <c r="F35" i="35"/>
  <c r="E35" i="35"/>
  <c r="D35" i="35"/>
  <c r="C35" i="35"/>
  <c r="B35" i="35"/>
  <c r="AF34" i="35"/>
  <c r="AE34" i="35"/>
  <c r="AD34" i="35"/>
  <c r="AC34" i="35"/>
  <c r="AB34" i="35"/>
  <c r="AA34" i="35"/>
  <c r="Z34" i="35"/>
  <c r="Y34" i="35"/>
  <c r="X34" i="35"/>
  <c r="W34" i="35"/>
  <c r="V34" i="35"/>
  <c r="U34" i="35"/>
  <c r="T34" i="35"/>
  <c r="S34" i="35"/>
  <c r="R34" i="35"/>
  <c r="Q34" i="35"/>
  <c r="P34" i="35"/>
  <c r="O34" i="35"/>
  <c r="N34" i="35"/>
  <c r="M34" i="35"/>
  <c r="L34" i="35"/>
  <c r="K34" i="35"/>
  <c r="J34" i="35"/>
  <c r="I34" i="35"/>
  <c r="H34" i="35"/>
  <c r="G34" i="35"/>
  <c r="F34" i="35"/>
  <c r="E34" i="35"/>
  <c r="D34" i="35"/>
  <c r="C34" i="35"/>
  <c r="B34" i="35"/>
  <c r="AF33" i="35"/>
  <c r="AE33" i="35"/>
  <c r="AD33" i="35"/>
  <c r="AC33" i="35"/>
  <c r="AB33" i="35"/>
  <c r="AA33" i="35"/>
  <c r="Z33" i="35"/>
  <c r="Y33" i="35"/>
  <c r="X33" i="35"/>
  <c r="W33" i="35"/>
  <c r="V33" i="35"/>
  <c r="U33" i="35"/>
  <c r="T33" i="35"/>
  <c r="S33" i="35"/>
  <c r="R33" i="35"/>
  <c r="Q33" i="35"/>
  <c r="P33" i="35"/>
  <c r="O33" i="35"/>
  <c r="N33" i="35"/>
  <c r="M33" i="35"/>
  <c r="L33" i="35"/>
  <c r="K33" i="35"/>
  <c r="J33" i="35"/>
  <c r="I33" i="35"/>
  <c r="H33" i="35"/>
  <c r="G33" i="35"/>
  <c r="F33" i="35"/>
  <c r="E33" i="35"/>
  <c r="D33" i="35"/>
  <c r="C33" i="35"/>
  <c r="B33" i="35"/>
  <c r="AF32" i="35"/>
  <c r="AE32" i="35"/>
  <c r="AD32" i="35"/>
  <c r="AC32" i="35"/>
  <c r="AB32" i="35"/>
  <c r="AA32" i="35"/>
  <c r="Z32" i="35"/>
  <c r="Y32" i="35"/>
  <c r="X32" i="35"/>
  <c r="W32" i="35"/>
  <c r="V32" i="35"/>
  <c r="U32" i="35"/>
  <c r="T32" i="35"/>
  <c r="S32" i="35"/>
  <c r="R32" i="35"/>
  <c r="Q32" i="35"/>
  <c r="P32" i="35"/>
  <c r="O32" i="35"/>
  <c r="N32" i="35"/>
  <c r="M32" i="35"/>
  <c r="L32" i="35"/>
  <c r="K32" i="35"/>
  <c r="J32" i="35"/>
  <c r="I32" i="35"/>
  <c r="H32" i="35"/>
  <c r="G32" i="35"/>
  <c r="F32" i="35"/>
  <c r="E32" i="35"/>
  <c r="D32" i="35"/>
  <c r="C32" i="35"/>
  <c r="B32" i="35"/>
  <c r="AG32" i="35" s="1"/>
  <c r="AF31" i="35"/>
  <c r="AE31" i="35"/>
  <c r="AD31" i="35"/>
  <c r="AC31" i="35"/>
  <c r="AB31" i="35"/>
  <c r="AA31" i="35"/>
  <c r="Z31" i="35"/>
  <c r="Y31" i="35"/>
  <c r="X31" i="35"/>
  <c r="W31" i="35"/>
  <c r="V31" i="35"/>
  <c r="U31" i="35"/>
  <c r="T31" i="35"/>
  <c r="S31" i="35"/>
  <c r="R31" i="35"/>
  <c r="Q31" i="35"/>
  <c r="P31" i="35"/>
  <c r="O31" i="35"/>
  <c r="N31" i="35"/>
  <c r="M31" i="35"/>
  <c r="L31" i="35"/>
  <c r="K31" i="35"/>
  <c r="J31" i="35"/>
  <c r="I31" i="35"/>
  <c r="H31" i="35"/>
  <c r="G31" i="35"/>
  <c r="F31" i="35"/>
  <c r="E31" i="35"/>
  <c r="D31" i="35"/>
  <c r="C31" i="35"/>
  <c r="B31" i="35"/>
  <c r="AG31" i="35" s="1"/>
  <c r="AF30" i="35"/>
  <c r="AE30" i="35"/>
  <c r="AD30" i="35"/>
  <c r="AC30" i="35"/>
  <c r="AB30" i="35"/>
  <c r="AA30" i="35"/>
  <c r="Z30" i="35"/>
  <c r="Y30" i="35"/>
  <c r="X30" i="35"/>
  <c r="W30" i="35"/>
  <c r="V30" i="35"/>
  <c r="U30" i="35"/>
  <c r="T30" i="35"/>
  <c r="S30" i="35"/>
  <c r="R30" i="35"/>
  <c r="Q30" i="35"/>
  <c r="P30" i="35"/>
  <c r="O30" i="35"/>
  <c r="N30" i="35"/>
  <c r="M30" i="35"/>
  <c r="L30" i="35"/>
  <c r="K30" i="35"/>
  <c r="J30" i="35"/>
  <c r="I30" i="35"/>
  <c r="H30" i="35"/>
  <c r="G30" i="35"/>
  <c r="F30" i="35"/>
  <c r="E30" i="35"/>
  <c r="D30" i="35"/>
  <c r="C30" i="35"/>
  <c r="B30" i="35"/>
  <c r="AF29" i="35"/>
  <c r="AE29" i="35"/>
  <c r="AD29" i="35"/>
  <c r="AC29" i="35"/>
  <c r="AB29" i="35"/>
  <c r="AA29" i="35"/>
  <c r="Z29" i="35"/>
  <c r="Y29" i="35"/>
  <c r="X29" i="35"/>
  <c r="W29" i="35"/>
  <c r="V29" i="35"/>
  <c r="U29" i="35"/>
  <c r="T29" i="35"/>
  <c r="S29" i="35"/>
  <c r="R29" i="35"/>
  <c r="Q29" i="35"/>
  <c r="P29" i="35"/>
  <c r="O29" i="35"/>
  <c r="N29" i="35"/>
  <c r="M29" i="35"/>
  <c r="L29" i="35"/>
  <c r="K29" i="35"/>
  <c r="J29" i="35"/>
  <c r="I29" i="35"/>
  <c r="H29" i="35"/>
  <c r="G29" i="35"/>
  <c r="F29" i="35"/>
  <c r="E29" i="35"/>
  <c r="D29" i="35"/>
  <c r="C29" i="35"/>
  <c r="B29" i="35"/>
  <c r="AF28" i="35"/>
  <c r="AE28" i="35"/>
  <c r="AD28" i="35"/>
  <c r="AC28" i="35"/>
  <c r="AB28" i="35"/>
  <c r="AA28" i="35"/>
  <c r="Z28" i="35"/>
  <c r="Y28" i="35"/>
  <c r="X28" i="35"/>
  <c r="W28" i="35"/>
  <c r="V28" i="35"/>
  <c r="U28" i="35"/>
  <c r="T28" i="35"/>
  <c r="S28" i="35"/>
  <c r="R28" i="35"/>
  <c r="Q28" i="35"/>
  <c r="P28" i="35"/>
  <c r="O28" i="35"/>
  <c r="N28" i="35"/>
  <c r="M28" i="35"/>
  <c r="L28" i="35"/>
  <c r="K28" i="35"/>
  <c r="J28" i="35"/>
  <c r="I28" i="35"/>
  <c r="H28" i="35"/>
  <c r="G28" i="35"/>
  <c r="F28" i="35"/>
  <c r="E28" i="35"/>
  <c r="D28" i="35"/>
  <c r="C28" i="35"/>
  <c r="B28" i="35"/>
  <c r="AF27" i="35"/>
  <c r="AE27" i="35"/>
  <c r="AD27" i="35"/>
  <c r="AC27" i="35"/>
  <c r="AB27" i="35"/>
  <c r="AA27" i="35"/>
  <c r="Z27" i="35"/>
  <c r="Y27" i="35"/>
  <c r="X27" i="35"/>
  <c r="W27" i="35"/>
  <c r="V27" i="35"/>
  <c r="U27" i="35"/>
  <c r="T27" i="35"/>
  <c r="S27" i="35"/>
  <c r="R27" i="35"/>
  <c r="Q27" i="35"/>
  <c r="P27" i="35"/>
  <c r="O27" i="35"/>
  <c r="N27" i="35"/>
  <c r="M27" i="35"/>
  <c r="L27" i="35"/>
  <c r="K27" i="35"/>
  <c r="J27" i="35"/>
  <c r="I27" i="35"/>
  <c r="H27" i="35"/>
  <c r="G27" i="35"/>
  <c r="F27" i="35"/>
  <c r="E27" i="35"/>
  <c r="D27" i="35"/>
  <c r="C27" i="35"/>
  <c r="B27" i="35"/>
  <c r="AF26" i="35"/>
  <c r="AE26" i="35"/>
  <c r="AD26" i="35"/>
  <c r="AC26" i="35"/>
  <c r="AB26" i="35"/>
  <c r="AA26" i="35"/>
  <c r="Z26" i="35"/>
  <c r="Y26" i="35"/>
  <c r="X26" i="35"/>
  <c r="W26" i="35"/>
  <c r="V26" i="35"/>
  <c r="U26" i="35"/>
  <c r="T26" i="35"/>
  <c r="S26" i="35"/>
  <c r="R26" i="35"/>
  <c r="Q26" i="35"/>
  <c r="P26" i="35"/>
  <c r="O26" i="35"/>
  <c r="N26" i="35"/>
  <c r="M26" i="35"/>
  <c r="L26" i="35"/>
  <c r="K26" i="35"/>
  <c r="J26" i="35"/>
  <c r="I26" i="35"/>
  <c r="H26" i="35"/>
  <c r="G26" i="35"/>
  <c r="F26" i="35"/>
  <c r="E26" i="35"/>
  <c r="D26" i="35"/>
  <c r="C26" i="35"/>
  <c r="B26" i="35"/>
  <c r="AF25" i="35"/>
  <c r="AE25" i="35"/>
  <c r="AD25" i="35"/>
  <c r="AC25" i="35"/>
  <c r="AB25" i="35"/>
  <c r="AA25" i="35"/>
  <c r="Z25" i="35"/>
  <c r="Y25" i="35"/>
  <c r="X25" i="35"/>
  <c r="W25" i="35"/>
  <c r="V25" i="35"/>
  <c r="U25" i="35"/>
  <c r="T25" i="35"/>
  <c r="S25" i="35"/>
  <c r="R25" i="35"/>
  <c r="Q25" i="35"/>
  <c r="P25" i="35"/>
  <c r="O25" i="35"/>
  <c r="N25" i="35"/>
  <c r="M25" i="35"/>
  <c r="L25" i="35"/>
  <c r="K25" i="35"/>
  <c r="J25" i="35"/>
  <c r="I25" i="35"/>
  <c r="H25" i="35"/>
  <c r="G25" i="35"/>
  <c r="F25" i="35"/>
  <c r="E25" i="35"/>
  <c r="D25" i="35"/>
  <c r="C25" i="35"/>
  <c r="B25" i="35"/>
  <c r="AF24" i="35"/>
  <c r="AE24" i="35"/>
  <c r="AD24" i="35"/>
  <c r="AC24" i="35"/>
  <c r="AB24" i="35"/>
  <c r="AA24" i="35"/>
  <c r="Z24" i="35"/>
  <c r="Y24" i="35"/>
  <c r="X24" i="35"/>
  <c r="W24" i="35"/>
  <c r="V24" i="35"/>
  <c r="U24" i="35"/>
  <c r="T24" i="35"/>
  <c r="S24" i="35"/>
  <c r="R24" i="35"/>
  <c r="Q24" i="35"/>
  <c r="P24" i="35"/>
  <c r="O24" i="35"/>
  <c r="N24" i="35"/>
  <c r="M24" i="35"/>
  <c r="L24" i="35"/>
  <c r="K24" i="35"/>
  <c r="J24" i="35"/>
  <c r="I24" i="35"/>
  <c r="H24" i="35"/>
  <c r="G24" i="35"/>
  <c r="F24" i="35"/>
  <c r="E24" i="35"/>
  <c r="D24" i="35"/>
  <c r="C24" i="35"/>
  <c r="B24" i="35"/>
  <c r="AF23" i="35"/>
  <c r="AE23" i="35"/>
  <c r="AD23" i="35"/>
  <c r="AC23" i="35"/>
  <c r="AB23" i="35"/>
  <c r="AA23" i="35"/>
  <c r="Z23" i="35"/>
  <c r="Y23" i="35"/>
  <c r="X23" i="35"/>
  <c r="W23" i="35"/>
  <c r="V23" i="35"/>
  <c r="U23" i="35"/>
  <c r="T23" i="35"/>
  <c r="S23" i="35"/>
  <c r="R23" i="35"/>
  <c r="Q23" i="35"/>
  <c r="P23" i="35"/>
  <c r="O23" i="35"/>
  <c r="N23" i="35"/>
  <c r="M23" i="35"/>
  <c r="L23" i="35"/>
  <c r="K23" i="35"/>
  <c r="J23" i="35"/>
  <c r="I23" i="35"/>
  <c r="H23" i="35"/>
  <c r="G23" i="35"/>
  <c r="F23" i="35"/>
  <c r="E23" i="35"/>
  <c r="D23" i="35"/>
  <c r="C23" i="35"/>
  <c r="B23" i="35"/>
  <c r="AF22" i="35"/>
  <c r="AE22" i="35"/>
  <c r="AD22" i="35"/>
  <c r="AC22" i="35"/>
  <c r="AB22" i="35"/>
  <c r="AA22" i="35"/>
  <c r="Z22" i="35"/>
  <c r="Y22" i="35"/>
  <c r="X22" i="35"/>
  <c r="W22" i="35"/>
  <c r="V22" i="35"/>
  <c r="U22" i="35"/>
  <c r="T22" i="35"/>
  <c r="S22" i="35"/>
  <c r="R22" i="35"/>
  <c r="Q22" i="35"/>
  <c r="P22" i="35"/>
  <c r="O22" i="35"/>
  <c r="N22" i="35"/>
  <c r="M22" i="35"/>
  <c r="L22" i="35"/>
  <c r="K22" i="35"/>
  <c r="J22" i="35"/>
  <c r="I22" i="35"/>
  <c r="H22" i="35"/>
  <c r="G22" i="35"/>
  <c r="F22" i="35"/>
  <c r="E22" i="35"/>
  <c r="D22" i="35"/>
  <c r="C22" i="35"/>
  <c r="B22" i="35"/>
  <c r="AF21" i="35"/>
  <c r="AE21" i="35"/>
  <c r="AD21" i="35"/>
  <c r="AC21" i="35"/>
  <c r="AB21" i="35"/>
  <c r="AA21" i="35"/>
  <c r="Z21" i="35"/>
  <c r="Y21" i="35"/>
  <c r="X21" i="35"/>
  <c r="W21" i="35"/>
  <c r="V21" i="35"/>
  <c r="U21" i="35"/>
  <c r="T21" i="35"/>
  <c r="S21" i="35"/>
  <c r="R21" i="35"/>
  <c r="Q21" i="35"/>
  <c r="P21" i="35"/>
  <c r="O21" i="35"/>
  <c r="N21" i="35"/>
  <c r="M21" i="35"/>
  <c r="L21" i="35"/>
  <c r="K21" i="35"/>
  <c r="J21" i="35"/>
  <c r="I21" i="35"/>
  <c r="H21" i="35"/>
  <c r="G21" i="35"/>
  <c r="F21" i="35"/>
  <c r="E21" i="35"/>
  <c r="D21" i="35"/>
  <c r="C21" i="35"/>
  <c r="B21" i="35"/>
  <c r="AF20" i="35"/>
  <c r="AE20" i="35"/>
  <c r="AD20" i="35"/>
  <c r="AC20" i="35"/>
  <c r="AB20" i="35"/>
  <c r="AA20" i="35"/>
  <c r="Z20" i="35"/>
  <c r="Y20" i="35"/>
  <c r="X20" i="35"/>
  <c r="W20" i="35"/>
  <c r="V20" i="35"/>
  <c r="U20" i="35"/>
  <c r="T20" i="35"/>
  <c r="S20" i="35"/>
  <c r="R20" i="35"/>
  <c r="Q20" i="35"/>
  <c r="P20" i="35"/>
  <c r="O20" i="35"/>
  <c r="N20" i="35"/>
  <c r="M20" i="35"/>
  <c r="L20" i="35"/>
  <c r="K20" i="35"/>
  <c r="J20" i="35"/>
  <c r="I20" i="35"/>
  <c r="H20" i="35"/>
  <c r="G20" i="35"/>
  <c r="F20" i="35"/>
  <c r="E20" i="35"/>
  <c r="D20" i="35"/>
  <c r="C20" i="35"/>
  <c r="B20" i="35"/>
  <c r="AF19" i="35"/>
  <c r="AE19" i="35"/>
  <c r="AD19" i="35"/>
  <c r="AC19" i="35"/>
  <c r="AB19" i="35"/>
  <c r="AA19" i="35"/>
  <c r="Z19" i="35"/>
  <c r="Y19" i="35"/>
  <c r="X19" i="35"/>
  <c r="W19" i="35"/>
  <c r="V19" i="35"/>
  <c r="U19" i="35"/>
  <c r="T19" i="35"/>
  <c r="S19" i="35"/>
  <c r="R19" i="35"/>
  <c r="Q19" i="35"/>
  <c r="P19" i="35"/>
  <c r="O19" i="35"/>
  <c r="N19" i="35"/>
  <c r="M19" i="35"/>
  <c r="L19" i="35"/>
  <c r="K19" i="35"/>
  <c r="J19" i="35"/>
  <c r="I19" i="35"/>
  <c r="H19" i="35"/>
  <c r="G19" i="35"/>
  <c r="F19" i="35"/>
  <c r="E19" i="35"/>
  <c r="D19" i="35"/>
  <c r="C19" i="35"/>
  <c r="B19" i="35"/>
  <c r="AF18" i="35"/>
  <c r="AE18" i="35"/>
  <c r="AD18" i="35"/>
  <c r="AC18" i="35"/>
  <c r="AB18" i="35"/>
  <c r="AA18" i="35"/>
  <c r="Z18" i="35"/>
  <c r="Y18" i="35"/>
  <c r="X18" i="35"/>
  <c r="W18" i="35"/>
  <c r="V18" i="35"/>
  <c r="U18" i="35"/>
  <c r="T18" i="35"/>
  <c r="S18" i="35"/>
  <c r="R18" i="35"/>
  <c r="Q18" i="35"/>
  <c r="P18" i="35"/>
  <c r="O18" i="35"/>
  <c r="N18" i="35"/>
  <c r="M18" i="35"/>
  <c r="L18" i="35"/>
  <c r="K18" i="35"/>
  <c r="J18" i="35"/>
  <c r="I18" i="35"/>
  <c r="H18" i="35"/>
  <c r="G18" i="35"/>
  <c r="F18" i="35"/>
  <c r="E18" i="35"/>
  <c r="D18" i="35"/>
  <c r="C18" i="35"/>
  <c r="B18" i="35"/>
  <c r="AF17" i="35"/>
  <c r="AE17" i="35"/>
  <c r="AD17" i="35"/>
  <c r="AC17" i="35"/>
  <c r="AB17" i="35"/>
  <c r="AA17" i="35"/>
  <c r="Z17" i="35"/>
  <c r="Y17" i="35"/>
  <c r="X17" i="35"/>
  <c r="W17" i="35"/>
  <c r="V17" i="35"/>
  <c r="U17" i="35"/>
  <c r="T17" i="35"/>
  <c r="S17" i="35"/>
  <c r="R17" i="35"/>
  <c r="Q17" i="35"/>
  <c r="P17" i="35"/>
  <c r="O17" i="35"/>
  <c r="N17" i="35"/>
  <c r="M17" i="35"/>
  <c r="L17" i="35"/>
  <c r="K17" i="35"/>
  <c r="J17" i="35"/>
  <c r="I17" i="35"/>
  <c r="H17" i="35"/>
  <c r="G17" i="35"/>
  <c r="F17" i="35"/>
  <c r="E17" i="35"/>
  <c r="D17" i="35"/>
  <c r="C17" i="35"/>
  <c r="B17" i="35"/>
  <c r="AF16" i="35"/>
  <c r="AE16" i="35"/>
  <c r="AD16" i="35"/>
  <c r="AC16" i="35"/>
  <c r="AB16" i="35"/>
  <c r="AA16" i="35"/>
  <c r="Z16" i="35"/>
  <c r="Y16" i="35"/>
  <c r="X16" i="35"/>
  <c r="W16" i="35"/>
  <c r="V16" i="35"/>
  <c r="U16" i="35"/>
  <c r="T16" i="35"/>
  <c r="S16" i="35"/>
  <c r="R16" i="35"/>
  <c r="Q16" i="35"/>
  <c r="P16" i="35"/>
  <c r="O16" i="35"/>
  <c r="N16" i="35"/>
  <c r="M16" i="35"/>
  <c r="L16" i="35"/>
  <c r="K16" i="35"/>
  <c r="J16" i="35"/>
  <c r="I16" i="35"/>
  <c r="H16" i="35"/>
  <c r="G16" i="35"/>
  <c r="F16" i="35"/>
  <c r="E16" i="35"/>
  <c r="D16" i="35"/>
  <c r="C16" i="35"/>
  <c r="B16" i="35"/>
  <c r="AG16" i="35" s="1"/>
  <c r="AF15" i="35"/>
  <c r="AE15" i="35"/>
  <c r="AD15" i="35"/>
  <c r="AC15" i="35"/>
  <c r="AB15" i="35"/>
  <c r="AA15" i="35"/>
  <c r="Z15" i="35"/>
  <c r="Y15" i="35"/>
  <c r="X15" i="35"/>
  <c r="W15" i="35"/>
  <c r="V15" i="35"/>
  <c r="U15" i="35"/>
  <c r="T15" i="35"/>
  <c r="S15" i="35"/>
  <c r="R15" i="35"/>
  <c r="Q15" i="35"/>
  <c r="P15" i="35"/>
  <c r="O15" i="35"/>
  <c r="N15" i="35"/>
  <c r="M15" i="35"/>
  <c r="L15" i="35"/>
  <c r="K15" i="35"/>
  <c r="J15" i="35"/>
  <c r="I15" i="35"/>
  <c r="H15" i="35"/>
  <c r="G15" i="35"/>
  <c r="F15" i="35"/>
  <c r="E15" i="35"/>
  <c r="D15" i="35"/>
  <c r="C15" i="35"/>
  <c r="B15" i="35"/>
  <c r="AG15" i="35" s="1"/>
  <c r="AF14" i="35"/>
  <c r="AE14" i="35"/>
  <c r="AD14" i="35"/>
  <c r="AC14" i="35"/>
  <c r="AB14" i="35"/>
  <c r="AA14" i="35"/>
  <c r="Z14" i="35"/>
  <c r="Y14" i="35"/>
  <c r="X14" i="35"/>
  <c r="W14" i="35"/>
  <c r="V14" i="35"/>
  <c r="U14" i="35"/>
  <c r="T14" i="35"/>
  <c r="S14" i="35"/>
  <c r="R14" i="35"/>
  <c r="Q14" i="35"/>
  <c r="P14" i="35"/>
  <c r="O14" i="35"/>
  <c r="N14" i="35"/>
  <c r="M14" i="35"/>
  <c r="L14" i="35"/>
  <c r="K14" i="35"/>
  <c r="J14" i="35"/>
  <c r="I14" i="35"/>
  <c r="H14" i="35"/>
  <c r="G14" i="35"/>
  <c r="F14" i="35"/>
  <c r="E14" i="35"/>
  <c r="D14" i="35"/>
  <c r="C14" i="35"/>
  <c r="B14" i="35"/>
  <c r="AF13" i="35"/>
  <c r="AE13" i="35"/>
  <c r="AD13" i="35"/>
  <c r="AC13" i="35"/>
  <c r="AB13" i="35"/>
  <c r="AA13" i="35"/>
  <c r="Z13" i="35"/>
  <c r="Y13" i="35"/>
  <c r="X13" i="35"/>
  <c r="W13" i="35"/>
  <c r="V13" i="35"/>
  <c r="U13" i="35"/>
  <c r="T13" i="35"/>
  <c r="S13" i="35"/>
  <c r="R13" i="35"/>
  <c r="Q13" i="35"/>
  <c r="P13" i="35"/>
  <c r="O13" i="35"/>
  <c r="N13" i="35"/>
  <c r="M13" i="35"/>
  <c r="L13" i="35"/>
  <c r="K13" i="35"/>
  <c r="J13" i="35"/>
  <c r="I13" i="35"/>
  <c r="H13" i="35"/>
  <c r="G13" i="35"/>
  <c r="F13" i="35"/>
  <c r="E13" i="35"/>
  <c r="D13" i="35"/>
  <c r="C13" i="35"/>
  <c r="B13" i="35"/>
  <c r="AF12" i="35"/>
  <c r="AE12" i="35"/>
  <c r="AD12" i="35"/>
  <c r="AC12" i="35"/>
  <c r="AB12" i="35"/>
  <c r="AA12" i="35"/>
  <c r="Z12" i="35"/>
  <c r="Y12" i="35"/>
  <c r="X12" i="35"/>
  <c r="W12" i="35"/>
  <c r="V12" i="35"/>
  <c r="U12" i="35"/>
  <c r="T12" i="35"/>
  <c r="S12" i="35"/>
  <c r="R12" i="35"/>
  <c r="Q12" i="35"/>
  <c r="P12" i="35"/>
  <c r="O12" i="35"/>
  <c r="N12" i="35"/>
  <c r="M12" i="35"/>
  <c r="L12" i="35"/>
  <c r="K12" i="35"/>
  <c r="J12" i="35"/>
  <c r="I12" i="35"/>
  <c r="H12" i="35"/>
  <c r="G12" i="35"/>
  <c r="F12" i="35"/>
  <c r="E12" i="35"/>
  <c r="D12" i="35"/>
  <c r="C12" i="35"/>
  <c r="B12" i="35"/>
  <c r="AF11" i="35"/>
  <c r="AE11" i="35"/>
  <c r="AD11" i="35"/>
  <c r="AC11" i="35"/>
  <c r="AB11" i="35"/>
  <c r="AA11" i="35"/>
  <c r="Z11" i="35"/>
  <c r="Y11" i="35"/>
  <c r="X11" i="35"/>
  <c r="W11" i="35"/>
  <c r="V11" i="35"/>
  <c r="U11" i="35"/>
  <c r="T11" i="35"/>
  <c r="S11" i="35"/>
  <c r="R11" i="35"/>
  <c r="Q11" i="35"/>
  <c r="P11" i="35"/>
  <c r="O11" i="35"/>
  <c r="N11" i="35"/>
  <c r="M11" i="35"/>
  <c r="L11" i="35"/>
  <c r="K11" i="35"/>
  <c r="J11" i="35"/>
  <c r="I11" i="35"/>
  <c r="H11" i="35"/>
  <c r="G11" i="35"/>
  <c r="F11" i="35"/>
  <c r="E11" i="35"/>
  <c r="D11" i="35"/>
  <c r="C11" i="35"/>
  <c r="B11" i="35"/>
  <c r="AF10" i="35"/>
  <c r="AE10" i="35"/>
  <c r="AD10" i="35"/>
  <c r="AC10" i="35"/>
  <c r="AB10" i="35"/>
  <c r="AA10" i="35"/>
  <c r="Z10" i="35"/>
  <c r="Y10" i="35"/>
  <c r="X10" i="35"/>
  <c r="W10" i="35"/>
  <c r="V10" i="35"/>
  <c r="U10" i="35"/>
  <c r="T10" i="35"/>
  <c r="S10" i="35"/>
  <c r="R10" i="35"/>
  <c r="Q10" i="35"/>
  <c r="P10" i="35"/>
  <c r="O10" i="35"/>
  <c r="N10" i="35"/>
  <c r="M10" i="35"/>
  <c r="L10" i="35"/>
  <c r="K10" i="35"/>
  <c r="J10" i="35"/>
  <c r="I10" i="35"/>
  <c r="H10" i="35"/>
  <c r="G10" i="35"/>
  <c r="F10" i="35"/>
  <c r="E10" i="35"/>
  <c r="D10" i="35"/>
  <c r="C10" i="35"/>
  <c r="B10" i="35"/>
  <c r="AF9" i="35"/>
  <c r="AE9" i="35"/>
  <c r="AD9" i="35"/>
  <c r="AC9" i="35"/>
  <c r="AB9" i="35"/>
  <c r="AA9" i="35"/>
  <c r="Z9" i="35"/>
  <c r="Y9" i="35"/>
  <c r="X9" i="35"/>
  <c r="W9" i="35"/>
  <c r="V9" i="35"/>
  <c r="U9" i="35"/>
  <c r="T9" i="35"/>
  <c r="S9" i="35"/>
  <c r="R9" i="35"/>
  <c r="Q9" i="35"/>
  <c r="P9" i="35"/>
  <c r="O9" i="35"/>
  <c r="N9" i="35"/>
  <c r="M9" i="35"/>
  <c r="L9" i="35"/>
  <c r="K9" i="35"/>
  <c r="J9" i="35"/>
  <c r="I9" i="35"/>
  <c r="H9" i="35"/>
  <c r="G9" i="35"/>
  <c r="F9" i="35"/>
  <c r="E9" i="35"/>
  <c r="D9" i="35"/>
  <c r="C9" i="35"/>
  <c r="B9" i="35"/>
  <c r="AF8" i="35"/>
  <c r="AE8" i="35"/>
  <c r="AD8" i="35"/>
  <c r="AC8" i="35"/>
  <c r="AB8" i="35"/>
  <c r="AA8" i="35"/>
  <c r="Z8" i="35"/>
  <c r="Y8" i="35"/>
  <c r="X8" i="35"/>
  <c r="W8" i="35"/>
  <c r="V8" i="35"/>
  <c r="U8" i="35"/>
  <c r="T8" i="35"/>
  <c r="S8" i="35"/>
  <c r="R8" i="35"/>
  <c r="Q8" i="35"/>
  <c r="P8" i="35"/>
  <c r="O8" i="35"/>
  <c r="N8" i="35"/>
  <c r="M8" i="35"/>
  <c r="L8" i="35"/>
  <c r="K8" i="35"/>
  <c r="J8" i="35"/>
  <c r="I8" i="35"/>
  <c r="H8" i="35"/>
  <c r="G8" i="35"/>
  <c r="F8" i="35"/>
  <c r="E8" i="35"/>
  <c r="D8" i="35"/>
  <c r="C8" i="35"/>
  <c r="B8" i="35"/>
  <c r="AF7" i="35"/>
  <c r="AE7" i="35"/>
  <c r="AD7" i="35"/>
  <c r="AC7" i="35"/>
  <c r="AB7" i="35"/>
  <c r="AA7" i="35"/>
  <c r="Z7" i="35"/>
  <c r="Y7" i="35"/>
  <c r="X7" i="35"/>
  <c r="W7" i="35"/>
  <c r="V7" i="35"/>
  <c r="U7" i="35"/>
  <c r="T7" i="35"/>
  <c r="S7" i="35"/>
  <c r="R7" i="35"/>
  <c r="Q7" i="35"/>
  <c r="P7" i="35"/>
  <c r="O7" i="35"/>
  <c r="N7" i="35"/>
  <c r="M7" i="35"/>
  <c r="L7" i="35"/>
  <c r="K7" i="35"/>
  <c r="J7" i="35"/>
  <c r="I7" i="35"/>
  <c r="H7" i="35"/>
  <c r="G7" i="35"/>
  <c r="F7" i="35"/>
  <c r="E7" i="35"/>
  <c r="D7" i="35"/>
  <c r="C7" i="35"/>
  <c r="B7" i="35"/>
  <c r="AG7" i="35" s="1"/>
  <c r="AF6" i="35"/>
  <c r="AE6" i="35"/>
  <c r="AD6" i="35"/>
  <c r="AC6" i="35"/>
  <c r="AB6" i="35"/>
  <c r="AA6" i="35"/>
  <c r="Z6" i="35"/>
  <c r="Y6" i="35"/>
  <c r="X6" i="35"/>
  <c r="W6" i="35"/>
  <c r="V6" i="35"/>
  <c r="U6" i="35"/>
  <c r="T6" i="35"/>
  <c r="S6" i="35"/>
  <c r="R6" i="35"/>
  <c r="Q6" i="35"/>
  <c r="P6" i="35"/>
  <c r="O6" i="35"/>
  <c r="N6" i="35"/>
  <c r="M6" i="35"/>
  <c r="L6" i="35"/>
  <c r="K6" i="35"/>
  <c r="J6" i="35"/>
  <c r="I6" i="35"/>
  <c r="H6" i="35"/>
  <c r="G6" i="35"/>
  <c r="F6" i="35"/>
  <c r="E6" i="35"/>
  <c r="C6" i="35"/>
  <c r="B6" i="35"/>
  <c r="AF5" i="35"/>
  <c r="AE5" i="35"/>
  <c r="AD5" i="35"/>
  <c r="AC5" i="35"/>
  <c r="AB5" i="35"/>
  <c r="AA5" i="35"/>
  <c r="Z5" i="35"/>
  <c r="Y5" i="35"/>
  <c r="X5" i="35"/>
  <c r="W5" i="35"/>
  <c r="V5" i="35"/>
  <c r="U5" i="35"/>
  <c r="T5" i="35"/>
  <c r="S5" i="35"/>
  <c r="R5" i="35"/>
  <c r="Q5" i="35"/>
  <c r="P5" i="35"/>
  <c r="O5" i="35"/>
  <c r="N5" i="35"/>
  <c r="M5" i="35"/>
  <c r="L5" i="35"/>
  <c r="K5" i="35"/>
  <c r="J5" i="35"/>
  <c r="I5" i="35"/>
  <c r="H5" i="35"/>
  <c r="G5" i="35"/>
  <c r="F5" i="35"/>
  <c r="E5" i="35"/>
  <c r="D5" i="35"/>
  <c r="C5" i="35"/>
  <c r="B5" i="35"/>
  <c r="AF4" i="35"/>
  <c r="AE4" i="35"/>
  <c r="AD4" i="35"/>
  <c r="AC4" i="35"/>
  <c r="AB4" i="35"/>
  <c r="AA4" i="35"/>
  <c r="Z4" i="35"/>
  <c r="Y4" i="35"/>
  <c r="X4" i="35"/>
  <c r="W4" i="35"/>
  <c r="V4" i="35"/>
  <c r="U4" i="35"/>
  <c r="T4" i="35"/>
  <c r="S4" i="35"/>
  <c r="R4" i="35"/>
  <c r="Q4" i="35"/>
  <c r="P4" i="35"/>
  <c r="O4" i="35"/>
  <c r="N4" i="35"/>
  <c r="M4" i="35"/>
  <c r="L4" i="35"/>
  <c r="K4" i="35"/>
  <c r="J4" i="35"/>
  <c r="I4" i="35"/>
  <c r="H4" i="35"/>
  <c r="G4" i="35"/>
  <c r="F4" i="35"/>
  <c r="E4" i="35"/>
  <c r="D4" i="35"/>
  <c r="C4" i="35"/>
  <c r="B4" i="35"/>
  <c r="T50" i="29"/>
  <c r="T51" i="29"/>
  <c r="T52" i="29"/>
  <c r="T53" i="29"/>
  <c r="T54" i="29"/>
  <c r="T4" i="29"/>
  <c r="T5" i="29"/>
  <c r="T6" i="29"/>
  <c r="T7" i="29"/>
  <c r="T8" i="29"/>
  <c r="T9" i="29"/>
  <c r="T10" i="29"/>
  <c r="T11" i="29"/>
  <c r="T12" i="29"/>
  <c r="T13" i="29"/>
  <c r="T14" i="29"/>
  <c r="T15" i="29"/>
  <c r="T16" i="29"/>
  <c r="T17" i="29"/>
  <c r="T18" i="29"/>
  <c r="T19" i="29"/>
  <c r="T20" i="29"/>
  <c r="T21" i="29"/>
  <c r="T22" i="29"/>
  <c r="T23" i="29"/>
  <c r="T24" i="29"/>
  <c r="T25" i="29"/>
  <c r="T26" i="29"/>
  <c r="T27" i="29"/>
  <c r="T28" i="29"/>
  <c r="T29" i="29"/>
  <c r="T30" i="29"/>
  <c r="T31" i="29"/>
  <c r="T32" i="29"/>
  <c r="T33" i="29"/>
  <c r="T34" i="29"/>
  <c r="T35" i="29"/>
  <c r="T36" i="29"/>
  <c r="T37" i="29"/>
  <c r="T38" i="29"/>
  <c r="T39" i="29"/>
  <c r="T40" i="29"/>
  <c r="T41" i="29"/>
  <c r="T42" i="29"/>
  <c r="T43" i="29"/>
  <c r="T44" i="29"/>
  <c r="T45" i="29"/>
  <c r="T46" i="29"/>
  <c r="T47" i="29"/>
  <c r="T48" i="29"/>
  <c r="T49" i="29"/>
  <c r="L38" i="29"/>
  <c r="J38" i="27"/>
  <c r="J23" i="27"/>
  <c r="J24" i="27"/>
  <c r="J25" i="27"/>
  <c r="J26" i="27"/>
  <c r="J27" i="27"/>
  <c r="J28" i="27"/>
  <c r="J29" i="27"/>
  <c r="J30" i="27"/>
  <c r="J31" i="27"/>
  <c r="J32" i="27"/>
  <c r="J33" i="27"/>
  <c r="J34" i="27"/>
  <c r="L33" i="20"/>
  <c r="J38" i="25"/>
  <c r="J21" i="25"/>
  <c r="L48" i="20"/>
  <c r="CB8" i="20"/>
  <c r="CC8" i="20" s="1"/>
  <c r="M50" i="20" s="1"/>
  <c r="CA8" i="20" a="1"/>
  <c r="CA8" i="20" s="1"/>
  <c r="CB4" i="20"/>
  <c r="CC4" i="20" s="1"/>
  <c r="J17" i="20" s="1"/>
  <c r="L17" i="20"/>
  <c r="CA4" i="20"/>
  <c r="E10" i="20"/>
  <c r="P5" i="20"/>
  <c r="C1" i="20" s="1"/>
  <c r="P13" i="34"/>
  <c r="P14" i="34"/>
  <c r="Q14" i="34"/>
  <c r="P15" i="34"/>
  <c r="P16" i="34"/>
  <c r="P17" i="34"/>
  <c r="P18" i="34"/>
  <c r="Q18" i="34"/>
  <c r="P19" i="34"/>
  <c r="P20" i="34"/>
  <c r="Q12" i="34"/>
  <c r="P12" i="34"/>
  <c r="J13" i="34"/>
  <c r="J14" i="34"/>
  <c r="J15" i="34"/>
  <c r="J16" i="34"/>
  <c r="J17" i="34"/>
  <c r="J18" i="34"/>
  <c r="J19" i="34"/>
  <c r="Q19" i="34" s="1"/>
  <c r="J20" i="34"/>
  <c r="Q20" i="34" s="1"/>
  <c r="J12" i="34"/>
  <c r="BF9" i="29"/>
  <c r="BF7" i="29"/>
  <c r="BF24" i="29"/>
  <c r="BE24" i="29"/>
  <c r="BF13" i="29"/>
  <c r="BF14" i="29" s="1"/>
  <c r="BF15" i="29" s="1"/>
  <c r="BF16" i="29" s="1"/>
  <c r="BF17" i="29" s="1"/>
  <c r="M38" i="29" l="1"/>
  <c r="N38" i="29"/>
  <c r="AG23" i="35"/>
  <c r="AG39" i="35"/>
  <c r="AG52" i="35"/>
  <c r="AG14" i="35"/>
  <c r="AG30" i="35"/>
  <c r="AG46" i="35"/>
  <c r="AG12" i="35"/>
  <c r="AG28" i="35"/>
  <c r="AG44" i="35"/>
  <c r="AG22" i="35"/>
  <c r="AG38" i="35"/>
  <c r="AG37" i="35"/>
  <c r="AG51" i="35"/>
  <c r="AG6" i="35"/>
  <c r="AG21" i="35"/>
  <c r="AG20" i="35"/>
  <c r="S37" i="36"/>
  <c r="S19" i="36"/>
  <c r="S50" i="36"/>
  <c r="S22" i="36"/>
  <c r="S12" i="36"/>
  <c r="S61" i="36"/>
  <c r="S60" i="36"/>
  <c r="S31" i="36"/>
  <c r="S17" i="36"/>
  <c r="S63" i="36"/>
  <c r="S29" i="36"/>
  <c r="S54" i="36"/>
  <c r="S56" i="36"/>
  <c r="AG36" i="35"/>
  <c r="AG4" i="35"/>
  <c r="AG19" i="35"/>
  <c r="AG35" i="35"/>
  <c r="AG5" i="35"/>
  <c r="AG18" i="35"/>
  <c r="AG34" i="35"/>
  <c r="AG50" i="35"/>
  <c r="AG17" i="35"/>
  <c r="AG33" i="35"/>
  <c r="AG49" i="35"/>
  <c r="AG13" i="35"/>
  <c r="AG29" i="35"/>
  <c r="AG45" i="35"/>
  <c r="AG11" i="35"/>
  <c r="AG27" i="35"/>
  <c r="AG43" i="35"/>
  <c r="AG10" i="35"/>
  <c r="AG26" i="35"/>
  <c r="AG42" i="35"/>
  <c r="AG55" i="35"/>
  <c r="AG9" i="35"/>
  <c r="AG25" i="35"/>
  <c r="AG41" i="35"/>
  <c r="AG54" i="35"/>
  <c r="AG8" i="35"/>
  <c r="AG24" i="35"/>
  <c r="AG40" i="35"/>
  <c r="AG53" i="35"/>
  <c r="S66" i="36"/>
  <c r="S76" i="36"/>
  <c r="S78" i="36"/>
  <c r="S34" i="36"/>
  <c r="S44" i="36"/>
  <c r="S58" i="36"/>
  <c r="S18" i="36"/>
  <c r="S28" i="36"/>
  <c r="S42" i="36"/>
  <c r="S15" i="36"/>
  <c r="S65" i="36"/>
  <c r="S25" i="36"/>
  <c r="S53" i="36"/>
  <c r="S62" i="36"/>
  <c r="S21" i="36"/>
  <c r="S51" i="36"/>
  <c r="S45" i="36"/>
  <c r="S36" i="36"/>
  <c r="S16" i="36"/>
  <c r="S75" i="36"/>
  <c r="S49" i="36"/>
  <c r="S14" i="36"/>
  <c r="S59" i="36"/>
  <c r="S73" i="36"/>
  <c r="S38" i="36"/>
  <c r="S43" i="36"/>
  <c r="S57" i="36"/>
  <c r="S70" i="36"/>
  <c r="S52" i="36"/>
  <c r="S27" i="36"/>
  <c r="S72" i="36"/>
  <c r="S67" i="36"/>
  <c r="S47" i="36"/>
  <c r="S64" i="36"/>
  <c r="S24" i="36"/>
  <c r="S35" i="36"/>
  <c r="S30" i="36"/>
  <c r="S32" i="36"/>
  <c r="S55" i="36"/>
  <c r="S41" i="36"/>
  <c r="S68" i="36"/>
  <c r="S69" i="36"/>
  <c r="S46" i="36"/>
  <c r="S40" i="36"/>
  <c r="S33" i="36"/>
  <c r="S48" i="36"/>
  <c r="S74" i="36"/>
  <c r="S71" i="36"/>
  <c r="S39" i="36"/>
  <c r="S20" i="36"/>
  <c r="S13" i="36"/>
  <c r="S77" i="36"/>
  <c r="S26" i="36"/>
  <c r="R16" i="34"/>
  <c r="L16" i="34" s="1"/>
  <c r="R14" i="34"/>
  <c r="L14" i="34" s="1"/>
  <c r="K14" i="34" s="1"/>
  <c r="R13" i="34"/>
  <c r="L13" i="34" s="1"/>
  <c r="K13" i="34" s="1"/>
  <c r="R12" i="34"/>
  <c r="R18" i="34"/>
  <c r="L18" i="34" s="1"/>
  <c r="K18" i="34" s="1"/>
  <c r="R17" i="34"/>
  <c r="L17" i="34" s="1"/>
  <c r="R15" i="34"/>
  <c r="L15" i="34" s="1"/>
  <c r="K17" i="20"/>
  <c r="N50" i="20"/>
  <c r="R20" i="34"/>
  <c r="L20" i="34" s="1"/>
  <c r="R19" i="34"/>
  <c r="L19" i="34" s="1"/>
  <c r="K19" i="34" s="1"/>
  <c r="Q17" i="34"/>
  <c r="Q16" i="34"/>
  <c r="Q15" i="34"/>
  <c r="Q13" i="34"/>
  <c r="H12" i="34"/>
  <c r="G12" i="34" s="1"/>
  <c r="H13" i="34"/>
  <c r="G13" i="34" s="1"/>
  <c r="H14" i="34"/>
  <c r="G14" i="34" s="1"/>
  <c r="H15" i="34"/>
  <c r="G15" i="34" s="1"/>
  <c r="H16" i="34"/>
  <c r="G16" i="34" s="1"/>
  <c r="H17" i="34"/>
  <c r="G17" i="34" s="1"/>
  <c r="H18" i="34"/>
  <c r="G18" i="34" s="1"/>
  <c r="H19" i="34"/>
  <c r="H20" i="34"/>
  <c r="G20" i="34" s="1"/>
  <c r="D21" i="34"/>
  <c r="D30" i="34"/>
  <c r="E30" i="34"/>
  <c r="J31" i="34"/>
  <c r="B33" i="34"/>
  <c r="J35" i="34"/>
  <c r="M35" i="34" s="1"/>
  <c r="J36" i="34"/>
  <c r="M36" i="34" s="1"/>
  <c r="J37" i="34"/>
  <c r="M37" i="34" s="1"/>
  <c r="D43" i="34"/>
  <c r="E43" i="34"/>
  <c r="J43" i="34"/>
  <c r="E44" i="34"/>
  <c r="J47" i="34"/>
  <c r="AX35" i="29"/>
  <c r="AT35" i="29"/>
  <c r="AX34" i="29"/>
  <c r="AT34" i="29"/>
  <c r="AX33" i="29"/>
  <c r="AT33" i="29"/>
  <c r="AX32" i="29"/>
  <c r="AT32" i="29"/>
  <c r="AX31" i="29"/>
  <c r="AT31" i="29"/>
  <c r="AX30" i="29"/>
  <c r="AT30" i="29"/>
  <c r="AX29" i="29"/>
  <c r="AT29" i="29"/>
  <c r="AX28" i="29"/>
  <c r="AT28" i="29"/>
  <c r="AQ7" i="29"/>
  <c r="AQ8" i="29"/>
  <c r="AQ9" i="29"/>
  <c r="AQ10" i="29"/>
  <c r="AQ11" i="29"/>
  <c r="AQ12" i="29"/>
  <c r="AQ13" i="29"/>
  <c r="AQ14" i="29"/>
  <c r="AQ15" i="29"/>
  <c r="AQ16" i="29"/>
  <c r="AQ17" i="29"/>
  <c r="AQ18" i="29"/>
  <c r="AQ19" i="29"/>
  <c r="AQ20" i="29"/>
  <c r="AQ21" i="29"/>
  <c r="AQ22" i="29"/>
  <c r="AQ23" i="29"/>
  <c r="AQ24" i="29"/>
  <c r="AQ25" i="29"/>
  <c r="AQ6" i="29"/>
  <c r="AN4" i="29"/>
  <c r="Q40" i="29" l="1"/>
  <c r="Q47" i="29"/>
  <c r="Q51" i="29"/>
  <c r="Q39" i="29"/>
  <c r="Q49" i="29"/>
  <c r="Q38" i="29"/>
  <c r="Q46" i="29"/>
  <c r="Q52" i="29"/>
  <c r="Q48" i="29"/>
  <c r="Q44" i="29"/>
  <c r="Q43" i="29"/>
  <c r="Q50" i="29"/>
  <c r="Q45" i="29"/>
  <c r="Q42" i="29"/>
  <c r="Q41" i="29"/>
  <c r="P38" i="29"/>
  <c r="O47" i="29"/>
  <c r="O52" i="29"/>
  <c r="P46" i="29"/>
  <c r="O39" i="29"/>
  <c r="O45" i="29"/>
  <c r="P51" i="29"/>
  <c r="O44" i="29"/>
  <c r="P40" i="29"/>
  <c r="O50" i="29"/>
  <c r="P45" i="29"/>
  <c r="P41" i="29"/>
  <c r="P44" i="29"/>
  <c r="P42" i="29"/>
  <c r="P39" i="29"/>
  <c r="O51" i="29"/>
  <c r="O43" i="29"/>
  <c r="P50" i="29"/>
  <c r="P43" i="29"/>
  <c r="O49" i="29"/>
  <c r="O42" i="29"/>
  <c r="O46" i="29"/>
  <c r="P52" i="29"/>
  <c r="O41" i="29"/>
  <c r="P49" i="29"/>
  <c r="O38" i="29"/>
  <c r="P47" i="29"/>
  <c r="O48" i="29"/>
  <c r="O40" i="29"/>
  <c r="P48" i="29"/>
  <c r="N55" i="29"/>
  <c r="N56" i="29"/>
  <c r="N54" i="29"/>
  <c r="M19" i="34"/>
  <c r="N19" i="34" s="1"/>
  <c r="G19" i="34"/>
  <c r="K17" i="34"/>
  <c r="M17" i="34"/>
  <c r="N17" i="34" s="1"/>
  <c r="K20" i="34"/>
  <c r="M20" i="34"/>
  <c r="N20" i="34" s="1"/>
  <c r="M38" i="34"/>
  <c r="M15" i="34"/>
  <c r="N15" i="34" s="1"/>
  <c r="K15" i="34"/>
  <c r="K16" i="34"/>
  <c r="M16" i="34"/>
  <c r="N16" i="34" s="1"/>
  <c r="M18" i="34"/>
  <c r="N18" i="34" s="1"/>
  <c r="M13" i="34"/>
  <c r="N13" i="34" s="1"/>
  <c r="H21" i="34"/>
  <c r="M14" i="34"/>
  <c r="N14" i="34" s="1"/>
  <c r="N57" i="29" l="1"/>
  <c r="P37" i="29"/>
  <c r="O37" i="29"/>
  <c r="Q37" i="29"/>
  <c r="E31" i="34"/>
  <c r="N33" i="29" l="1"/>
  <c r="G18" i="20" s="1"/>
  <c r="N13" i="29"/>
  <c r="D9" i="32"/>
  <c r="G9" i="32"/>
  <c r="D10" i="32"/>
  <c r="G10" i="32"/>
  <c r="D11" i="32"/>
  <c r="G11" i="32"/>
  <c r="D12" i="32"/>
  <c r="G12" i="32"/>
  <c r="D13" i="32"/>
  <c r="G13" i="32"/>
  <c r="D14" i="32"/>
  <c r="G14" i="32"/>
  <c r="D15" i="32"/>
  <c r="G15" i="32"/>
  <c r="D16" i="32"/>
  <c r="G16" i="32"/>
  <c r="D17" i="32"/>
  <c r="G17" i="32"/>
  <c r="D18" i="32"/>
  <c r="G18" i="32"/>
  <c r="D19" i="32"/>
  <c r="G19" i="32"/>
  <c r="D20" i="32"/>
  <c r="G20" i="32"/>
  <c r="G21" i="32"/>
  <c r="U37" i="32"/>
  <c r="U38" i="32" s="1"/>
  <c r="U39" i="32" s="1"/>
  <c r="U40" i="32" s="1"/>
  <c r="U41" i="32" s="1"/>
  <c r="U42" i="32" s="1"/>
  <c r="U43" i="32" s="1"/>
  <c r="U44" i="32" s="1"/>
  <c r="U45" i="32" s="1"/>
  <c r="U46" i="32" s="1"/>
  <c r="U47" i="32" s="1"/>
  <c r="U48" i="32" s="1"/>
  <c r="U49" i="32" s="1"/>
  <c r="U50" i="32" s="1"/>
  <c r="U51" i="32" s="1"/>
  <c r="U52" i="32" s="1"/>
  <c r="U53" i="32" s="1"/>
  <c r="U54" i="32" s="1"/>
  <c r="U55" i="32" s="1"/>
  <c r="U56" i="32" s="1"/>
  <c r="U57" i="32" s="1"/>
  <c r="U58" i="32" s="1"/>
  <c r="U59" i="32" s="1"/>
  <c r="U60" i="32" s="1"/>
  <c r="P16" i="29" l="1"/>
  <c r="P18" i="29"/>
  <c r="P19" i="29"/>
  <c r="P20" i="29"/>
  <c r="P21" i="29"/>
  <c r="P22" i="29"/>
  <c r="P25" i="29"/>
  <c r="P27" i="29"/>
  <c r="P13" i="29"/>
  <c r="P14" i="29"/>
  <c r="P15" i="29"/>
  <c r="P17" i="29"/>
  <c r="P23" i="29"/>
  <c r="P24" i="29"/>
  <c r="P26" i="29"/>
  <c r="L57" i="20"/>
  <c r="B73" i="29"/>
  <c r="L16" i="20" l="1"/>
  <c r="AG3" i="29" l="1"/>
  <c r="AG5" i="29" l="1"/>
  <c r="AG4" i="29"/>
  <c r="K79" i="20" l="1"/>
  <c r="M79" i="20"/>
  <c r="B29" i="20"/>
  <c r="J10" i="27" l="1"/>
  <c r="P23" i="25"/>
  <c r="B23" i="25"/>
  <c r="G2" i="27"/>
  <c r="H10" i="25"/>
  <c r="G2" i="25"/>
  <c r="F1" i="29" l="1"/>
  <c r="C10" i="25" l="1"/>
  <c r="H8" i="25"/>
  <c r="C8" i="25"/>
  <c r="B8" i="25"/>
  <c r="H6" i="25"/>
  <c r="C6" i="25"/>
  <c r="B17" i="27" l="1"/>
  <c r="C10" i="27"/>
  <c r="J8" i="27"/>
  <c r="C8" i="27"/>
  <c r="P33" i="20" l="1"/>
  <c r="N33" i="20"/>
  <c r="C6" i="27" l="1"/>
  <c r="K62" i="20" l="1"/>
  <c r="H71" i="20" l="1"/>
  <c r="L71" i="20"/>
  <c r="D22" i="27" l="1"/>
  <c r="D35" i="27"/>
  <c r="G22" i="27"/>
  <c r="G35" i="27"/>
  <c r="G21" i="27"/>
  <c r="B22" i="27"/>
  <c r="B35" i="27"/>
  <c r="G38" i="27" l="1"/>
  <c r="J61" i="29" l="1"/>
  <c r="K62" i="29"/>
  <c r="L62" i="29"/>
  <c r="L63" i="29" s="1"/>
  <c r="L64" i="29" s="1"/>
  <c r="J62" i="29" l="1"/>
  <c r="K63" i="29"/>
  <c r="L65" i="29"/>
  <c r="L66" i="29" s="1"/>
  <c r="L67" i="29" s="1"/>
  <c r="L68" i="29" s="1"/>
  <c r="L69" i="29" s="1"/>
  <c r="L70" i="29" s="1"/>
  <c r="L71" i="29" s="1"/>
  <c r="L72" i="29" s="1"/>
  <c r="L73" i="29" s="1"/>
  <c r="C23" i="25"/>
  <c r="J63" i="29" l="1"/>
  <c r="K64" i="29"/>
  <c r="T3" i="29"/>
  <c r="K65" i="29" l="1"/>
  <c r="J64" i="29"/>
  <c r="J65" i="29" l="1"/>
  <c r="K66" i="29"/>
  <c r="J6" i="27"/>
  <c r="K67" i="29" l="1"/>
  <c r="J66" i="29"/>
  <c r="J67" i="29" l="1"/>
  <c r="K68" i="29"/>
  <c r="P48" i="20"/>
  <c r="L58" i="20"/>
  <c r="L59" i="20"/>
  <c r="L60" i="20"/>
  <c r="L61" i="20"/>
  <c r="L62" i="20"/>
  <c r="L63" i="20"/>
  <c r="L64" i="20"/>
  <c r="L65" i="20"/>
  <c r="L66" i="20"/>
  <c r="L67" i="20"/>
  <c r="L68" i="20"/>
  <c r="L69" i="20"/>
  <c r="L70" i="20"/>
  <c r="F35" i="25"/>
  <c r="V33" i="20"/>
  <c r="B195" i="28"/>
  <c r="B174" i="28"/>
  <c r="B153" i="28"/>
  <c r="B132" i="28"/>
  <c r="B111" i="28"/>
  <c r="B90" i="28"/>
  <c r="B69" i="28"/>
  <c r="B48" i="28"/>
  <c r="B27" i="28"/>
  <c r="Q25" i="29" l="1"/>
  <c r="I33" i="27"/>
  <c r="H35" i="25"/>
  <c r="F25" i="25"/>
  <c r="F32" i="25"/>
  <c r="F26" i="25"/>
  <c r="K33" i="20"/>
  <c r="Q13" i="29" s="1"/>
  <c r="F30" i="25"/>
  <c r="F37" i="25"/>
  <c r="F31" i="25"/>
  <c r="F28" i="25"/>
  <c r="F27" i="25"/>
  <c r="J68" i="29"/>
  <c r="K69" i="29"/>
  <c r="J35" i="25"/>
  <c r="U33" i="20"/>
  <c r="T33" i="20" s="1"/>
  <c r="M62" i="20"/>
  <c r="N62" i="20" s="1"/>
  <c r="I31" i="27" l="1"/>
  <c r="F33" i="25"/>
  <c r="Q14" i="29"/>
  <c r="F24" i="25"/>
  <c r="I32" i="27"/>
  <c r="F34" i="25"/>
  <c r="I27" i="27"/>
  <c r="F29" i="25"/>
  <c r="I34" i="27"/>
  <c r="F36" i="25"/>
  <c r="Q20" i="29"/>
  <c r="I28" i="27"/>
  <c r="Q16" i="29"/>
  <c r="I24" i="27"/>
  <c r="Q22" i="29"/>
  <c r="I30" i="27"/>
  <c r="Q15" i="29"/>
  <c r="I23" i="27"/>
  <c r="Q18" i="29"/>
  <c r="I26" i="27"/>
  <c r="Q17" i="29"/>
  <c r="I25" i="27"/>
  <c r="Q21" i="29"/>
  <c r="I29" i="27"/>
  <c r="K33" i="27"/>
  <c r="J33" i="25"/>
  <c r="Q23" i="29"/>
  <c r="Q19" i="29"/>
  <c r="R19" i="29" s="1"/>
  <c r="J34" i="25"/>
  <c r="Q24" i="29"/>
  <c r="J37" i="25"/>
  <c r="Q27" i="29"/>
  <c r="J36" i="25"/>
  <c r="Q26" i="29"/>
  <c r="H26" i="25"/>
  <c r="H31" i="25"/>
  <c r="H24" i="25"/>
  <c r="H34" i="25"/>
  <c r="H32" i="25"/>
  <c r="H36" i="25"/>
  <c r="H33" i="25"/>
  <c r="H25" i="25"/>
  <c r="H37" i="25"/>
  <c r="H27" i="25"/>
  <c r="H30" i="25"/>
  <c r="L35" i="25"/>
  <c r="H28" i="25"/>
  <c r="Q33" i="20"/>
  <c r="H23" i="25" s="1"/>
  <c r="F23" i="25"/>
  <c r="J29" i="25"/>
  <c r="H29" i="25"/>
  <c r="J31" i="25"/>
  <c r="J32" i="25"/>
  <c r="J30" i="25"/>
  <c r="J28" i="25"/>
  <c r="J26" i="25"/>
  <c r="J25" i="25"/>
  <c r="J24" i="25"/>
  <c r="M33" i="20"/>
  <c r="J23" i="25" s="1"/>
  <c r="J27" i="25"/>
  <c r="J69" i="29"/>
  <c r="K70" i="29"/>
  <c r="K23" i="27" l="1"/>
  <c r="K34" i="27"/>
  <c r="K28" i="27"/>
  <c r="K30" i="27"/>
  <c r="K25" i="27"/>
  <c r="K31" i="27"/>
  <c r="K24" i="27"/>
  <c r="K26" i="27"/>
  <c r="K29" i="27"/>
  <c r="K27" i="27"/>
  <c r="K32" i="27"/>
  <c r="R33" i="20"/>
  <c r="L23" i="25" s="1"/>
  <c r="L30" i="25"/>
  <c r="L32" i="25"/>
  <c r="L26" i="25"/>
  <c r="L28" i="25"/>
  <c r="L24" i="25"/>
  <c r="L25" i="25"/>
  <c r="L34" i="25"/>
  <c r="L33" i="25"/>
  <c r="L37" i="25"/>
  <c r="L29" i="25"/>
  <c r="L27" i="25"/>
  <c r="L36" i="25"/>
  <c r="L31" i="25"/>
  <c r="J70" i="29"/>
  <c r="K71" i="29"/>
  <c r="Q48" i="20"/>
  <c r="U30" i="20"/>
  <c r="G20" i="20" s="1"/>
  <c r="J21" i="27"/>
  <c r="R48" i="20" l="1"/>
  <c r="J71" i="29"/>
  <c r="K72" i="29"/>
  <c r="K48" i="20"/>
  <c r="F40" i="25" s="1"/>
  <c r="J72" i="29" l="1"/>
  <c r="K73" i="29"/>
  <c r="J73" i="29" s="1"/>
  <c r="D23" i="25" l="1"/>
  <c r="B21" i="27" l="1"/>
  <c r="D21" i="27" l="1"/>
  <c r="K17" i="27" l="1"/>
  <c r="J17" i="27"/>
  <c r="D17" i="27"/>
  <c r="I17" i="27"/>
  <c r="B8" i="27"/>
  <c r="F38" i="27" l="1"/>
  <c r="I48" i="20" l="1"/>
  <c r="P38" i="25" l="1"/>
  <c r="E23" i="25"/>
  <c r="K35" i="27"/>
  <c r="J35" i="27"/>
  <c r="I35" i="27"/>
  <c r="J22" i="27" l="1"/>
  <c r="I22" i="27" l="1"/>
  <c r="K21" i="27"/>
  <c r="I21" i="27"/>
  <c r="K22" i="27"/>
  <c r="I38" i="27" l="1"/>
  <c r="K38" i="27"/>
  <c r="H40" i="25"/>
  <c r="L40" i="25"/>
  <c r="M48" i="20"/>
  <c r="O42" i="20" l="1"/>
  <c r="L30" i="27" s="1"/>
  <c r="O40" i="20"/>
  <c r="L28" i="27" s="1"/>
  <c r="O38" i="20"/>
  <c r="O35" i="20"/>
  <c r="L23" i="27" s="1"/>
  <c r="O45" i="20"/>
  <c r="L33" i="27" s="1"/>
  <c r="O36" i="20"/>
  <c r="L24" i="27" s="1"/>
  <c r="O43" i="20"/>
  <c r="L31" i="27" s="1"/>
  <c r="O46" i="20"/>
  <c r="L34" i="27" s="1"/>
  <c r="O34" i="20"/>
  <c r="L22" i="27" s="1"/>
  <c r="O44" i="20"/>
  <c r="L32" i="27" s="1"/>
  <c r="O41" i="20"/>
  <c r="L29" i="27" s="1"/>
  <c r="O39" i="20"/>
  <c r="L27" i="27" s="1"/>
  <c r="O37" i="20"/>
  <c r="L25" i="27" s="1"/>
  <c r="O47" i="20"/>
  <c r="L35" i="27" s="1"/>
  <c r="K60" i="20"/>
  <c r="K68" i="20"/>
  <c r="K61" i="20"/>
  <c r="K69" i="20"/>
  <c r="K64" i="20"/>
  <c r="K58" i="20"/>
  <c r="K59" i="20"/>
  <c r="K66" i="20"/>
  <c r="K70" i="20"/>
  <c r="K63" i="20"/>
  <c r="K57" i="20"/>
  <c r="K65" i="20"/>
  <c r="K67" i="20"/>
  <c r="J71" i="20"/>
  <c r="K56" i="20"/>
  <c r="Q25" i="25"/>
  <c r="Q33" i="25"/>
  <c r="Q34" i="25"/>
  <c r="Q27" i="25"/>
  <c r="Q35" i="25"/>
  <c r="Q28" i="25"/>
  <c r="Q29" i="25"/>
  <c r="Q24" i="25"/>
  <c r="Q32" i="25"/>
  <c r="Q26" i="25"/>
  <c r="Q36" i="25"/>
  <c r="Q30" i="25"/>
  <c r="Q37" i="25"/>
  <c r="Q31" i="25"/>
  <c r="Q23" i="25"/>
  <c r="L26" i="27"/>
  <c r="J40" i="25"/>
  <c r="O33" i="20"/>
  <c r="L21" i="27" s="1"/>
  <c r="M64" i="20" l="1"/>
  <c r="N64" i="20" s="1"/>
  <c r="M65" i="20"/>
  <c r="N65" i="20" s="1"/>
  <c r="M68" i="20"/>
  <c r="N68" i="20" s="1"/>
  <c r="M67" i="20"/>
  <c r="N67" i="20" s="1"/>
  <c r="M66" i="20"/>
  <c r="N66" i="20" s="1"/>
  <c r="M69" i="20"/>
  <c r="N69" i="20" s="1"/>
  <c r="M63" i="20"/>
  <c r="N63" i="20" s="1"/>
  <c r="M61" i="20"/>
  <c r="N61" i="20" s="1"/>
  <c r="M60" i="20"/>
  <c r="N60" i="20" s="1"/>
  <c r="M57" i="20"/>
  <c r="N57" i="20" s="1"/>
  <c r="R27" i="29"/>
  <c r="M70" i="20"/>
  <c r="N70" i="20" s="1"/>
  <c r="M59" i="20"/>
  <c r="N59" i="20" s="1"/>
  <c r="M58" i="20"/>
  <c r="N58" i="20" s="1"/>
  <c r="K71" i="20"/>
  <c r="M56" i="20"/>
  <c r="N56" i="20" s="1"/>
  <c r="Q38" i="25"/>
  <c r="E42" i="25" s="1"/>
  <c r="L38" i="27"/>
  <c r="R13" i="29" l="1"/>
  <c r="R24" i="29"/>
  <c r="R15" i="29"/>
  <c r="R20" i="29"/>
  <c r="R22" i="29"/>
  <c r="R21" i="29"/>
  <c r="R26" i="29"/>
  <c r="R25" i="29"/>
  <c r="R17" i="29"/>
  <c r="R23" i="29"/>
  <c r="R16" i="29"/>
  <c r="R14" i="29"/>
  <c r="R18" i="29"/>
  <c r="M71" i="20"/>
  <c r="R10" i="29" l="1"/>
  <c r="R11" i="29" s="1"/>
  <c r="N71" i="20"/>
  <c r="L12" i="34" l="1"/>
  <c r="K12" i="34" s="1"/>
  <c r="M12" i="34" l="1"/>
  <c r="M21" i="34" s="1"/>
  <c r="N21" i="34" s="1"/>
  <c r="L21" i="34"/>
  <c r="N12" i="34" l="1"/>
  <c r="D39" i="34"/>
  <c r="C31" i="34"/>
  <c r="H31" i="34" s="1"/>
  <c r="M31" i="34" s="1"/>
  <c r="C51" i="34"/>
  <c r="C44" i="34"/>
  <c r="H44" i="34" s="1"/>
  <c r="M44" i="34" s="1"/>
  <c r="H47" i="34" s="1"/>
  <c r="M47" i="34" s="1"/>
  <c r="I60" i="29"/>
  <c r="B38" i="29"/>
  <c r="B40" i="29" a="1"/>
  <c r="B40" i="29" l="1"/>
  <c r="B41" i="29" a="1"/>
  <c r="B41" i="29" l="1"/>
  <c r="B48" i="29" a="1"/>
  <c r="B48" i="29" l="1"/>
  <c r="B42" i="29" a="1"/>
  <c r="B42" i="29" l="1"/>
  <c r="B49" i="29" a="1"/>
  <c r="B49" i="29" l="1"/>
  <c r="B47" i="29" a="1"/>
  <c r="B47" i="29" l="1"/>
  <c r="B50" i="29" a="1"/>
  <c r="B50" i="29" l="1"/>
  <c r="B54" i="29" a="1"/>
  <c r="B54" i="29" l="1"/>
  <c r="B46" i="29" a="1"/>
  <c r="B46" i="29" l="1"/>
  <c r="B45" i="29" a="1"/>
  <c r="B45" i="29" l="1"/>
  <c r="B44" i="29" a="1"/>
  <c r="B44" i="29" l="1"/>
  <c r="B53" i="29" a="1"/>
  <c r="B53" i="29" l="1"/>
  <c r="B52" i="29" a="1"/>
  <c r="B52" i="29" l="1"/>
  <c r="B51" i="29" a="1"/>
  <c r="B51" i="29" l="1"/>
  <c r="B43" i="29" a="1"/>
  <c r="B43" i="29" l="1"/>
  <c r="F40" i="29" a="1"/>
  <c r="F40" i="29" l="1"/>
  <c r="I40" i="29" a="1"/>
  <c r="I40" i="29" l="1"/>
  <c r="F41" i="29" a="1"/>
  <c r="F41" i="29" l="1"/>
  <c r="I41" i="29" a="1"/>
  <c r="I41" i="29" l="1"/>
  <c r="F44" i="29" a="1"/>
  <c r="F44" i="29" l="1"/>
  <c r="F42" i="29" a="1"/>
  <c r="F42" i="29" l="1"/>
  <c r="F53" i="29" a="1"/>
  <c r="F53" i="29" l="1"/>
  <c r="F43" i="29" a="1"/>
  <c r="F43" i="29" l="1"/>
  <c r="F49" i="29" a="1"/>
  <c r="F49" i="29" l="1"/>
  <c r="F50" i="29" a="1"/>
  <c r="F50" i="29" l="1"/>
  <c r="F52" i="29" a="1"/>
  <c r="F52" i="29" l="1"/>
  <c r="F48" i="29" a="1"/>
  <c r="F48" i="29" l="1"/>
  <c r="F51" i="29" a="1"/>
  <c r="F51" i="29" l="1"/>
  <c r="F47" i="29" a="1"/>
  <c r="F47" i="29" l="1"/>
  <c r="F45" i="29" a="1"/>
  <c r="F45" i="29" l="1"/>
  <c r="F54" i="29" a="1"/>
  <c r="F54" i="29" l="1"/>
  <c r="F46" i="29" a="1"/>
  <c r="F46" i="29" l="1"/>
  <c r="I49" i="29" a="1"/>
  <c r="I49" i="29" l="1"/>
  <c r="I51" i="29" a="1"/>
  <c r="I51" i="29" l="1"/>
  <c r="I48" i="29" a="1"/>
  <c r="I48" i="29" l="1"/>
  <c r="I50" i="29" a="1"/>
  <c r="I50" i="29" l="1"/>
  <c r="I47" i="29" a="1"/>
  <c r="I47" i="29" l="1"/>
  <c r="I43" i="29" a="1"/>
  <c r="I43" i="29" l="1"/>
  <c r="I46" i="29" a="1"/>
  <c r="I46" i="29" l="1"/>
  <c r="I54" i="29" a="1"/>
  <c r="I54" i="29" l="1"/>
  <c r="I53" i="29" a="1"/>
  <c r="I53" i="29" l="1"/>
  <c r="I45" i="29" a="1"/>
  <c r="I45" i="29" l="1"/>
  <c r="I44" i="29" a="1"/>
  <c r="I44" i="29" l="1"/>
  <c r="I52" i="29" a="1"/>
  <c r="I52" i="29" l="1"/>
  <c r="B6" i="28"/>
  <c r="I42" i="29" a="1"/>
  <c r="I42" i="2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Washechek, Mark (CTR) - NRCS, Brookings, SD</author>
  </authors>
  <commentList>
    <comment ref="D8" authorId="0" shapeId="0" xr:uid="{4A2E9B28-1395-4287-83F8-57D902710BBC}">
      <text>
        <r>
          <rPr>
            <b/>
            <sz val="9"/>
            <color indexed="81"/>
            <rFont val="Tahoma"/>
            <family val="2"/>
          </rPr>
          <t>Suggested additional sheets are automatically checked if you select a Sheet to print. These may be deselected, and additional sheets can be selected.</t>
        </r>
        <r>
          <rPr>
            <sz val="9"/>
            <color indexed="81"/>
            <rFont val="Tahoma"/>
            <family val="2"/>
          </rPr>
          <t xml:space="preserve">
</t>
        </r>
      </text>
    </comment>
    <comment ref="J23" authorId="0" shapeId="0" xr:uid="{C0576D9B-2CAE-47C0-A07A-5B30A6987CD1}">
      <text>
        <r>
          <rPr>
            <sz val="9"/>
            <color indexed="81"/>
            <rFont val="Tahoma"/>
            <family val="2"/>
          </rPr>
          <t>When you select the "</t>
        </r>
        <r>
          <rPr>
            <b/>
            <i/>
            <sz val="9"/>
            <color indexed="81"/>
            <rFont val="Tahoma"/>
            <family val="2"/>
          </rPr>
          <t>Preview Print</t>
        </r>
        <r>
          <rPr>
            <sz val="9"/>
            <color indexed="81"/>
            <rFont val="Tahoma"/>
            <family val="2"/>
          </rPr>
          <t>" button you can click "</t>
        </r>
        <r>
          <rPr>
            <b/>
            <i/>
            <sz val="9"/>
            <color indexed="81"/>
            <rFont val="Tahoma"/>
            <family val="2"/>
          </rPr>
          <t>next page</t>
        </r>
        <r>
          <rPr>
            <b/>
            <sz val="9"/>
            <color indexed="81"/>
            <rFont val="Tahoma"/>
            <family val="2"/>
          </rPr>
          <t>"</t>
        </r>
        <r>
          <rPr>
            <sz val="9"/>
            <color indexed="81"/>
            <rFont val="Tahoma"/>
            <family val="2"/>
          </rPr>
          <t xml:space="preserve"> and "</t>
        </r>
        <r>
          <rPr>
            <b/>
            <i/>
            <sz val="9"/>
            <color indexed="81"/>
            <rFont val="Tahoma"/>
            <family val="2"/>
          </rPr>
          <t>previous page</t>
        </r>
        <r>
          <rPr>
            <sz val="9"/>
            <color indexed="81"/>
            <rFont val="Tahoma"/>
            <family val="2"/>
          </rPr>
          <t>" to view. 
Click "</t>
        </r>
        <r>
          <rPr>
            <b/>
            <i/>
            <sz val="9"/>
            <color indexed="81"/>
            <rFont val="Tahoma"/>
            <family val="2"/>
          </rPr>
          <t>Print</t>
        </r>
        <r>
          <rPr>
            <i/>
            <sz val="9"/>
            <color indexed="81"/>
            <rFont val="Tahoma"/>
            <family val="2"/>
          </rPr>
          <t>"</t>
        </r>
        <r>
          <rPr>
            <sz val="9"/>
            <color indexed="81"/>
            <rFont val="Tahoma"/>
            <family val="2"/>
          </rPr>
          <t xml:space="preserve"> to sent to printer. Click "</t>
        </r>
        <r>
          <rPr>
            <b/>
            <i/>
            <sz val="9"/>
            <color indexed="81"/>
            <rFont val="Tahoma"/>
            <family val="2"/>
          </rPr>
          <t>Close Print Preview</t>
        </r>
        <r>
          <rPr>
            <sz val="9"/>
            <color indexed="81"/>
            <rFont val="Tahoma"/>
            <family val="2"/>
          </rPr>
          <t>" to return.</t>
        </r>
      </text>
    </comment>
    <comment ref="J25" authorId="0" shapeId="0" xr:uid="{4D1321A3-3AF2-4B34-96BB-59C213BE453D}">
      <text>
        <r>
          <rPr>
            <sz val="9"/>
            <color indexed="81"/>
            <rFont val="Tahoma"/>
            <family val="2"/>
          </rPr>
          <t>When you select the "</t>
        </r>
        <r>
          <rPr>
            <b/>
            <i/>
            <sz val="9"/>
            <color indexed="81"/>
            <rFont val="Tahoma"/>
            <family val="2"/>
          </rPr>
          <t>Preview PDF</t>
        </r>
        <r>
          <rPr>
            <sz val="9"/>
            <color indexed="81"/>
            <rFont val="Tahoma"/>
            <family val="2"/>
          </rPr>
          <t>" button you can use the scroll bar on the right to view the document.
Click the "</t>
        </r>
        <r>
          <rPr>
            <b/>
            <i/>
            <sz val="9"/>
            <color indexed="81"/>
            <rFont val="Tahoma"/>
            <family val="2"/>
          </rPr>
          <t>Print</t>
        </r>
        <r>
          <rPr>
            <sz val="9"/>
            <color indexed="81"/>
            <rFont val="Tahoma"/>
            <family val="2"/>
          </rPr>
          <t>" icon to sent to printer. Click the "</t>
        </r>
        <r>
          <rPr>
            <b/>
            <i/>
            <sz val="9"/>
            <color indexed="81"/>
            <rFont val="Tahoma"/>
            <family val="2"/>
          </rPr>
          <t>Save</t>
        </r>
        <r>
          <rPr>
            <sz val="9"/>
            <color indexed="81"/>
            <rFont val="Tahoma"/>
            <family val="2"/>
          </rPr>
          <t xml:space="preserve">" icon to save the file where you want it stored.
The file will automatically be saved to the current folder with the spreadsheet name.pdf just by previewing it.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Mark</author>
    <author>Washechek, Mark (CTR) - NRCS, Brookings, SD</author>
  </authors>
  <commentList>
    <comment ref="B1" authorId="0" shapeId="0" xr:uid="{C4A4AC83-AA61-4704-A152-1C4E1B9225DA}">
      <text>
        <r>
          <rPr>
            <b/>
            <sz val="9"/>
            <color indexed="81"/>
            <rFont val="Tahoma"/>
            <family val="2"/>
          </rPr>
          <t>Complete the yellow cells.</t>
        </r>
        <r>
          <rPr>
            <sz val="9"/>
            <color indexed="81"/>
            <rFont val="Tahoma"/>
            <family val="2"/>
          </rPr>
          <t xml:space="preserve">
Click "Video Tutorial" to view an instructional video that demonstrates the use of this Job Sheet.</t>
        </r>
      </text>
    </comment>
    <comment ref="L16" authorId="1" shapeId="0" xr:uid="{28BE278F-6CC3-4DDF-B3A4-2815744FFD73}">
      <text>
        <r>
          <rPr>
            <b/>
            <sz val="9"/>
            <color indexed="81"/>
            <rFont val="Tahoma"/>
            <family val="2"/>
          </rPr>
          <t>Enter in Applied section below in cell N54.</t>
        </r>
        <r>
          <rPr>
            <sz val="9"/>
            <color indexed="81"/>
            <rFont val="Tahoma"/>
            <family val="2"/>
          </rPr>
          <t xml:space="preserve">
</t>
        </r>
      </text>
    </comment>
    <comment ref="F17" authorId="1" shapeId="0" xr:uid="{6DDA1668-1B09-4EE6-B0D1-E7A4BFF64B16}">
      <text>
        <r>
          <rPr>
            <sz val="8"/>
            <color indexed="81"/>
            <rFont val="Tahoma"/>
            <family val="2"/>
          </rPr>
          <t xml:space="preserve">If the Covercrop is planned for a small plot, click the button and enter the length and width.
The calculation for acres and 1000 sqft. Units will be automatically placed in the spreadsheet.
Seeding rates are calculated using planned acres.
To clear the small plot calculations,click the Small plot button and then click the X without entering any information. </t>
        </r>
      </text>
    </comment>
    <comment ref="L17" authorId="1" shapeId="0" xr:uid="{B67DDF55-C061-418E-9385-B9DD28D4C5AC}">
      <text>
        <r>
          <rPr>
            <b/>
            <sz val="9"/>
            <color indexed="81"/>
            <rFont val="Tahoma"/>
            <family val="2"/>
          </rPr>
          <t>Enter in Applied section below in cell L54.</t>
        </r>
      </text>
    </comment>
    <comment ref="L19" authorId="1" shapeId="0" xr:uid="{885E6F68-399D-4D7C-8695-CD68AD37A6F1}">
      <text>
        <r>
          <rPr>
            <b/>
            <sz val="9"/>
            <color indexed="81"/>
            <rFont val="Tahoma"/>
            <family val="2"/>
          </rPr>
          <t xml:space="preserve">Seeding dates fluctuate annually.  Seeding dates may be adjusted up to 15 days by the District Conservationist, based on local weather and site conditions. </t>
        </r>
        <r>
          <rPr>
            <sz val="9"/>
            <color indexed="81"/>
            <rFont val="Tahoma"/>
            <family val="2"/>
          </rPr>
          <t xml:space="preserve">
</t>
        </r>
      </text>
    </comment>
    <comment ref="J30" authorId="1" shapeId="0" xr:uid="{EA07F4E4-3F42-4147-9321-D932A4640009}">
      <text>
        <r>
          <rPr>
            <b/>
            <sz val="9"/>
            <color indexed="81"/>
            <rFont val="Tahoma"/>
            <family val="2"/>
          </rPr>
          <t>Remember to Enter Seeding Equipment planned in G16 above.</t>
        </r>
        <r>
          <rPr>
            <sz val="9"/>
            <color indexed="81"/>
            <rFont val="Tahoma"/>
            <family val="2"/>
          </rPr>
          <t xml:space="preserve"> 
If no rate is shown below </t>
        </r>
        <r>
          <rPr>
            <b/>
            <sz val="9"/>
            <color indexed="81"/>
            <rFont val="Tahoma"/>
            <family val="2"/>
          </rPr>
          <t>make sure you have entered the Seeding Equipment in the planned section above (G16 above).</t>
        </r>
        <r>
          <rPr>
            <sz val="9"/>
            <color indexed="81"/>
            <rFont val="Tahoma"/>
            <family val="2"/>
          </rPr>
          <t xml:space="preserve">
Note: If no seeding equipment is entered in G16 no calculation can be made. This is because the drilled rate is different than the broadcast rate.</t>
        </r>
      </text>
    </comment>
    <comment ref="L30" authorId="1" shapeId="0" xr:uid="{336BDBAD-7F45-4832-8F21-79D611D100B9}">
      <text>
        <r>
          <rPr>
            <b/>
            <sz val="9"/>
            <color indexed="81"/>
            <rFont val="Tahoma"/>
            <family val="2"/>
          </rPr>
          <t xml:space="preserve">Remember to Enter Acres Planned in cell G17 above.
</t>
        </r>
        <r>
          <rPr>
            <sz val="9"/>
            <color indexed="81"/>
            <rFont val="Tahoma"/>
            <family val="2"/>
          </rPr>
          <t>The total seed required can not be calculated without the acres planned entered above.</t>
        </r>
      </text>
    </comment>
    <comment ref="L50" authorId="1" shapeId="0" xr:uid="{0DE12695-417E-403C-BEDC-A72517F5EEA7}">
      <text>
        <r>
          <rPr>
            <sz val="9"/>
            <color indexed="81"/>
            <rFont val="Tahoma"/>
            <family val="2"/>
          </rPr>
          <t xml:space="preserve">If the Covercrop is planted in a small plot, click the button and enter the length and width.
The calculation for acres and 1000 sqft. Units will be automatically placed in the spreadsheet.
Seeding rates are calculated using planted acres.
To clear the small plot calculations,click the Small plot button and then click the X without entering any information. 
</t>
        </r>
      </text>
    </comment>
    <comment ref="J51" authorId="1" shapeId="0" xr:uid="{54DB9AC5-319E-4EC5-ABDD-18C4B2AC4B6F}">
      <text>
        <r>
          <rPr>
            <sz val="9"/>
            <color indexed="81"/>
            <rFont val="Tahoma"/>
            <family val="2"/>
          </rPr>
          <t xml:space="preserve">If a </t>
        </r>
        <r>
          <rPr>
            <b/>
            <sz val="11"/>
            <color indexed="81"/>
            <rFont val="Tahoma"/>
            <family val="2"/>
          </rPr>
          <t>mix</t>
        </r>
        <r>
          <rPr>
            <sz val="9"/>
            <color indexed="81"/>
            <rFont val="Tahoma"/>
            <family val="2"/>
          </rPr>
          <t xml:space="preserve"> was applied and one seed tag lists the species in the mix then:
Enter the </t>
        </r>
        <r>
          <rPr>
            <b/>
            <sz val="9"/>
            <color indexed="81"/>
            <rFont val="Tahoma"/>
            <family val="2"/>
          </rPr>
          <t>Bulk lbs of the mix planted</t>
        </r>
        <r>
          <rPr>
            <sz val="9"/>
            <color indexed="81"/>
            <rFont val="Tahoma"/>
            <family val="2"/>
          </rPr>
          <t xml:space="preserve"> in J54, the acres planted and L54 and the applied seeding method in N54.
</t>
        </r>
        <r>
          <rPr>
            <b/>
            <sz val="9"/>
            <color indexed="81"/>
            <rFont val="Tahoma"/>
            <family val="2"/>
          </rPr>
          <t>Do not enter LBS for these species in J56:J70 below.</t>
        </r>
      </text>
    </comment>
    <comment ref="H55" authorId="1" shapeId="0" xr:uid="{22D659BC-ADBD-4A33-833B-D63EFCEB07FC}">
      <text>
        <r>
          <rPr>
            <b/>
            <i/>
            <u/>
            <sz val="10"/>
            <color indexed="81"/>
            <rFont val="Tahoma"/>
            <family val="2"/>
          </rPr>
          <t>Entry required for all species</t>
        </r>
        <r>
          <rPr>
            <b/>
            <i/>
            <u/>
            <sz val="9"/>
            <color indexed="81"/>
            <rFont val="Tahoma"/>
            <family val="2"/>
          </rPr>
          <t xml:space="preserve">
</t>
        </r>
        <r>
          <rPr>
            <sz val="9"/>
            <color indexed="81"/>
            <rFont val="Tahoma"/>
            <family val="2"/>
          </rPr>
          <t xml:space="preserve">
</t>
        </r>
        <r>
          <rPr>
            <b/>
            <sz val="9"/>
            <color indexed="81"/>
            <rFont val="Tahoma"/>
            <family val="2"/>
          </rPr>
          <t xml:space="preserve">% Purity </t>
        </r>
        <r>
          <rPr>
            <b/>
            <i/>
            <u/>
            <sz val="11"/>
            <color indexed="81"/>
            <rFont val="Tahoma"/>
            <family val="2"/>
          </rPr>
          <t>from seed tag</t>
        </r>
        <r>
          <rPr>
            <sz val="9"/>
            <color indexed="81"/>
            <rFont val="Tahoma"/>
            <family val="2"/>
          </rPr>
          <t xml:space="preserve"> for an individual species (one species on a seed tag)
or 
</t>
        </r>
        <r>
          <rPr>
            <b/>
            <sz val="9"/>
            <color indexed="81"/>
            <rFont val="Tahoma"/>
            <family val="2"/>
          </rPr>
          <t xml:space="preserve">% (by weight) of species in mix </t>
        </r>
        <r>
          <rPr>
            <b/>
            <i/>
            <u/>
            <sz val="11"/>
            <color indexed="81"/>
            <rFont val="Tahoma"/>
            <family val="2"/>
          </rPr>
          <t>from seed tag</t>
        </r>
        <r>
          <rPr>
            <b/>
            <sz val="9"/>
            <color indexed="81"/>
            <rFont val="Tahoma"/>
            <family val="2"/>
          </rPr>
          <t xml:space="preserve">
</t>
        </r>
        <r>
          <rPr>
            <sz val="9"/>
            <color indexed="81"/>
            <rFont val="Tahoma"/>
            <family val="2"/>
          </rPr>
          <t>See "</t>
        </r>
        <r>
          <rPr>
            <i/>
            <sz val="9"/>
            <color indexed="81"/>
            <rFont val="Tahoma"/>
            <family val="2"/>
          </rPr>
          <t>Seed tag examples</t>
        </r>
        <r>
          <rPr>
            <sz val="9"/>
            <color indexed="81"/>
            <rFont val="Tahoma"/>
            <family val="2"/>
          </rPr>
          <t>" tab for</t>
        </r>
        <r>
          <rPr>
            <b/>
            <sz val="9"/>
            <color indexed="81"/>
            <rFont val="Tahoma"/>
            <family val="2"/>
          </rPr>
          <t xml:space="preserve"> </t>
        </r>
        <r>
          <rPr>
            <sz val="9"/>
            <color indexed="81"/>
            <rFont val="Tahoma"/>
            <family val="2"/>
          </rPr>
          <t>help on mixes</t>
        </r>
      </text>
    </comment>
    <comment ref="I55" authorId="1" shapeId="0" xr:uid="{04D3A73A-9741-4AA7-B2C9-0E5BB43D6B70}">
      <text>
        <r>
          <rPr>
            <sz val="9"/>
            <color indexed="81"/>
            <rFont val="Tahoma"/>
            <family val="2"/>
          </rPr>
          <t xml:space="preserve">Enter Germination from seed tag
</t>
        </r>
        <r>
          <rPr>
            <b/>
            <sz val="9"/>
            <color indexed="81"/>
            <rFont val="Tahoma"/>
            <family val="2"/>
          </rPr>
          <t xml:space="preserve"> if Germination is less than 85</t>
        </r>
        <r>
          <rPr>
            <b/>
            <sz val="8"/>
            <color indexed="81"/>
            <rFont val="Tahoma"/>
            <family val="2"/>
          </rPr>
          <t xml:space="preserve">%
</t>
        </r>
        <r>
          <rPr>
            <sz val="8"/>
            <color indexed="81"/>
            <rFont val="Tahoma"/>
            <family val="2"/>
          </rPr>
          <t>Do not enter if 85% or greater</t>
        </r>
        <r>
          <rPr>
            <sz val="9"/>
            <color indexed="81"/>
            <rFont val="Tahoma"/>
            <family val="2"/>
          </rPr>
          <t xml:space="preserve">
</t>
        </r>
        <r>
          <rPr>
            <i/>
            <sz val="9"/>
            <color indexed="81"/>
            <rFont val="Tahoma"/>
            <family val="2"/>
          </rPr>
          <t>Germination = Germination + Hard seed + dormant seed</t>
        </r>
      </text>
    </comment>
    <comment ref="J55" authorId="1" shapeId="0" xr:uid="{0B265A33-B105-4C8B-982B-9DFDC701C453}">
      <text>
        <r>
          <rPr>
            <sz val="9"/>
            <color indexed="81"/>
            <rFont val="Tahoma"/>
            <family val="2"/>
          </rPr>
          <t>If</t>
        </r>
        <r>
          <rPr>
            <b/>
            <sz val="11"/>
            <color indexed="81"/>
            <rFont val="Tahoma"/>
            <family val="2"/>
          </rPr>
          <t xml:space="preserve"> individual species</t>
        </r>
        <r>
          <rPr>
            <sz val="9"/>
            <color indexed="81"/>
            <rFont val="Tahoma"/>
            <family val="2"/>
          </rPr>
          <t xml:space="preserve"> were applied each with their own seed tag then:
Enter the </t>
        </r>
        <r>
          <rPr>
            <b/>
            <sz val="9"/>
            <color indexed="81"/>
            <rFont val="Tahoma"/>
            <family val="2"/>
          </rPr>
          <t>Bulk LBS. planted</t>
        </r>
        <r>
          <rPr>
            <sz val="9"/>
            <color indexed="81"/>
            <rFont val="Tahoma"/>
            <family val="2"/>
          </rPr>
          <t xml:space="preserve"> of each of these individual species in J56-J70, the acres planted in L54 and the applied seeding method in N54.</t>
        </r>
      </text>
    </comment>
    <comment ref="K55" authorId="1" shapeId="0" xr:uid="{4F6BDD85-E2C1-4315-B6FD-FD469B5509BA}">
      <text>
        <r>
          <rPr>
            <b/>
            <sz val="9"/>
            <color indexed="81"/>
            <rFont val="Tahoma"/>
            <family val="2"/>
          </rPr>
          <t xml:space="preserve">Seed Planted is calculated based on the following formula:
 </t>
        </r>
        <r>
          <rPr>
            <sz val="9"/>
            <color indexed="81"/>
            <rFont val="Tahoma"/>
            <family val="2"/>
          </rPr>
          <t xml:space="preserve">
Bulk seed planted (lbs) x purity (%) x germination (%).
If germination is 85% or higher it uses 100% in the calculation based on the NRCS Technical Note 16 reference below.
</t>
        </r>
        <r>
          <rPr>
            <sz val="8"/>
            <color indexed="81"/>
            <rFont val="Tahoma"/>
            <family val="2"/>
          </rPr>
          <t xml:space="preserve">Agronomy Technical Note 16 reference page 10:
</t>
        </r>
        <r>
          <rPr>
            <i/>
            <sz val="8"/>
            <color indexed="81"/>
            <rFont val="Tahoma"/>
            <family val="2"/>
          </rPr>
          <t>Seed tag label(s) - the minimum bulk seed germination allowed for each species is 85%.  If less than 85%, the seed rate must be based on PLS</t>
        </r>
      </text>
    </comment>
    <comment ref="L55" authorId="1" shapeId="0" xr:uid="{84FF15D9-523D-4167-AC2F-414AC30879CD}">
      <text>
        <r>
          <rPr>
            <sz val="9"/>
            <color indexed="81"/>
            <rFont val="Tahoma"/>
            <family val="2"/>
          </rPr>
          <t xml:space="preserve">Enter Acres </t>
        </r>
        <r>
          <rPr>
            <b/>
            <sz val="9"/>
            <color indexed="81"/>
            <rFont val="Tahoma"/>
            <family val="2"/>
          </rPr>
          <t>Applied (planted)</t>
        </r>
        <r>
          <rPr>
            <sz val="9"/>
            <color indexed="81"/>
            <rFont val="Tahoma"/>
            <family val="2"/>
          </rPr>
          <t xml:space="preserve"> in cell L54 above.</t>
        </r>
        <r>
          <rPr>
            <b/>
            <sz val="9"/>
            <color indexed="81"/>
            <rFont val="Tahoma"/>
            <family val="2"/>
          </rPr>
          <t xml:space="preserve">
</t>
        </r>
        <r>
          <rPr>
            <sz val="9"/>
            <color indexed="81"/>
            <rFont val="Tahoma"/>
            <family val="2"/>
          </rPr>
          <t xml:space="preserve">The total seed planted can not be calculated without the acres planted entry above.
</t>
        </r>
      </text>
    </comment>
    <comment ref="N55" authorId="1" shapeId="0" xr:uid="{DF34D9DA-CBAB-4970-8CC0-AF98051A5BB3}">
      <text>
        <r>
          <rPr>
            <sz val="9"/>
            <color indexed="81"/>
            <rFont val="Tahoma"/>
            <family val="2"/>
          </rPr>
          <t xml:space="preserve">% of NRCS Full seeding rate is based on the Seeding Equipment used. 
Make sure you have entered the </t>
        </r>
        <r>
          <rPr>
            <b/>
            <sz val="9"/>
            <color indexed="81"/>
            <rFont val="Tahoma"/>
            <family val="2"/>
          </rPr>
          <t>Applied</t>
        </r>
        <r>
          <rPr>
            <sz val="9"/>
            <color indexed="81"/>
            <rFont val="Tahoma"/>
            <family val="2"/>
          </rPr>
          <t xml:space="preserve"> Seeding Method in (N54) above.
</t>
        </r>
        <r>
          <rPr>
            <b/>
            <sz val="9"/>
            <color indexed="81"/>
            <rFont val="Tahoma"/>
            <family val="2"/>
          </rPr>
          <t xml:space="preserve">Note: </t>
        </r>
        <r>
          <rPr>
            <i/>
            <sz val="9"/>
            <color indexed="81"/>
            <rFont val="Tahoma"/>
            <family val="2"/>
          </rPr>
          <t>If no seeding equipment is entered in N51 above the calculation can not be made.  That is because drilled uses a different full seeding rate than broadcast.</t>
        </r>
      </text>
    </comment>
    <comment ref="J76" authorId="1" shapeId="0" xr:uid="{F35EB581-52DB-4884-B898-5066AAF4ABE8}">
      <text>
        <r>
          <rPr>
            <b/>
            <sz val="14"/>
            <color indexed="81"/>
            <rFont val="Tahoma"/>
            <family val="2"/>
          </rPr>
          <t>Certification Methods  -  Record method used</t>
        </r>
        <r>
          <rPr>
            <b/>
            <sz val="9"/>
            <color indexed="81"/>
            <rFont val="Tahoma"/>
            <family val="2"/>
          </rPr>
          <t xml:space="preserve">
Always start certification evaluation process by completing the applied section of this Job sheet using the "Seed Tag(s)" method. If Applied seed, planting date and method meet all Conservation Practice Standard (CPS)-340 Cover Crop requirements and Total seed applied Meets 100% or more of the NRCS full seeding rate check the </t>
        </r>
        <r>
          <rPr>
            <b/>
            <i/>
            <sz val="9"/>
            <color indexed="81"/>
            <rFont val="Tahoma"/>
            <family val="2"/>
          </rPr>
          <t>"Yes"</t>
        </r>
        <r>
          <rPr>
            <b/>
            <sz val="9"/>
            <color indexed="81"/>
            <rFont val="Tahoma"/>
            <family val="2"/>
          </rPr>
          <t xml:space="preserve"> box, select </t>
        </r>
        <r>
          <rPr>
            <b/>
            <i/>
            <sz val="9"/>
            <color indexed="81"/>
            <rFont val="Tahoma"/>
            <family val="2"/>
          </rPr>
          <t>"Seed Tag(s)"</t>
        </r>
        <r>
          <rPr>
            <b/>
            <sz val="9"/>
            <color indexed="81"/>
            <rFont val="Tahoma"/>
            <family val="2"/>
          </rPr>
          <t xml:space="preserve"> as method and enter </t>
        </r>
        <r>
          <rPr>
            <b/>
            <i/>
            <sz val="9"/>
            <color indexed="81"/>
            <rFont val="Tahoma"/>
            <family val="2"/>
          </rPr>
          <t>field check date</t>
        </r>
        <r>
          <rPr>
            <b/>
            <sz val="9"/>
            <color indexed="81"/>
            <rFont val="Tahoma"/>
            <family val="2"/>
          </rPr>
          <t xml:space="preserve">. No additional steps are needed.
If the seeding does not meet the </t>
        </r>
        <r>
          <rPr>
            <b/>
            <i/>
            <sz val="9"/>
            <color indexed="81"/>
            <rFont val="Tahoma"/>
            <family val="2"/>
          </rPr>
          <t>"Seed Tag(s)"</t>
        </r>
        <r>
          <rPr>
            <b/>
            <sz val="9"/>
            <color indexed="81"/>
            <rFont val="Tahoma"/>
            <family val="2"/>
          </rPr>
          <t xml:space="preserve"> method then additional steps need to be taken to certify the practice. Indicate the Field method used and enter the date of field check. If the seeding meets the requirements listed below check the </t>
        </r>
        <r>
          <rPr>
            <b/>
            <i/>
            <sz val="9"/>
            <color indexed="81"/>
            <rFont val="Tahoma"/>
            <family val="2"/>
          </rPr>
          <t>"Yes"</t>
        </r>
        <r>
          <rPr>
            <b/>
            <sz val="9"/>
            <color indexed="81"/>
            <rFont val="Tahoma"/>
            <family val="2"/>
          </rPr>
          <t xml:space="preserve"> box. If not check the</t>
        </r>
        <r>
          <rPr>
            <b/>
            <i/>
            <sz val="9"/>
            <color indexed="81"/>
            <rFont val="Tahoma"/>
            <family val="2"/>
          </rPr>
          <t xml:space="preserve"> "No"</t>
        </r>
        <r>
          <rPr>
            <b/>
            <sz val="9"/>
            <color indexed="81"/>
            <rFont val="Tahoma"/>
            <family val="2"/>
          </rPr>
          <t xml:space="preserve"> box and explain why in the comments.
Field certification methods :
Field Method 1) Field visit indicates cover crop provides a minimum of 12 plants / sq ft. </t>
        </r>
        <r>
          <rPr>
            <b/>
            <vertAlign val="superscript"/>
            <sz val="9"/>
            <color indexed="81"/>
            <rFont val="Tahoma"/>
            <family val="2"/>
          </rPr>
          <t>1/</t>
        </r>
        <r>
          <rPr>
            <b/>
            <sz val="9"/>
            <color indexed="81"/>
            <rFont val="Tahoma"/>
            <family val="2"/>
          </rPr>
          <t xml:space="preserve">
Field Method 2) Field visit indicates cover crop provides &gt;=40% canopy cover
</t>
        </r>
        <r>
          <rPr>
            <b/>
            <i/>
            <vertAlign val="superscript"/>
            <sz val="9"/>
            <color indexed="81"/>
            <rFont val="Tahoma"/>
            <family val="2"/>
          </rPr>
          <t>1/</t>
        </r>
        <r>
          <rPr>
            <b/>
            <i/>
            <sz val="9"/>
            <color indexed="81"/>
            <rFont val="Tahoma"/>
            <family val="2"/>
          </rPr>
          <t xml:space="preserve">  This number should be increased by at least 5 plants per square foot when weed control or excess moisture utilization is the primary purpose</t>
        </r>
        <r>
          <rPr>
            <b/>
            <sz val="9"/>
            <color indexed="81"/>
            <rFont val="Tahoma"/>
            <family val="2"/>
          </rPr>
          <t xml:space="preserve">
</t>
        </r>
        <r>
          <rPr>
            <b/>
            <u/>
            <sz val="9"/>
            <color indexed="81"/>
            <rFont val="Tahoma"/>
            <family val="2"/>
          </rPr>
          <t xml:space="preserve">
</t>
        </r>
        <r>
          <rPr>
            <b/>
            <i/>
            <u/>
            <sz val="9"/>
            <color indexed="81"/>
            <rFont val="Tahoma"/>
            <family val="2"/>
          </rPr>
          <t>See SD Agronomy Technical Note 16 for complete details</t>
        </r>
      </text>
    </comment>
    <comment ref="B79" authorId="1" shapeId="0" xr:uid="{ACBEA7A0-0D70-46F6-943D-7261C22632DA}">
      <text>
        <r>
          <rPr>
            <b/>
            <sz val="9"/>
            <color indexed="81"/>
            <rFont val="Tahoma"/>
            <family val="2"/>
          </rPr>
          <t xml:space="preserve">Efficiency evaluation can apply if Cover Crop practice is selected and its purpose is either:
</t>
        </r>
        <r>
          <rPr>
            <sz val="9"/>
            <color indexed="81"/>
            <rFont val="Tahoma"/>
            <family val="2"/>
          </rPr>
          <t>Reduce erosion from wind and water</t>
        </r>
        <r>
          <rPr>
            <b/>
            <sz val="9"/>
            <color indexed="81"/>
            <rFont val="Tahoma"/>
            <family val="2"/>
          </rPr>
          <t xml:space="preserve">
</t>
        </r>
        <r>
          <rPr>
            <sz val="9"/>
            <color indexed="81"/>
            <rFont val="Tahoma"/>
            <family val="2"/>
          </rPr>
          <t>Maintain or increase soil health and organic matter content</t>
        </r>
        <r>
          <rPr>
            <b/>
            <sz val="9"/>
            <color indexed="81"/>
            <rFont val="Tahoma"/>
            <family val="2"/>
          </rPr>
          <t xml:space="preserve">
For erosion reduction, efficiency evaluation can apply if:
   </t>
        </r>
        <r>
          <rPr>
            <sz val="9"/>
            <color indexed="81"/>
            <rFont val="Tahoma"/>
            <family val="2"/>
          </rPr>
          <t xml:space="preserve">Soil loss tolerance T value is 4 or greater for predominant soil type on each field and
   No fall tillage of the cover crop and 
   Residue is not hayed or removed and 
   Biomass is adequate &amp; if grazing; utilization does not exceed 50%
</t>
        </r>
        <r>
          <rPr>
            <b/>
            <sz val="9"/>
            <color indexed="81"/>
            <rFont val="Tahoma"/>
            <family val="2"/>
          </rPr>
          <t xml:space="preserve">
For soil health, efficiency evaluation can apply if:
   </t>
        </r>
        <r>
          <rPr>
            <sz val="9"/>
            <color indexed="81"/>
            <rFont val="Tahoma"/>
            <family val="2"/>
          </rPr>
          <t>Cover crop residue is not baled and removed from the field  and
   Cover crop is not tilled in the fall and           
   Biomass is adequate and if grazing, crop residue or cover crop does not exceed 50% utilization.</t>
        </r>
        <r>
          <rPr>
            <b/>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Washechek, Mark (CTR) - NRCS, Brookings, SD</author>
  </authors>
  <commentList>
    <comment ref="A3" authorId="0" shapeId="0" xr:uid="{6BB84B7F-E8EB-4645-9D71-EBB5BF50FF9F}">
      <text>
        <r>
          <rPr>
            <b/>
            <sz val="9"/>
            <color indexed="81"/>
            <rFont val="Tahoma"/>
            <family val="2"/>
          </rPr>
          <t>Add new species in A50</t>
        </r>
      </text>
    </comment>
    <comment ref="A50" authorId="0" shapeId="0" xr:uid="{2BE08A50-8367-437D-AE1B-FC85BD231331}">
      <text>
        <r>
          <rPr>
            <b/>
            <sz val="9"/>
            <color indexed="81"/>
            <rFont val="Tahoma"/>
            <family val="2"/>
          </rPr>
          <t>To add a species :
complete the blue cells at a minimum then click return at the top.</t>
        </r>
        <r>
          <rPr>
            <sz val="9"/>
            <color indexed="81"/>
            <rFont val="Tahoma"/>
            <family val="2"/>
          </rPr>
          <t xml:space="preserve">
</t>
        </r>
      </text>
    </comment>
    <comment ref="C50" authorId="0" shapeId="0" xr:uid="{288B6ABB-56E4-41D7-A78F-93C42A1523B2}">
      <text>
        <r>
          <rPr>
            <b/>
            <sz val="9"/>
            <color indexed="81"/>
            <rFont val="Tahoma"/>
            <family val="2"/>
          </rPr>
          <t>Select from list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Mark</author>
    <author>Washechek, Mark - NRCS, Brookings, SD</author>
  </authors>
  <commentList>
    <comment ref="A1" authorId="0" shapeId="0" xr:uid="{00000000-0006-0000-0300-000001000000}">
      <text>
        <r>
          <rPr>
            <b/>
            <sz val="9"/>
            <color indexed="81"/>
            <rFont val="Tahoma"/>
            <family val="2"/>
          </rPr>
          <t xml:space="preserve">Enter data into the yellow colored cells as needed.  All other cells will be calculated based on this input.  Use the clear Form button to clear all yellow cells of information. 
</t>
        </r>
        <r>
          <rPr>
            <b/>
            <i/>
            <u/>
            <sz val="9"/>
            <color indexed="81"/>
            <rFont val="Tahoma"/>
            <family val="2"/>
          </rPr>
          <t>To Use this sheet:</t>
        </r>
        <r>
          <rPr>
            <b/>
            <sz val="9"/>
            <color indexed="81"/>
            <rFont val="Tahoma"/>
            <family val="2"/>
          </rPr>
          <t xml:space="preserve">
Enter the field's Tract #, Field #, Acres and the current year's crop that was harvested.
  -For crop aftermath grazing also enter the harvested crop's yield.
  -For Cover Crops also enter the begin grazing height of the cover crop. The end grazing height defaults to 4". It can be changed.</t>
        </r>
        <r>
          <rPr>
            <sz val="9"/>
            <color indexed="81"/>
            <rFont val="Tahoma"/>
            <family val="2"/>
          </rPr>
          <t xml:space="preserve">
</t>
        </r>
        <r>
          <rPr>
            <b/>
            <sz val="9"/>
            <color indexed="81"/>
            <rFont val="Tahoma"/>
            <family val="2"/>
          </rPr>
          <t>Complete the Option A or B below for a Job sheet that estimates days or Animal Units of grazing.
Cover crop growth is always dependent on moisture and this is to be used as an estimate of average conditions.</t>
        </r>
      </text>
    </comment>
    <comment ref="I9" authorId="1" shapeId="0" xr:uid="{00000000-0006-0000-0300-000002000000}">
      <text>
        <r>
          <rPr>
            <sz val="9"/>
            <color indexed="81"/>
            <rFont val="Tahoma"/>
            <family val="2"/>
          </rPr>
          <t xml:space="preserve">Select if your cover crop is dominated by "Warm" season species, "Cool" season species, or a mix of both.
</t>
        </r>
      </text>
    </comment>
    <comment ref="K9" authorId="1" shapeId="0" xr:uid="{00000000-0006-0000-0300-000003000000}">
      <text>
        <r>
          <rPr>
            <sz val="9"/>
            <color indexed="81"/>
            <rFont val="Tahoma"/>
            <family val="2"/>
          </rPr>
          <t xml:space="preserve">Select the Utilization % that best describes how you plan to graze the cover crop.
The utilization percent is higher the shorter the occupation period due to less waste. The occupation period can be shortened by fencing out smaller areas for grazing.
0.5-1 day:  80%        4 days:  70%
    2 days:  75%        5 days:  65%
    3 days:  75%    6-30 days:  60%
</t>
        </r>
      </text>
    </comment>
    <comment ref="I10" authorId="1" shapeId="0" xr:uid="{00000000-0006-0000-0300-000004000000}">
      <text>
        <r>
          <rPr>
            <sz val="9"/>
            <color indexed="81"/>
            <rFont val="Tahoma"/>
            <family val="2"/>
          </rPr>
          <t>Use this button to "Help" determine the potential height of a cover crop in your MLRA.</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<sst xmlns="http://schemas.openxmlformats.org/spreadsheetml/2006/main" count="2667" uniqueCount="908">
  <si>
    <t>Practice Purpose:</t>
  </si>
  <si>
    <t>PLANNED</t>
  </si>
  <si>
    <t>APPLIED</t>
  </si>
  <si>
    <t>Fertilization</t>
  </si>
  <si>
    <t>Seeding Equipment</t>
  </si>
  <si>
    <t>Acres</t>
  </si>
  <si>
    <t>Suggested Seeding Depth*</t>
  </si>
  <si>
    <t>Termination Method</t>
  </si>
  <si>
    <t>* Based on the deep range of the shallowest species.</t>
  </si>
  <si>
    <t>CROP HISTORY</t>
  </si>
  <si>
    <t>Current Crop:</t>
  </si>
  <si>
    <t>Soybeans</t>
  </si>
  <si>
    <t>Previous Crop:</t>
  </si>
  <si>
    <t>Corn</t>
  </si>
  <si>
    <t>PLANNED COVER CROP</t>
  </si>
  <si>
    <t>Seed Species</t>
  </si>
  <si>
    <t>Variety</t>
  </si>
  <si>
    <t>Acres to Seed</t>
  </si>
  <si>
    <t>Seeding Depth (Inches)</t>
  </si>
  <si>
    <t>$/lb</t>
  </si>
  <si>
    <t>$/ac</t>
  </si>
  <si>
    <t>$/field</t>
  </si>
  <si>
    <t>Totals:</t>
  </si>
  <si>
    <t>APPLIED COVER CROP</t>
  </si>
  <si>
    <t>N</t>
  </si>
  <si>
    <t>Yes</t>
  </si>
  <si>
    <t>No</t>
  </si>
  <si>
    <t xml:space="preserve">            Certified By:</t>
  </si>
  <si>
    <t>Table 1: Cover Crop - Common Species and Properties</t>
  </si>
  <si>
    <t>BEES AND BENEFICIAL INSECTS</t>
  </si>
  <si>
    <t>FOOD</t>
  </si>
  <si>
    <t>Cover Crop</t>
  </si>
  <si>
    <t xml:space="preserve">Reduce erosion </t>
  </si>
  <si>
    <t xml:space="preserve">Increase soil organic matter </t>
  </si>
  <si>
    <t>Scavenge nutrients</t>
  </si>
  <si>
    <t>Suppress weeds</t>
  </si>
  <si>
    <t>Seed size (Large or Fine)</t>
  </si>
  <si>
    <t>Seeding depth, inches</t>
  </si>
  <si>
    <t xml:space="preserve">C:N Ratio </t>
  </si>
  <si>
    <t xml:space="preserve">Seeds/lb </t>
  </si>
  <si>
    <t>Nesting</t>
  </si>
  <si>
    <t>Brood</t>
  </si>
  <si>
    <t>Fall</t>
  </si>
  <si>
    <t>Winter</t>
  </si>
  <si>
    <t>Green browse use</t>
  </si>
  <si>
    <t>Attracts native and honey bees</t>
  </si>
  <si>
    <t>Predator Parasitoid</t>
  </si>
  <si>
    <t>Alfalfa</t>
  </si>
  <si>
    <t>G</t>
  </si>
  <si>
    <t>Y</t>
  </si>
  <si>
    <t>F</t>
  </si>
  <si>
    <t>DH</t>
  </si>
  <si>
    <t>P</t>
  </si>
  <si>
    <t>CB</t>
  </si>
  <si>
    <t>.25 - .75</t>
  </si>
  <si>
    <t>L</t>
  </si>
  <si>
    <t>M</t>
  </si>
  <si>
    <t>X</t>
  </si>
  <si>
    <t>1,2,3,4</t>
  </si>
  <si>
    <t>High</t>
  </si>
  <si>
    <t>Moderate</t>
  </si>
  <si>
    <t>Barley</t>
  </si>
  <si>
    <t>MM</t>
  </si>
  <si>
    <t>CG</t>
  </si>
  <si>
    <t>1,2,3</t>
  </si>
  <si>
    <t>None</t>
  </si>
  <si>
    <t>Low</t>
  </si>
  <si>
    <t>Brassica hybrids</t>
  </si>
  <si>
    <t>.25 - .5</t>
  </si>
  <si>
    <r>
      <t xml:space="preserve">Buckwheat </t>
    </r>
    <r>
      <rPr>
        <b/>
        <sz val="6"/>
        <rFont val="Calibri"/>
        <family val="2"/>
        <scheme val="minor"/>
      </rPr>
      <t>/5</t>
    </r>
  </si>
  <si>
    <t>SL</t>
  </si>
  <si>
    <t>WB</t>
  </si>
  <si>
    <t>.5 - 1.5</t>
  </si>
  <si>
    <t>Buckwheat /5</t>
  </si>
  <si>
    <t>Cabbage, African</t>
  </si>
  <si>
    <t>Camelina, Winter</t>
  </si>
  <si>
    <t>ML</t>
  </si>
  <si>
    <t>Canola</t>
  </si>
  <si>
    <t>Clover, Balansa</t>
  </si>
  <si>
    <t>Clover, Crimson</t>
  </si>
  <si>
    <t>SM</t>
  </si>
  <si>
    <t xml:space="preserve">Clover, Red </t>
  </si>
  <si>
    <t>Clover, Sweet</t>
  </si>
  <si>
    <t>Collards or Kale</t>
  </si>
  <si>
    <t>WG</t>
  </si>
  <si>
    <t>H</t>
  </si>
  <si>
    <t>Cowpeas or Dry Beans</t>
  </si>
  <si>
    <t>1 - 1.5</t>
  </si>
  <si>
    <t>1,2</t>
  </si>
  <si>
    <t>Fava beans</t>
  </si>
  <si>
    <t>Flax</t>
  </si>
  <si>
    <t>1,4</t>
  </si>
  <si>
    <t>Lentils</t>
  </si>
  <si>
    <t>Millet, hay</t>
  </si>
  <si>
    <t>Millet, proso</t>
  </si>
  <si>
    <t>Mustard</t>
  </si>
  <si>
    <t>MH</t>
  </si>
  <si>
    <t>Oats</t>
  </si>
  <si>
    <t>Peas</t>
  </si>
  <si>
    <t>Phacelia</t>
  </si>
  <si>
    <t>Radishes</t>
  </si>
  <si>
    <t>Rapeseed</t>
  </si>
  <si>
    <t>Ryegrass, Annual</t>
  </si>
  <si>
    <t>Safflowers</t>
  </si>
  <si>
    <t>DM</t>
  </si>
  <si>
    <t>Sorghum, Forage and Sudan Hybrids</t>
  </si>
  <si>
    <t xml:space="preserve">Sorghum, Grain </t>
  </si>
  <si>
    <t>Sudangrass</t>
  </si>
  <si>
    <t>Sugar beets</t>
  </si>
  <si>
    <t>Sunflowers</t>
  </si>
  <si>
    <t xml:space="preserve">G </t>
  </si>
  <si>
    <t>Sunn hemp</t>
  </si>
  <si>
    <t>1,3</t>
  </si>
  <si>
    <t>Teff grass</t>
  </si>
  <si>
    <t>.13 - .25</t>
  </si>
  <si>
    <t>Turnips</t>
  </si>
  <si>
    <t>Vetch, Chickling</t>
  </si>
  <si>
    <t>Vetch, Common</t>
  </si>
  <si>
    <t>Vetch, Hairy</t>
  </si>
  <si>
    <t>Wheat, Spring</t>
  </si>
  <si>
    <t>/1 Rooting Depth/Water Use</t>
  </si>
  <si>
    <t>/2 Crop types</t>
  </si>
  <si>
    <t>Ratings</t>
  </si>
  <si>
    <t>Key to Green Browse Use:  1 – Deer  2 – Geese  3 – Small  mammals 4 – Grassland/Upland Birds</t>
  </si>
  <si>
    <t>SL=</t>
  </si>
  <si>
    <t>Shallow rooted/Low water use</t>
  </si>
  <si>
    <t>Shallow=</t>
  </si>
  <si>
    <t>6 - 18 inches</t>
  </si>
  <si>
    <t>CG = cool season grass</t>
  </si>
  <si>
    <t>L=  Low</t>
  </si>
  <si>
    <t>G=</t>
  </si>
  <si>
    <t>Good</t>
  </si>
  <si>
    <t>SM=</t>
  </si>
  <si>
    <t>Shallow rooted/Medium water use</t>
  </si>
  <si>
    <t>Medium=</t>
  </si>
  <si>
    <t>18 - 24 inches</t>
  </si>
  <si>
    <t>CB = cool season broadleaf</t>
  </si>
  <si>
    <t>M= Medium</t>
  </si>
  <si>
    <t>F=</t>
  </si>
  <si>
    <t>Fair</t>
  </si>
  <si>
    <t>SH=</t>
  </si>
  <si>
    <t>Shallow rooted/High water use</t>
  </si>
  <si>
    <t>Deep=</t>
  </si>
  <si>
    <t>24 + inches</t>
  </si>
  <si>
    <t>WG = warm season grass</t>
  </si>
  <si>
    <t>H= High</t>
  </si>
  <si>
    <t>P=</t>
  </si>
  <si>
    <t>Poor</t>
  </si>
  <si>
    <t>ML=</t>
  </si>
  <si>
    <t>Medium rooted/Low water use</t>
  </si>
  <si>
    <t>WB = warm season broadleaf</t>
  </si>
  <si>
    <t>Y=  Yes</t>
  </si>
  <si>
    <t>MM=</t>
  </si>
  <si>
    <t>Medium rooted/Medium water use</t>
  </si>
  <si>
    <t>N = No</t>
  </si>
  <si>
    <t>MH=</t>
  </si>
  <si>
    <t>Medium rooted/High water use</t>
  </si>
  <si>
    <t>S = Sporadic</t>
  </si>
  <si>
    <t>DL=</t>
  </si>
  <si>
    <t>Deep rooted/Low water use</t>
  </si>
  <si>
    <t>N/A= Not Applicable</t>
  </si>
  <si>
    <t>DM=</t>
  </si>
  <si>
    <t>Deep rooted/Medium water use</t>
  </si>
  <si>
    <t>DH=</t>
  </si>
  <si>
    <t>Deep rooted/High water use</t>
  </si>
  <si>
    <t>/3 Seeding Dates</t>
  </si>
  <si>
    <t>May 1 through August 5 – warm season winter kill species</t>
  </si>
  <si>
    <t>Early spring through August 20 – cool season winter kill species</t>
  </si>
  <si>
    <t>do not rotate to wheat for grain for 2 years</t>
  </si>
  <si>
    <t>August 1 through Winter – species that do not winter kill</t>
  </si>
  <si>
    <t>/4 Full Seeding rates</t>
  </si>
  <si>
    <t>Multiply by the percent desired if mixtures are used.</t>
  </si>
  <si>
    <t>Seeding Mixture</t>
  </si>
  <si>
    <t>|------------ Per Acre ------------|</t>
  </si>
  <si>
    <t>%</t>
  </si>
  <si>
    <t>LBS  PLS</t>
  </si>
  <si>
    <t>Cost</t>
  </si>
  <si>
    <t>PLS LBS</t>
  </si>
  <si>
    <t>Totals</t>
  </si>
  <si>
    <t>Planner</t>
  </si>
  <si>
    <t>Total</t>
  </si>
  <si>
    <t>Reduce water quality degradation by utilizing excessive soil nutrients</t>
  </si>
  <si>
    <t>Buckwheat</t>
  </si>
  <si>
    <t>Crimp</t>
  </si>
  <si>
    <t>Harvest</t>
  </si>
  <si>
    <t>Herbicide</t>
  </si>
  <si>
    <t>Mow</t>
  </si>
  <si>
    <t>Tillage</t>
  </si>
  <si>
    <t>Starter only</t>
  </si>
  <si>
    <t>Starter &amp; inoculant</t>
  </si>
  <si>
    <t>Inoculant only</t>
  </si>
  <si>
    <t>Drill</t>
  </si>
  <si>
    <t>Broadcast</t>
  </si>
  <si>
    <t>Millet</t>
  </si>
  <si>
    <t>Grass</t>
  </si>
  <si>
    <t>Chickpeas</t>
  </si>
  <si>
    <t>Corn Silage</t>
  </si>
  <si>
    <t>Dry Beans</t>
  </si>
  <si>
    <t>Field Peas</t>
  </si>
  <si>
    <t>Melons</t>
  </si>
  <si>
    <t>Potatoes</t>
  </si>
  <si>
    <t>Rye</t>
  </si>
  <si>
    <t>Grain Sorghum</t>
  </si>
  <si>
    <t>Forage Sorghum</t>
  </si>
  <si>
    <t>Spring Wheat</t>
  </si>
  <si>
    <t>Winter Wheat</t>
  </si>
  <si>
    <t>Recommended Cover Crop Mixes for South Dakota</t>
  </si>
  <si>
    <t>Species</t>
  </si>
  <si>
    <t>Percent</t>
  </si>
  <si>
    <t>Cool Season Grazing</t>
  </si>
  <si>
    <t>CSB - legume</t>
  </si>
  <si>
    <t>10-30%</t>
  </si>
  <si>
    <t>Brassica*</t>
  </si>
  <si>
    <t>0-40%</t>
  </si>
  <si>
    <t>CSB</t>
  </si>
  <si>
    <t>flax, camelina</t>
  </si>
  <si>
    <t>0-15%</t>
  </si>
  <si>
    <t>WSG</t>
  </si>
  <si>
    <t>0-25%</t>
  </si>
  <si>
    <t>CSG</t>
  </si>
  <si>
    <t>15-30%</t>
  </si>
  <si>
    <t>Warm Season Grazing</t>
  </si>
  <si>
    <t>WSB</t>
  </si>
  <si>
    <t>sunflower, cowpea, soybean, buckwheat</t>
  </si>
  <si>
    <t>0-20%</t>
  </si>
  <si>
    <t>20-60%</t>
  </si>
  <si>
    <t>Brassica</t>
  </si>
  <si>
    <t>Salinity</t>
  </si>
  <si>
    <t>70-90%</t>
  </si>
  <si>
    <t>10-50%</t>
  </si>
  <si>
    <t>teff, sorghum-sudan</t>
  </si>
  <si>
    <t>Sunflower, safflower</t>
  </si>
  <si>
    <t>20-40%</t>
  </si>
  <si>
    <t>N Fixation and Nutrient Cycling</t>
  </si>
  <si>
    <t>40-70%</t>
  </si>
  <si>
    <t>WSB - legume</t>
  </si>
  <si>
    <t>cowpea, soybean, sunn hemp</t>
  </si>
  <si>
    <t>oat, barley, annual ryegrass</t>
  </si>
  <si>
    <t>10-20%</t>
  </si>
  <si>
    <t>Spring Moisture Utilization and N Fixation</t>
  </si>
  <si>
    <t>10-25%</t>
  </si>
  <si>
    <t>50-80%</t>
  </si>
  <si>
    <t>Spring Moisture Utilization, Nutrient Cycling, N Fixation</t>
  </si>
  <si>
    <t>15-40%</t>
  </si>
  <si>
    <t>50-85%</t>
  </si>
  <si>
    <t>Residue Cycling</t>
  </si>
  <si>
    <t>25-40%</t>
  </si>
  <si>
    <t>teff, millet</t>
  </si>
  <si>
    <t>0-10%</t>
  </si>
  <si>
    <t>Oat, annual ryegrass, barley</t>
  </si>
  <si>
    <t>Soil Health - Increase crop diversity and organic matter</t>
  </si>
  <si>
    <t>5-15%</t>
  </si>
  <si>
    <t>5-40%</t>
  </si>
  <si>
    <t>Sunflower, safflower, buckwheat</t>
  </si>
  <si>
    <t>millet, teff, sorghum-sudan, sudangrass</t>
  </si>
  <si>
    <t>0-30%</t>
  </si>
  <si>
    <t>Aerial Seed into Corn going to Soybean</t>
  </si>
  <si>
    <t>crimson clover, common vetch, red clover</t>
  </si>
  <si>
    <t>Aerial Seed into Soybean going to Corn</t>
  </si>
  <si>
    <t>Wildlife</t>
  </si>
  <si>
    <t>millet, teff, sorghum-sudan, grain sorghum sudangrass</t>
  </si>
  <si>
    <t>This cost estimate is based on an average costs of seed dealers and doesn't necessarily reflect the actual cost shared amounts that will be in a conservation contract. Seed costs can vary from dealer to dealer and prices can and have fluctuated drastically in response to supply and demand during the year. Please contact seed dealers to receive a timely quote for the kind and amount of seed you plan to plant.</t>
  </si>
  <si>
    <t>Compaction (surface and subsurface)</t>
  </si>
  <si>
    <t>cowpea, dry bean, sunn hemp</t>
  </si>
  <si>
    <t>field pea, lentil, common vetch, crimson clover, chickling vetch, balansa clover</t>
  </si>
  <si>
    <t xml:space="preserve">rapeseed, kale, collards, African cabbage, radish, turnip, hybrids		</t>
  </si>
  <si>
    <t>Crop Type</t>
  </si>
  <si>
    <t>Nutrient Scavenger</t>
  </si>
  <si>
    <t>crimson clover, chickling vetch, balansa clover</t>
  </si>
  <si>
    <t>rapeseed, kale, collards, African cabbage, radish, turnip, hybrids</t>
  </si>
  <si>
    <t>millet, teff, grain or forage sorghum, sorghum-sudan, corn, sudangrass</t>
  </si>
  <si>
    <t>flax, winter camelina</t>
  </si>
  <si>
    <t>cowpea, dry bean, soybean, sunn hemp</t>
  </si>
  <si>
    <t xml:space="preserve">WSB </t>
  </si>
  <si>
    <t>sunflower, safflower</t>
  </si>
  <si>
    <t>10-40%</t>
  </si>
  <si>
    <t>rapeseed, kale, collards, African cabbage, radish, hybrids</t>
  </si>
  <si>
    <t>oats, barley, wheat, cereal rye, triticale, annual ryegrass</t>
  </si>
  <si>
    <t>winter wheat, cereal rye, triticale</t>
  </si>
  <si>
    <t>winter wheat, cereal rye, triticale, annual ryegrass</t>
  </si>
  <si>
    <t>barley, cereal rye, triticale</t>
  </si>
  <si>
    <t xml:space="preserve"> rapeseed, winter canola</t>
  </si>
  <si>
    <t>field pea, lentil, common vetch, crimson clover, balansa clover</t>
  </si>
  <si>
    <t>rapeseed, kale, collards, radish, turnips, hybrids</t>
  </si>
  <si>
    <t>rapeseed, radish, kale, collards, mustard, African cabbage, hybrids</t>
  </si>
  <si>
    <t>field pea, lentil, common vetch, crimson clover, chickling vetch, red clover, balansa clover</t>
  </si>
  <si>
    <t xml:space="preserve">        COVER</t>
  </si>
  <si>
    <t xml:space="preserve">                      Table 2:   WILDLIFE - BIRDS AND MAMMALS</t>
  </si>
  <si>
    <r>
      <t xml:space="preserve">                                                                         </t>
    </r>
    <r>
      <rPr>
        <b/>
        <i/>
        <u/>
        <sz val="13"/>
        <color theme="5" tint="-0.249977111117893"/>
        <rFont val="Arial"/>
        <family val="2"/>
      </rPr>
      <t>Note to Vendor:</t>
    </r>
    <r>
      <rPr>
        <b/>
        <i/>
        <sz val="13"/>
        <color theme="5" tint="-0.249977111117893"/>
        <rFont val="Arial"/>
        <family val="2"/>
      </rPr>
      <t xml:space="preserve">
If any substitutions to species or varieties are considered please obtain prior approval by calling the producer and NRCS at the numbers above. If varieties recommended are not available they may be substituted with different SD adapted varieties or with "common seed".  Please provide a seed tag to the producer for each bag or quantity of seed purchased. As always follow state seed laws concerning labeling.   Thank You!</t>
    </r>
  </si>
  <si>
    <r>
      <t xml:space="preserve">                                                                       </t>
    </r>
    <r>
      <rPr>
        <b/>
        <i/>
        <u/>
        <sz val="13"/>
        <color theme="5"/>
        <rFont val="Arial"/>
        <family val="2"/>
      </rPr>
      <t>Additional Notes to Vendor:</t>
    </r>
    <r>
      <rPr>
        <b/>
        <i/>
        <sz val="13"/>
        <color theme="5"/>
        <rFont val="Arial"/>
        <family val="2"/>
      </rPr>
      <t xml:space="preserve">
Seeding rates are based on Pure Live Seed (PLS) obtained from seed tag information or lab test results. To ensure the quality of all planting material, the minimum bulk seed germination allowed for each species is 85%. For seed lots testing below the minimum, the seed rate must be based on PLS and not the bulk seed rate. PLS = Purity * % total  viable (germination + hard seed + dormant) / 100. When total viable percentages fall below 85%, actual seeding rates MUST be increased to compensate for non-viable seed.</t>
    </r>
  </si>
  <si>
    <t>1 Protection from Wind and Water Erosion</t>
  </si>
  <si>
    <t>2 Increase Soil Organic Matter</t>
  </si>
  <si>
    <t>3 Improved Soil Aggregation and Soil Organism Habitat (Soil Health)</t>
  </si>
  <si>
    <t>4 Improved Water Quality by Utilizing Excess Soil Nutrients</t>
  </si>
  <si>
    <t xml:space="preserve">5 Reduction in Weed Pressure and Suppression of Pest Cycles </t>
  </si>
  <si>
    <t>6 Moisture Management or Increase Soil Organic Matter</t>
  </si>
  <si>
    <t xml:space="preserve">7 Soil Compaction Reduction </t>
  </si>
  <si>
    <t xml:space="preserve">8 Nitrogen for Subsequent Crop </t>
  </si>
  <si>
    <t>9 Concentration of Salts and Other Chemicals</t>
  </si>
  <si>
    <t>Germination
%</t>
  </si>
  <si>
    <t xml:space="preserve">Variety
</t>
  </si>
  <si>
    <t>Purpose</t>
  </si>
  <si>
    <t>Prepared Mix</t>
  </si>
  <si>
    <t xml:space="preserve">            Applied Practice Meets SD </t>
  </si>
  <si>
    <t>(Date)</t>
  </si>
  <si>
    <t>(Name)</t>
  </si>
  <si>
    <t>Instructions</t>
  </si>
  <si>
    <t>NRCS Field Office</t>
  </si>
  <si>
    <t>Phone</t>
  </si>
  <si>
    <t>County</t>
  </si>
  <si>
    <t>Conservation District</t>
  </si>
  <si>
    <t>1.5 - 3.0</t>
  </si>
  <si>
    <t>Program</t>
  </si>
  <si>
    <t xml:space="preserve"> Cover Crop Seeding Plan          Vendor Information Sheet</t>
  </si>
  <si>
    <t xml:space="preserve">10 Wildlife, Pollinator, and Beneficial Organism Improvement </t>
  </si>
  <si>
    <t>.75 - 2.0</t>
  </si>
  <si>
    <t>.25 - 1.0</t>
  </si>
  <si>
    <t>.5 - 1.0</t>
  </si>
  <si>
    <t>1.5 - 2.0</t>
  </si>
  <si>
    <t>total</t>
  </si>
  <si>
    <t>Shallow</t>
  </si>
  <si>
    <t>Deep</t>
  </si>
  <si>
    <t>Termination</t>
  </si>
  <si>
    <t>Planned Seeding Month</t>
  </si>
  <si>
    <t>Croplist</t>
  </si>
  <si>
    <t>Cover Crops</t>
  </si>
  <si>
    <t>Planned seeding window</t>
  </si>
  <si>
    <t>American Creek</t>
  </si>
  <si>
    <t>Aurora</t>
  </si>
  <si>
    <t>Beadle</t>
  </si>
  <si>
    <t>Bennett</t>
  </si>
  <si>
    <t>Bon Homme</t>
  </si>
  <si>
    <t>Brookings</t>
  </si>
  <si>
    <t>Brown-Marshall</t>
  </si>
  <si>
    <t>Brule-Buffalo</t>
  </si>
  <si>
    <t>Butte</t>
  </si>
  <si>
    <t>Campbell</t>
  </si>
  <si>
    <t>Charles Mix</t>
  </si>
  <si>
    <t>Clark</t>
  </si>
  <si>
    <t>Clay</t>
  </si>
  <si>
    <t>Clearfield-Keyapaha</t>
  </si>
  <si>
    <t>Codington</t>
  </si>
  <si>
    <t>Corson</t>
  </si>
  <si>
    <t>Custer</t>
  </si>
  <si>
    <t>Davison</t>
  </si>
  <si>
    <t>Day</t>
  </si>
  <si>
    <t>Deuel</t>
  </si>
  <si>
    <t>Dewey</t>
  </si>
  <si>
    <t>Douglas</t>
  </si>
  <si>
    <t>East Pennington</t>
  </si>
  <si>
    <t>Edmunds</t>
  </si>
  <si>
    <t>Elk Creek</t>
  </si>
  <si>
    <t>Fall River</t>
  </si>
  <si>
    <t>Faulk</t>
  </si>
  <si>
    <t>Grant</t>
  </si>
  <si>
    <t>Gregory</t>
  </si>
  <si>
    <t>Haakon</t>
  </si>
  <si>
    <t>Hamill</t>
  </si>
  <si>
    <t>Hamlin</t>
  </si>
  <si>
    <t>Hand</t>
  </si>
  <si>
    <t>Hanson</t>
  </si>
  <si>
    <t>Harding</t>
  </si>
  <si>
    <t>Hughes</t>
  </si>
  <si>
    <t>Hutchinson</t>
  </si>
  <si>
    <t>Hyde</t>
  </si>
  <si>
    <t>Jackson</t>
  </si>
  <si>
    <t>Jerauld</t>
  </si>
  <si>
    <t>Jones</t>
  </si>
  <si>
    <t>Kingsbury</t>
  </si>
  <si>
    <t>Lake</t>
  </si>
  <si>
    <t>Lawrence</t>
  </si>
  <si>
    <t>Lincoln</t>
  </si>
  <si>
    <t>Marshall</t>
  </si>
  <si>
    <t>McCook</t>
  </si>
  <si>
    <t>McPherson</t>
  </si>
  <si>
    <t>Mellette</t>
  </si>
  <si>
    <t>Miner</t>
  </si>
  <si>
    <t>Minnehaha</t>
  </si>
  <si>
    <t>Moody</t>
  </si>
  <si>
    <t>Oglala Lakota</t>
  </si>
  <si>
    <t>Pennington</t>
  </si>
  <si>
    <t>Perkins</t>
  </si>
  <si>
    <t>Potter</t>
  </si>
  <si>
    <t>Roberts</t>
  </si>
  <si>
    <t>Sanborn</t>
  </si>
  <si>
    <t>South Brown</t>
  </si>
  <si>
    <t>Spink</t>
  </si>
  <si>
    <t>Stanley</t>
  </si>
  <si>
    <t>Sully</t>
  </si>
  <si>
    <t>Todd</t>
  </si>
  <si>
    <t>Tri-County</t>
  </si>
  <si>
    <t>Turner</t>
  </si>
  <si>
    <t xml:space="preserve">Union </t>
  </si>
  <si>
    <t>Walworth</t>
  </si>
  <si>
    <t>Yankton</t>
  </si>
  <si>
    <t>Ziebach</t>
  </si>
  <si>
    <t>Brown</t>
  </si>
  <si>
    <t>Brule</t>
  </si>
  <si>
    <t>Buffalo</t>
  </si>
  <si>
    <t>Lyman</t>
  </si>
  <si>
    <t>Meade</t>
  </si>
  <si>
    <t>Tripp</t>
  </si>
  <si>
    <t>Union</t>
  </si>
  <si>
    <t>CRP</t>
  </si>
  <si>
    <t>CStP</t>
  </si>
  <si>
    <t>CTA</t>
  </si>
  <si>
    <t>EQIP</t>
  </si>
  <si>
    <t>Flood Plain</t>
  </si>
  <si>
    <t>PL-566</t>
  </si>
  <si>
    <t>WRP/WRE</t>
  </si>
  <si>
    <r>
      <rPr>
        <b/>
        <sz val="11"/>
        <color theme="1"/>
        <rFont val="Calibri"/>
        <family val="2"/>
        <scheme val="minor"/>
      </rPr>
      <t>*Brassicas include:</t>
    </r>
    <r>
      <rPr>
        <sz val="10"/>
        <rFont val="Arial"/>
        <family val="2"/>
      </rPr>
      <t xml:space="preserve"> Canola, African cabbage, kale, mustard, radish, </t>
    </r>
  </si>
  <si>
    <t>rapeseed, turnip, and hybrids of these species.</t>
  </si>
  <si>
    <t>field pea, lentil, common vetch, crimson clover, chickling vetch, balansa clover, red clover</t>
  </si>
  <si>
    <t>annual ryegrass, barley, cereal rye, oat, spring wheat, triticale, winter wheat</t>
  </si>
  <si>
    <t>SD_Cover_Crop_Technical_Note_16.pdf</t>
  </si>
  <si>
    <t>cost</t>
  </si>
  <si>
    <t xml:space="preserve">LBS   </t>
  </si>
  <si>
    <t>lbs</t>
  </si>
  <si>
    <t>Species / Species</t>
  </si>
  <si>
    <t>% of NRCS Full seeding rate</t>
  </si>
  <si>
    <t>Seed Planted (lbs/acre)</t>
  </si>
  <si>
    <t>Seed Planted  (LBS)</t>
  </si>
  <si>
    <t>Totals --&gt;</t>
  </si>
  <si>
    <t>% of NRCS Full Seeding Rate</t>
  </si>
  <si>
    <t>Total Acres Planted</t>
  </si>
  <si>
    <t>Acres Planted</t>
  </si>
  <si>
    <t>% of NRCS full seeding rate in Mix</t>
  </si>
  <si>
    <t>NRCS Full Seeding Rate (PLS lbs/ac)</t>
  </si>
  <si>
    <t>Planned Seeding Rate (PLS lbs/ac)</t>
  </si>
  <si>
    <t>Total Seed Required    (PLS lbs)</t>
  </si>
  <si>
    <t>Data</t>
  </si>
  <si>
    <t xml:space="preserve">Data is from South Dakota Technical Guide including: </t>
  </si>
  <si>
    <t>Practice Standard 340 Cover Crop</t>
  </si>
  <si>
    <t>Agronomy Technical Note 16</t>
  </si>
  <si>
    <t>Totals for Mixed species ---&gt;</t>
  </si>
  <si>
    <r>
      <t xml:space="preserve">Prepared Mix </t>
    </r>
    <r>
      <rPr>
        <sz val="7"/>
        <rFont val="Arial"/>
        <family val="2"/>
      </rPr>
      <t xml:space="preserve">: </t>
    </r>
    <r>
      <rPr>
        <b/>
        <sz val="7"/>
        <color theme="3" tint="0.39997558519241921"/>
        <rFont val="Arial"/>
        <family val="2"/>
      </rPr>
      <t>Optional</t>
    </r>
    <r>
      <rPr>
        <sz val="7"/>
        <color theme="3" tint="0.39997558519241921"/>
        <rFont val="Arial"/>
        <family val="2"/>
      </rPr>
      <t xml:space="preserve"> </t>
    </r>
    <r>
      <rPr>
        <sz val="7"/>
        <rFont val="Arial"/>
        <family val="2"/>
      </rPr>
      <t xml:space="preserve"> 
Choose from list   --------&gt;</t>
    </r>
    <r>
      <rPr>
        <sz val="8"/>
        <rFont val="Arial"/>
        <family val="2"/>
      </rPr>
      <t xml:space="preserve"> </t>
    </r>
  </si>
  <si>
    <t>Average
 cost/
LB.</t>
  </si>
  <si>
    <t>W1:AE56</t>
  </si>
  <si>
    <t>Producer Phone #</t>
  </si>
  <si>
    <t>Producer Name:</t>
  </si>
  <si>
    <t>Phone:</t>
  </si>
  <si>
    <t>Producer name &amp; phone</t>
  </si>
  <si>
    <r>
      <t>Bulk Seed 
Total (LBS.)
of</t>
    </r>
    <r>
      <rPr>
        <b/>
        <sz val="10"/>
        <rFont val="Arial"/>
        <family val="2"/>
      </rPr>
      <t xml:space="preserve"> Mix</t>
    </r>
  </si>
  <si>
    <t>Planning</t>
  </si>
  <si>
    <t>Assistance By:</t>
  </si>
  <si>
    <t>Certification</t>
  </si>
  <si>
    <t>% cover</t>
  </si>
  <si>
    <t>Plants / sq ft.</t>
  </si>
  <si>
    <t>standards and specifications:</t>
  </si>
  <si>
    <t>% Full seeding rate</t>
  </si>
  <si>
    <t>Field Method 1</t>
  </si>
  <si>
    <t>Field Method 2</t>
  </si>
  <si>
    <t>Field Method 3</t>
  </si>
  <si>
    <t>Comments:</t>
  </si>
  <si>
    <t>13 Local Mix</t>
  </si>
  <si>
    <t>Depth</t>
  </si>
  <si>
    <t>Field Method 4</t>
  </si>
  <si>
    <t xml:space="preserve">Promote 
biological
 nitrogen
fixation </t>
  </si>
  <si>
    <t xml:space="preserve">Minimize/Reduce surface soil compaction </t>
  </si>
  <si>
    <t xml:space="preserve">Salinity Tolerance </t>
  </si>
  <si>
    <t xml:space="preserve">Mycorrhizal fungi association </t>
  </si>
  <si>
    <t>Shade Tolerance</t>
  </si>
  <si>
    <r>
      <t xml:space="preserve">Bulk  Seed
</t>
    </r>
    <r>
      <rPr>
        <b/>
        <sz val="9"/>
        <rFont val="Arial"/>
        <family val="2"/>
      </rPr>
      <t>Individual species</t>
    </r>
    <r>
      <rPr>
        <sz val="8"/>
        <rFont val="Arial"/>
        <family val="2"/>
      </rPr>
      <t xml:space="preserve">
(LBS.)</t>
    </r>
  </si>
  <si>
    <t>Seeding Date</t>
  </si>
  <si>
    <t>Planned Planting Date</t>
  </si>
  <si>
    <t>Plan written</t>
  </si>
  <si>
    <t xml:space="preserve"> Cover Crop Cost Estimate for Planning</t>
  </si>
  <si>
    <t>Seed Tag(s)</t>
  </si>
  <si>
    <t>Print</t>
  </si>
  <si>
    <t>Cover crop worksheet</t>
  </si>
  <si>
    <t>Prepared Mixes</t>
  </si>
  <si>
    <t>Table 1 Purpose Rating</t>
  </si>
  <si>
    <t>Cost Estimates</t>
  </si>
  <si>
    <t>Vendor</t>
  </si>
  <si>
    <t>Recommended Cover Crop Mixes</t>
  </si>
  <si>
    <t>Table 2 Purpose Rating</t>
  </si>
  <si>
    <t>Cost / LB</t>
  </si>
  <si>
    <t>Estimated Average</t>
  </si>
  <si>
    <t xml:space="preserve">field pea, common vetch, chickling vetch, red clover, alfalfa </t>
  </si>
  <si>
    <t xml:space="preserve">rapeseed, kale, collards, radish, mustard, African cabbage, hybrids </t>
  </si>
  <si>
    <t xml:space="preserve">flax, winter camelina, phacelia </t>
  </si>
  <si>
    <t>rapeseed, kale, collards, radish, turnip, hybrids</t>
  </si>
  <si>
    <t>millet, teff,  grain or forage sorghum, sorghum-sudan, corn, sudangrass</t>
  </si>
  <si>
    <t>0-5%</t>
  </si>
  <si>
    <t xml:space="preserve">flax, winter camelina </t>
  </si>
  <si>
    <t xml:space="preserve">crimson clover, common vetch, red clover, balansa clover </t>
  </si>
  <si>
    <t xml:space="preserve">flax, phacelia, winter camelina </t>
  </si>
  <si>
    <t>Field Number(s)</t>
  </si>
  <si>
    <t>Fallow or Prevent Plant</t>
  </si>
  <si>
    <t>Full season Covercrop</t>
  </si>
  <si>
    <t>Guide to Certification</t>
  </si>
  <si>
    <t>Field check date</t>
  </si>
  <si>
    <r>
      <t xml:space="preserve">LBS of Air dry Veg. </t>
    </r>
    <r>
      <rPr>
        <sz val="8"/>
        <rFont val="Arial"/>
        <family val="2"/>
      </rPr>
      <t>East River</t>
    </r>
  </si>
  <si>
    <r>
      <t xml:space="preserve">LBS of Air dry Veg. </t>
    </r>
    <r>
      <rPr>
        <sz val="8"/>
        <rFont val="Arial"/>
        <family val="2"/>
      </rPr>
      <t>West River</t>
    </r>
  </si>
  <si>
    <t>LBS</t>
  </si>
  <si>
    <t>No. of Plants</t>
  </si>
  <si>
    <t>% full rate</t>
  </si>
  <si>
    <t>Select the method used to certify and enter data below</t>
  </si>
  <si>
    <t>Seeding dates fluctuate annually.  Seeding dates may be adjusted up to 15 days by the District Conservationist, based on local weather and site conditions.</t>
  </si>
  <si>
    <t>Enter Germination only when it is less than 85%</t>
  </si>
  <si>
    <r>
      <t xml:space="preserve">% Purity
(or)
% in </t>
    </r>
    <r>
      <rPr>
        <b/>
        <sz val="9"/>
        <rFont val="Arial"/>
        <family val="2"/>
      </rPr>
      <t>Mix</t>
    </r>
  </si>
  <si>
    <t>contains a tag that lists the % of the species by weight in the mix</t>
  </si>
  <si>
    <t>and details from the seed tag from the lot that the species came from.</t>
  </si>
  <si>
    <t>Example 1 :</t>
  </si>
  <si>
    <t>contains a typical seed tag that lists the % of the species by weight in the mix.</t>
  </si>
  <si>
    <t>LBS of Bulk seed planted is reported by the producer supported by an invoice</t>
  </si>
  <si>
    <t xml:space="preserve">        Acres planted is provided by the producer supported by an invoice if planting was contracted</t>
  </si>
  <si>
    <t>Example 2:</t>
  </si>
  <si>
    <t>Example 3 :</t>
  </si>
  <si>
    <t>Seed Tags vary from dealer to dealer but are required to contain certain information.  They may however contain additional information that makes them confusing in some cases.</t>
  </si>
  <si>
    <t>and examples of the completed Applied section of the Cover Crop Worksheet.</t>
  </si>
  <si>
    <t xml:space="preserve">contains a typical set of seed tags. Each tag representing 1 species. </t>
  </si>
  <si>
    <t>Total acres planted</t>
  </si>
  <si>
    <t xml:space="preserve"> ac</t>
  </si>
  <si>
    <t>Invoice details are required to calculate applied LBS and % of NRCS Full rate</t>
  </si>
  <si>
    <t>Example 4 :</t>
  </si>
  <si>
    <t>Enter Applied</t>
  </si>
  <si>
    <t>Seeding Method</t>
  </si>
  <si>
    <t xml:space="preserve">contains a tag that lists the % of species by weight in the purity column and germination for each. </t>
  </si>
  <si>
    <t>The crop needs to have an analysis report. A seed tag is not needed as the producer is not selling the seed.</t>
  </si>
  <si>
    <r>
      <t>The important thing is to enter the purity, germ if &lt; 85%, and the</t>
    </r>
    <r>
      <rPr>
        <b/>
        <sz val="10"/>
        <rFont val="Arial"/>
        <family val="2"/>
      </rPr>
      <t xml:space="preserve"> LBS.</t>
    </r>
    <r>
      <rPr>
        <sz val="10"/>
        <rFont val="Arial"/>
        <family val="2"/>
      </rPr>
      <t xml:space="preserve"> of the added bin run crop here.</t>
    </r>
  </si>
  <si>
    <r>
      <t xml:space="preserve">and the producer </t>
    </r>
    <r>
      <rPr>
        <b/>
        <sz val="18"/>
        <rFont val="Arial"/>
        <family val="2"/>
      </rPr>
      <t>adds bin run crop</t>
    </r>
    <r>
      <rPr>
        <sz val="14"/>
        <rFont val="Arial"/>
        <family val="2"/>
      </rPr>
      <t xml:space="preserve"> to the mix. Oats in this example.</t>
    </r>
  </si>
  <si>
    <r>
      <t xml:space="preserve">LBS of Bulk seed planted is reported by the producer supported by an invoice. Enter the LBS. of the </t>
    </r>
    <r>
      <rPr>
        <b/>
        <sz val="16"/>
        <rFont val="Arial"/>
        <family val="2"/>
      </rPr>
      <t>mix</t>
    </r>
    <r>
      <rPr>
        <sz val="12"/>
        <rFont val="Arial"/>
        <family val="2"/>
      </rPr>
      <t xml:space="preserve"> here.</t>
    </r>
  </si>
  <si>
    <t>When seed is added to a mix</t>
  </si>
  <si>
    <t>When the seed is in a mix (2 or more species mixed together) on one seed tag it can be presented in various ways. Here are 4 examples of Seed Tags from Mixes</t>
  </si>
  <si>
    <t>E340106Z2</t>
  </si>
  <si>
    <t>E340A</t>
  </si>
  <si>
    <t>E340B</t>
  </si>
  <si>
    <t>E340C</t>
  </si>
  <si>
    <t>E340D</t>
  </si>
  <si>
    <t>E340E</t>
  </si>
  <si>
    <t>E340F</t>
  </si>
  <si>
    <t>E340G</t>
  </si>
  <si>
    <t>E340H</t>
  </si>
  <si>
    <t>E340I</t>
  </si>
  <si>
    <t>E340101Z</t>
  </si>
  <si>
    <t>E340102Z</t>
  </si>
  <si>
    <t>E340106Z1</t>
  </si>
  <si>
    <t>E340106Z4</t>
  </si>
  <si>
    <t>E340107Z</t>
  </si>
  <si>
    <t>CStP Enhancement</t>
  </si>
  <si>
    <r>
      <rPr>
        <sz val="10"/>
        <rFont val="Arial"/>
        <family val="2"/>
      </rPr>
      <t>Estimated</t>
    </r>
    <r>
      <rPr>
        <sz val="11"/>
        <rFont val="Arial"/>
        <family val="2"/>
      </rPr>
      <t xml:space="preserve"> % by   weight of seed in mix</t>
    </r>
  </si>
  <si>
    <t>Full Video</t>
  </si>
  <si>
    <t>Timeline</t>
  </si>
  <si>
    <t>Introduction</t>
  </si>
  <si>
    <t>Closing</t>
  </si>
  <si>
    <t>Cover Crop Mixes</t>
  </si>
  <si>
    <t>Recommended Mixes</t>
  </si>
  <si>
    <t>Spreadsheet Functions</t>
  </si>
  <si>
    <t>General overview</t>
  </si>
  <si>
    <t>Cost Estimate</t>
  </si>
  <si>
    <t>Vendor sheet</t>
  </si>
  <si>
    <t>Plan Extras</t>
  </si>
  <si>
    <t>Application</t>
  </si>
  <si>
    <t>Certification Examples</t>
  </si>
  <si>
    <t>Seed Tag examples</t>
  </si>
  <si>
    <t>Certification Process</t>
  </si>
  <si>
    <t>Video Tutorial</t>
  </si>
  <si>
    <t>Contact Information</t>
  </si>
  <si>
    <t>Table 1 - Cover crop data</t>
  </si>
  <si>
    <t>Cover crop Tutorial</t>
  </si>
  <si>
    <t>0:00 - 2:37</t>
  </si>
  <si>
    <t>2:38 - 9:25</t>
  </si>
  <si>
    <t>9:26 - 14:19</t>
  </si>
  <si>
    <t>14:20 – 23:42</t>
  </si>
  <si>
    <t>23:43 – 29:34</t>
  </si>
  <si>
    <t>29:35-42:56</t>
  </si>
  <si>
    <t>69:22 – 69:32</t>
  </si>
  <si>
    <t>42:57 – 69:21</t>
  </si>
  <si>
    <t>1,2,4</t>
  </si>
  <si>
    <t>Rye, Cereal planted after Oct. 1</t>
  </si>
  <si>
    <t>Rye, Cereal planted on or before Oct. 1</t>
  </si>
  <si>
    <t>seeds/sq ft</t>
  </si>
  <si>
    <t>End Sub</t>
  </si>
  <si>
    <t>Example</t>
  </si>
  <si>
    <t xml:space="preserve">                        Maximum of 20 sheets in the print table (blue cells).</t>
  </si>
  <si>
    <t xml:space="preserve">           Column D Maximum of 8 sheets,   Column G Maximum of 12 spec sheets, </t>
  </si>
  <si>
    <t xml:space="preserve">In the Sheet/Construction Specs table, </t>
  </si>
  <si>
    <t>If additional sheets need hidded enter the sheet name in AB27:AB50 and select True in AF</t>
  </si>
  <si>
    <t xml:space="preserve">      these sheets will be hidden when print/pdf preview is finished</t>
  </si>
  <si>
    <t>Enter "True" for each sheet you want to hide in the "Hide" column (AF)</t>
  </si>
  <si>
    <t xml:space="preserve">    the "connect to" and connected to 2 must also be identical (see example)</t>
  </si>
  <si>
    <t xml:space="preserve">     (limited to rows 14-26) however if the connected sheet has an entry,</t>
  </si>
  <si>
    <t>Enter the sheet name that each sheet will be connected to in columns AD and AE</t>
  </si>
  <si>
    <t xml:space="preserve">     Example - check 17.2 and SD-5, SD-12B and SD-13 are automatically checked.</t>
  </si>
  <si>
    <t xml:space="preserve">     the checkbox in the sheet table then there will be Construction Specs automatically checked.</t>
  </si>
  <si>
    <t xml:space="preserve">    (limited to rows 2-13) see example below.  Connected means if you click</t>
  </si>
  <si>
    <t>In column AC enter all sheet names that will have a connection (use copy/paste values from AB)</t>
  </si>
  <si>
    <t xml:space="preserve">       See the example below also.  Next enter the appropriate entries in AC-AF.</t>
  </si>
  <si>
    <r>
      <t xml:space="preserve">       They will end up being the </t>
    </r>
    <r>
      <rPr>
        <b/>
        <sz val="11"/>
        <color theme="1"/>
        <rFont val="Calibri"/>
        <family val="2"/>
        <scheme val="minor"/>
      </rPr>
      <t>Sheets</t>
    </r>
    <r>
      <rPr>
        <sz val="10"/>
        <rFont val="Arial"/>
        <family val="2"/>
      </rPr>
      <t xml:space="preserve"> and </t>
    </r>
    <r>
      <rPr>
        <b/>
        <sz val="11"/>
        <color theme="1"/>
        <rFont val="Calibri"/>
        <family val="2"/>
        <scheme val="minor"/>
      </rPr>
      <t>Additional sheets, Construction Specs</t>
    </r>
    <r>
      <rPr>
        <sz val="10"/>
        <rFont val="Arial"/>
        <family val="2"/>
      </rPr>
      <t xml:space="preserve"> ect.  in the table</t>
    </r>
  </si>
  <si>
    <t>In column AB click the "List sheets" button. These sheets then may be deleted or rearranged.</t>
  </si>
  <si>
    <r>
      <t xml:space="preserve">Close the </t>
    </r>
    <r>
      <rPr>
        <b/>
        <sz val="11"/>
        <color theme="1"/>
        <rFont val="Calibri"/>
        <family val="2"/>
        <scheme val="minor"/>
      </rPr>
      <t>"Print Tool-copy"</t>
    </r>
    <r>
      <rPr>
        <sz val="10"/>
        <rFont val="Arial"/>
        <family val="2"/>
      </rPr>
      <t xml:space="preserve"> . </t>
    </r>
  </si>
  <si>
    <t>Move any additional spec sheets as needed in the same way.</t>
  </si>
  <si>
    <t xml:space="preserve">        and place it in the row of sheets at the bottom.  This moves the sheet.</t>
  </si>
  <si>
    <r>
      <t>Click and hold the Print sheet in the</t>
    </r>
    <r>
      <rPr>
        <b/>
        <sz val="11"/>
        <color theme="1"/>
        <rFont val="Calibri"/>
        <family val="2"/>
        <scheme val="minor"/>
      </rPr>
      <t xml:space="preserve"> "Print Tool-copy"</t>
    </r>
    <r>
      <rPr>
        <sz val="10"/>
        <rFont val="Arial"/>
        <family val="2"/>
      </rPr>
      <t xml:space="preserve">  sliding it to the "NEW-copy"</t>
    </r>
  </si>
  <si>
    <r>
      <t xml:space="preserve">Open both files. If a sheet named Print exists in the </t>
    </r>
    <r>
      <rPr>
        <b/>
        <sz val="11"/>
        <color theme="1"/>
        <rFont val="Calibri"/>
        <family val="2"/>
        <scheme val="minor"/>
      </rPr>
      <t>"New-copy"</t>
    </r>
    <r>
      <rPr>
        <sz val="10"/>
        <rFont val="Arial"/>
        <family val="2"/>
      </rPr>
      <t xml:space="preserve"> delete it.</t>
    </r>
  </si>
  <si>
    <r>
      <t>in folder A and</t>
    </r>
    <r>
      <rPr>
        <b/>
        <sz val="11"/>
        <color theme="1"/>
        <rFont val="Calibri"/>
        <family val="2"/>
        <scheme val="minor"/>
      </rPr>
      <t xml:space="preserve"> "New-copy" </t>
    </r>
    <r>
      <rPr>
        <sz val="10"/>
        <rFont val="Arial"/>
        <family val="2"/>
      </rPr>
      <t>in folder B.</t>
    </r>
  </si>
  <si>
    <r>
      <t xml:space="preserve">Copy both workbooks so the originals are safe. Place the </t>
    </r>
    <r>
      <rPr>
        <b/>
        <sz val="11"/>
        <color theme="1"/>
        <rFont val="Calibri"/>
        <family val="2"/>
        <scheme val="minor"/>
      </rPr>
      <t xml:space="preserve">"Print Tool-copy" </t>
    </r>
  </si>
  <si>
    <t xml:space="preserve">             Sheets</t>
  </si>
  <si>
    <r>
      <rPr>
        <b/>
        <sz val="11"/>
        <color theme="1"/>
        <rFont val="Calibri"/>
        <family val="2"/>
        <scheme val="minor"/>
      </rPr>
      <t xml:space="preserve">     "New"</t>
    </r>
    <r>
      <rPr>
        <sz val="10"/>
        <rFont val="Arial"/>
        <family val="2"/>
      </rPr>
      <t xml:space="preserve"> although it can be an existing workbook.</t>
    </r>
  </si>
  <si>
    <r>
      <t xml:space="preserve">We will call this workbook </t>
    </r>
    <r>
      <rPr>
        <b/>
        <sz val="11"/>
        <color theme="1"/>
        <rFont val="Calibri"/>
        <family val="2"/>
        <scheme val="minor"/>
      </rPr>
      <t>"Print Tool"</t>
    </r>
    <r>
      <rPr>
        <sz val="10"/>
        <rFont val="Arial"/>
        <family val="2"/>
      </rPr>
      <t xml:space="preserve"> and the different workbook </t>
    </r>
  </si>
  <si>
    <t xml:space="preserve">      and not have links or not have to re-assign any names, follow these instructions.</t>
  </si>
  <si>
    <r>
      <t xml:space="preserve">To move the </t>
    </r>
    <r>
      <rPr>
        <b/>
        <sz val="11"/>
        <color theme="1"/>
        <rFont val="Calibri"/>
        <family val="2"/>
        <scheme val="minor"/>
      </rPr>
      <t>"Print"</t>
    </r>
    <r>
      <rPr>
        <sz val="10"/>
        <rFont val="Arial"/>
        <family val="2"/>
      </rPr>
      <t xml:space="preserve"> sheet and any spec sheets into a different workbook</t>
    </r>
  </si>
  <si>
    <r>
      <t xml:space="preserve">Hide Sheets      </t>
    </r>
    <r>
      <rPr>
        <sz val="9"/>
        <color theme="1"/>
        <rFont val="Calibri"/>
        <family val="2"/>
        <scheme val="minor"/>
      </rPr>
      <t>(after preview)</t>
    </r>
  </si>
  <si>
    <r>
      <t xml:space="preserve">Connect to 2      </t>
    </r>
    <r>
      <rPr>
        <sz val="9"/>
        <color theme="1"/>
        <rFont val="Calibri"/>
        <family val="2"/>
        <scheme val="minor"/>
      </rPr>
      <t>(Enter Sheet Name)</t>
    </r>
  </si>
  <si>
    <r>
      <t xml:space="preserve">Connect to      </t>
    </r>
    <r>
      <rPr>
        <i/>
        <sz val="9"/>
        <color theme="1"/>
        <rFont val="Calibri"/>
        <family val="2"/>
        <scheme val="minor"/>
      </rPr>
      <t>(Enter Sheet Name)</t>
    </r>
  </si>
  <si>
    <r>
      <t xml:space="preserve">Connected Sheets </t>
    </r>
    <r>
      <rPr>
        <sz val="9"/>
        <color theme="1"/>
        <rFont val="Calibri"/>
        <family val="2"/>
        <scheme val="minor"/>
      </rPr>
      <t>(Enter Sheet Name)</t>
    </r>
  </si>
  <si>
    <t>PRINTING</t>
  </si>
  <si>
    <t>Sheets in workbook</t>
  </si>
  <si>
    <t>Update Instructions  -   follow these steps in this order 
the first time to prepare the Print sheet</t>
  </si>
  <si>
    <t>Print Instructions</t>
  </si>
  <si>
    <t>Programming Notes</t>
  </si>
  <si>
    <t>Version</t>
  </si>
  <si>
    <t>Date</t>
  </si>
  <si>
    <t>Cost estimates</t>
  </si>
  <si>
    <t>Table 1 Purpose rating</t>
  </si>
  <si>
    <t>Seed Tag Examples</t>
  </si>
  <si>
    <t>DATA</t>
  </si>
  <si>
    <t>Notes</t>
  </si>
  <si>
    <t xml:space="preserve"> Additional Sheets</t>
  </si>
  <si>
    <t>Changes to this table can be made in column AB:AF  ---&gt;</t>
  </si>
  <si>
    <t>Author: Mark Washechek</t>
  </si>
  <si>
    <t>Added Video Tutorial</t>
  </si>
  <si>
    <t>Minor corrections and format changes</t>
  </si>
  <si>
    <t>lbs seed / ac</t>
  </si>
  <si>
    <t>seeds / lb</t>
  </si>
  <si>
    <t>Total seeds / sqft planned  ---&gt;</t>
  </si>
  <si>
    <t>80% of total seeds / sqft planned  ---&gt;</t>
  </si>
  <si>
    <r>
      <t xml:space="preserve">Seeds </t>
    </r>
    <r>
      <rPr>
        <b/>
        <sz val="10"/>
        <rFont val="Arial"/>
        <family val="2"/>
      </rPr>
      <t>Planned</t>
    </r>
  </si>
  <si>
    <t xml:space="preserve">Added a calculation of 80% of seeds planned / sq.ft. and displayed it in the Data tab.  When large seeds are planted the 12 plants/sq.ft. evaluation standard may not be appropriate. </t>
  </si>
  <si>
    <t>Added the print tab that allows the user to preview the printout in a more efficient way. Also added the ability to save to a PDF. This will be handy when sending a design to the FO, producer or vendor.</t>
  </si>
  <si>
    <t>Field Method 3   -   LBS of Air dry Veg. East River</t>
  </si>
  <si>
    <t>Field Method 4   -   LBS of Air dry Veg. West River</t>
  </si>
  <si>
    <t>Old options</t>
  </si>
  <si>
    <t>Air Dry Pounds/AUM</t>
  </si>
  <si>
    <t>Harvest Efficiency</t>
  </si>
  <si>
    <t>AUM's/ac</t>
  </si>
  <si>
    <t>No Crop</t>
  </si>
  <si>
    <t>Prevented Plant</t>
  </si>
  <si>
    <t>Sorghum</t>
  </si>
  <si>
    <t>Bison, Mature</t>
  </si>
  <si>
    <t>Bison, Weaned Calves</t>
  </si>
  <si>
    <t>Bull, Mature</t>
  </si>
  <si>
    <t>Cow, 1000 lb., 2 yr +</t>
  </si>
  <si>
    <t>Cow, 1200 lb., 2 yr +</t>
  </si>
  <si>
    <t>Cow, 1400 lb., 2 yr +</t>
  </si>
  <si>
    <t>Elk, Mature</t>
  </si>
  <si>
    <t>Goat, Kid</t>
  </si>
  <si>
    <t>Goat, Mature</t>
  </si>
  <si>
    <t>Horse, Mature</t>
  </si>
  <si>
    <t>Replacement heifers</t>
  </si>
  <si>
    <t>Sheep,  Ewe</t>
  </si>
  <si>
    <t>Sheep, Lamb, 1 yr</t>
  </si>
  <si>
    <t>Sheep, Ram</t>
  </si>
  <si>
    <t>Weaned Calves</t>
  </si>
  <si>
    <t>Yearlings 1-2 yr</t>
  </si>
  <si>
    <t>Livestock Type</t>
  </si>
  <si>
    <t>AU</t>
  </si>
  <si>
    <t>102A</t>
  </si>
  <si>
    <t>102B</t>
  </si>
  <si>
    <t>102C</t>
  </si>
  <si>
    <t>53B</t>
  </si>
  <si>
    <t>53C</t>
  </si>
  <si>
    <t>55B</t>
  </si>
  <si>
    <t>55C</t>
  </si>
  <si>
    <t>58D</t>
  </si>
  <si>
    <t>60A</t>
  </si>
  <si>
    <t>63A</t>
  </si>
  <si>
    <t>63B</t>
  </si>
  <si>
    <t>MLRA</t>
  </si>
  <si>
    <t>Producers should be encouraged to leave additional cover which will lead to additional soil health benefits.</t>
  </si>
  <si>
    <t>To maintain soil health, prevent soil erosion and benefit water quality a minimum of 4" of cover crop after grazing should remain.</t>
  </si>
  <si>
    <t xml:space="preserve">guidance for the producer.  </t>
  </si>
  <si>
    <t>The calculations on the inventory sheet is an estimate of AUM's available, and is only provided as planning</t>
  </si>
  <si>
    <t xml:space="preserve">Selecting one option will cause the answer in the other option to disappear. </t>
  </si>
  <si>
    <t>The worksheet will calculate the number of animals that can graze for the selected number of days.</t>
  </si>
  <si>
    <t xml:space="preserve">yellow cell (j44) and the Livestock Type from the drop down list in the yellow cell B48.  </t>
  </si>
  <si>
    <t>know how many head he can put out there click the Option B button. Enter the number of daysto be grazed in the</t>
  </si>
  <si>
    <t>If the producer wants to graze for a certain amount of time (number of days), and wants to</t>
  </si>
  <si>
    <t>Select the    Option B button   - how many animals can graze</t>
  </si>
  <si>
    <t xml:space="preserve"> the number of head and the worksheet will estimate the available days of grazing.</t>
  </si>
  <si>
    <t>grazing is available click the Option A button. Pick the animal type from the yellow highlighted cells and indicate</t>
  </si>
  <si>
    <t>If the producer has a certain number of livestock and wants to know how many days of</t>
  </si>
  <si>
    <t>Select the    Option A  button   - how many days of grazing is available</t>
  </si>
  <si>
    <r>
      <t xml:space="preserve">Using the AUM calculation above to calculate Days of grazeble forage </t>
    </r>
    <r>
      <rPr>
        <b/>
        <u/>
        <sz val="12"/>
        <rFont val="Arial"/>
        <family val="2"/>
      </rPr>
      <t>or</t>
    </r>
    <r>
      <rPr>
        <b/>
        <sz val="12"/>
        <rFont val="Arial"/>
        <family val="2"/>
      </rPr>
      <t xml:space="preserve"> Livestock numbers that can graze:</t>
    </r>
  </si>
  <si>
    <t>The worksheet will calculate AUM's per acre and AUM's by field for Aftermath grazing. The calculation is made after acres, crop harvested and yield are input. It will calculate cover crop AUM's per acre and by field after acres, crop harvested, inches begin, inches end are input.  It will also calculate a total AUM's value after either or both crop and/or cover crop info is input.</t>
  </si>
  <si>
    <t>The grazing END height will default to 4" so as to prevent soil erosion and benefit water quality. It can be over written with a different number. Use a larger value if additional soil health benefits are planned.</t>
  </si>
  <si>
    <t>Estimate the yield for the fields that will be grazed in the planned year. If the field will have a cover crop planted enter the height of the cover crop when grazing will begin and the height of the cover crop when grazing will end.</t>
  </si>
  <si>
    <r>
      <t xml:space="preserve">Complete all the information in the yellow cells for all fields that will be grazed. </t>
    </r>
    <r>
      <rPr>
        <u/>
        <sz val="11"/>
        <rFont val="Arial"/>
        <family val="2"/>
      </rPr>
      <t>Only enter info in yellow cells.</t>
    </r>
  </si>
  <si>
    <t>Complete all of the  general producer information at the top of the Inventory sheet.</t>
  </si>
  <si>
    <t>To calculate Crop Aftermath and Cover Crop AUM's per acre and AUM's per field:</t>
  </si>
  <si>
    <t>INSTRUCTIONS</t>
  </si>
  <si>
    <t>ALLOWABLE ANIMALS</t>
  </si>
  <si>
    <t>ANIMAL UNIT EQUIVALENT</t>
  </si>
  <si>
    <t>ALLOWABLE ANIMAL UNITS</t>
  </si>
  <si>
    <t xml:space="preserve"> =</t>
  </si>
  <si>
    <t xml:space="preserve"> /</t>
  </si>
  <si>
    <t>DAYS TO BE GRAZED</t>
  </si>
  <si>
    <t>ANIMAL UNIT DAYS</t>
  </si>
  <si>
    <t>DAYS IN A MONTH</t>
  </si>
  <si>
    <t>TOTAL AUM's AVAILABLE</t>
  </si>
  <si>
    <t xml:space="preserve">  = </t>
  </si>
  <si>
    <t xml:space="preserve"> X </t>
  </si>
  <si>
    <r>
      <t xml:space="preserve">Estimate the </t>
    </r>
    <r>
      <rPr>
        <b/>
        <sz val="14"/>
        <rFont val="Arial"/>
        <family val="2"/>
      </rPr>
      <t>Number of Animal Units</t>
    </r>
    <r>
      <rPr>
        <sz val="14"/>
        <rFont val="Arial"/>
        <family val="2"/>
      </rPr>
      <t xml:space="preserve"> that can graze based on the Total AUM's available above</t>
    </r>
  </si>
  <si>
    <t xml:space="preserve"> = </t>
  </si>
  <si>
    <t>TOTAL ANIMAL UNITS</t>
  </si>
  <si>
    <t xml:space="preserve"> X</t>
  </si>
  <si>
    <t>ANIMAL UNITS</t>
  </si>
  <si>
    <t>ANIMAL NUMBERS</t>
  </si>
  <si>
    <t>ANIMAL TYPE</t>
  </si>
  <si>
    <t>AVAILABLE DAYS OF GRAZING</t>
  </si>
  <si>
    <t>AVAILABLE MONTHS OF GRAZING</t>
  </si>
  <si>
    <t xml:space="preserve">  X </t>
  </si>
  <si>
    <t xml:space="preserve">  /</t>
  </si>
  <si>
    <r>
      <t xml:space="preserve">Estimate the number of  </t>
    </r>
    <r>
      <rPr>
        <b/>
        <sz val="14"/>
        <rFont val="Arial"/>
        <family val="2"/>
      </rPr>
      <t>Days of Grazing</t>
    </r>
    <r>
      <rPr>
        <sz val="14"/>
        <rFont val="Arial"/>
        <family val="2"/>
      </rPr>
      <t xml:space="preserve"> available based on the Total AUM's available above</t>
    </r>
  </si>
  <si>
    <r>
      <rPr>
        <b/>
        <i/>
        <sz val="16"/>
        <rFont val="Arial"/>
        <family val="2"/>
      </rPr>
      <t xml:space="preserve">Select </t>
    </r>
    <r>
      <rPr>
        <b/>
        <i/>
        <sz val="16"/>
        <color rgb="FFFF5050"/>
        <rFont val="Arial"/>
        <family val="2"/>
      </rPr>
      <t>Option A</t>
    </r>
    <r>
      <rPr>
        <i/>
        <sz val="16"/>
        <rFont val="Arial"/>
        <family val="2"/>
      </rPr>
      <t xml:space="preserve">  </t>
    </r>
    <r>
      <rPr>
        <b/>
        <i/>
        <sz val="16"/>
        <rFont val="Arial"/>
        <family val="2"/>
      </rPr>
      <t>OR</t>
    </r>
    <r>
      <rPr>
        <i/>
        <sz val="16"/>
        <rFont val="Arial"/>
        <family val="2"/>
      </rPr>
      <t xml:space="preserve">  </t>
    </r>
    <r>
      <rPr>
        <b/>
        <i/>
        <sz val="16"/>
        <color theme="9" tint="-0.249977111117893"/>
        <rFont val="Arial"/>
        <family val="2"/>
      </rPr>
      <t>Option B</t>
    </r>
    <r>
      <rPr>
        <b/>
        <i/>
        <sz val="16"/>
        <rFont val="Arial"/>
        <family val="2"/>
      </rPr>
      <t xml:space="preserve"> </t>
    </r>
    <r>
      <rPr>
        <i/>
        <sz val="16"/>
        <rFont val="Arial"/>
        <family val="2"/>
      </rPr>
      <t>below:</t>
    </r>
  </si>
  <si>
    <t>2/ Cover crop AUM's calculated using the South Dakota NRCS Fact Sheet 56 July 2011</t>
  </si>
  <si>
    <t>1/ Crop aftermath AUM's calculated using the South Dakota NRCS eFOTG  , Section I - Rangeland Technical Note 6, 2003</t>
  </si>
  <si>
    <t xml:space="preserve"> 
AUM's per acre</t>
  </si>
  <si>
    <t xml:space="preserve"> 
AUM's available
</t>
  </si>
  <si>
    <t>2/ Total Cover Crop AUM's</t>
  </si>
  <si>
    <t>AUM's /   acre</t>
  </si>
  <si>
    <t>End Grazing (Inches)</t>
  </si>
  <si>
    <t>Begin Grazing (Inches)</t>
  </si>
  <si>
    <t>1/ Total Aftermath AUM's</t>
  </si>
  <si>
    <t>AUM's / acre</t>
  </si>
  <si>
    <t xml:space="preserve"> Enter Yield If stubble is grazed
Bu./Ac.</t>
  </si>
  <si>
    <t>Crop Harvested (Crop stubble)</t>
  </si>
  <si>
    <t>Grazed Acres</t>
  </si>
  <si>
    <t>Field</t>
  </si>
  <si>
    <t>Tract</t>
  </si>
  <si>
    <t xml:space="preserve">        AUM's</t>
  </si>
  <si>
    <t xml:space="preserve">        Cover Crop Height</t>
  </si>
  <si>
    <t>AUM's</t>
  </si>
  <si>
    <t>Crop Yield</t>
  </si>
  <si>
    <t>Year</t>
  </si>
  <si>
    <t>Utilization</t>
  </si>
  <si>
    <t>Graze Cover Crop</t>
  </si>
  <si>
    <t>Graze Crop Aftermath</t>
  </si>
  <si>
    <t>DATE:</t>
  </si>
  <si>
    <t>PREPARED BY:</t>
  </si>
  <si>
    <t>Field Office</t>
  </si>
  <si>
    <t>NAME:</t>
  </si>
  <si>
    <t>Biomass Pounds/Acre /inch height</t>
  </si>
  <si>
    <t>Formula</t>
  </si>
  <si>
    <t>Grazing End Height inches</t>
  </si>
  <si>
    <t>Years</t>
  </si>
  <si>
    <t>Cover Crop Air dry weight lbs/ac</t>
  </si>
  <si>
    <t>1st 4"</t>
  </si>
  <si>
    <t>Each Added "</t>
  </si>
  <si>
    <t>Cool</t>
  </si>
  <si>
    <t>Warm</t>
  </si>
  <si>
    <t>Warm/Cool</t>
  </si>
  <si>
    <t>Inches of typical Cover crop height based on planting date by MLRA</t>
  </si>
  <si>
    <t>Crop Aftermath and/or Cover Crop Grazing Estimate</t>
  </si>
  <si>
    <t>Use as an estimate of average years production with normal rainfall amounts</t>
  </si>
  <si>
    <t>Graze</t>
  </si>
  <si>
    <t>Practice</t>
  </si>
  <si>
    <t>Provide or increase forage supply during periods of low forage production or to extend the grazing season</t>
  </si>
  <si>
    <t>Provide temporary cover to reduce wind and water erosion and forage for sites where perennial forages will be reestablished</t>
  </si>
  <si>
    <t>Improve soil microbial life and soil aggregate stability</t>
  </si>
  <si>
    <t>Reduce excess nutrients from the soil</t>
  </si>
  <si>
    <t>ANNUAL FORAGES FOR GRAZING SYSTEMS 810</t>
  </si>
  <si>
    <t>COVER CROP 340</t>
  </si>
  <si>
    <t>Depth of shallowest</t>
  </si>
  <si>
    <r>
      <t xml:space="preserve">Check the box for each </t>
    </r>
    <r>
      <rPr>
        <b/>
        <i/>
        <sz val="11"/>
        <color theme="1"/>
        <rFont val="Calibri"/>
        <family val="2"/>
        <scheme val="minor"/>
      </rPr>
      <t>sheet</t>
    </r>
    <r>
      <rPr>
        <i/>
        <sz val="11"/>
        <color theme="1"/>
        <rFont val="Calibri"/>
        <family val="2"/>
        <scheme val="minor"/>
      </rPr>
      <t xml:space="preserve"> you want to print. Then click the "Preview Print"</t>
    </r>
  </si>
  <si>
    <t xml:space="preserve"> or "Preview PDF" button. Hover over the notes below for more information.</t>
  </si>
  <si>
    <t>Added a "Small Plot Size" button to the acreage cell on the Cover Crop Worksheet. The button calculates the acres of a small area and puts it in the cell.</t>
  </si>
  <si>
    <t>Forages for Grazing Systems" including purposes and form header.</t>
  </si>
  <si>
    <t>Added the updated link to the SD Cover crop Technical Note 16.</t>
  </si>
  <si>
    <t>Added the ability to use the form for the interim standard "810 - Annual</t>
  </si>
  <si>
    <t>Small Plot Planned</t>
  </si>
  <si>
    <t>Small Plot Applied</t>
  </si>
  <si>
    <t>102D</t>
  </si>
  <si>
    <t>55D</t>
  </si>
  <si>
    <t>% of NRCS Full Seeding Rate in Mix</t>
  </si>
  <si>
    <r>
      <t xml:space="preserve">In this case it was </t>
    </r>
    <r>
      <rPr>
        <b/>
        <sz val="14"/>
        <rFont val="Arial"/>
        <family val="2"/>
      </rPr>
      <t>770 LBS of Bulk Seed</t>
    </r>
    <r>
      <rPr>
        <sz val="14"/>
        <rFont val="Arial"/>
        <family val="2"/>
      </rPr>
      <t>. We break it down by species because Crimson Clover had considerable coating added.</t>
    </r>
  </si>
  <si>
    <t>770 x 25% = 192.5 lbs of each species</t>
  </si>
  <si>
    <t xml:space="preserve"> Acres planted is provided by the producer supported by an invoice if planting was contracted</t>
  </si>
  <si>
    <t>Updated seed costs to average of 3 seed dealers provided by Doug Fiedler, Brookings FSO. Changed Seedtag 3 example to exclude the seed coating from the weight. Modified the format of cell G19 (seeding date) to accept text. Changed file name to SD-JS-340_ver.2.7</t>
  </si>
  <si>
    <t>When used in High Tunnels Seeding dates may be adjusted as needed by the District Conservationist.</t>
  </si>
  <si>
    <t xml:space="preserve">To reduce chances of buckwheat or Cereal Rye contamination in wheat </t>
  </si>
  <si>
    <t>/5  Buckwheat or Cereal Rye contamination</t>
  </si>
  <si>
    <t>N /6</t>
  </si>
  <si>
    <t>Under the right conditions could overwinter and become a weed the following year.</t>
  </si>
  <si>
    <t>6/ Not intended as an overwintering Covercrop</t>
  </si>
  <si>
    <t>Frost - No fall tillage</t>
  </si>
  <si>
    <t>Planned Seeding Window</t>
  </si>
  <si>
    <t>Overwinter</t>
  </si>
  <si>
    <t>Cool/</t>
  </si>
  <si>
    <t>Most restrictive</t>
  </si>
  <si>
    <t>Pounds per bushel</t>
  </si>
  <si>
    <t>Crop</t>
  </si>
  <si>
    <t>Triticale planted after Oct. 1</t>
  </si>
  <si>
    <t>Triticale planted on or before Oct. 1</t>
  </si>
  <si>
    <t>Wheat, Winter planted on or before Oct. 1</t>
  </si>
  <si>
    <t>Wheat, Winter planted after Oct. 1</t>
  </si>
  <si>
    <t>$A$1:$v$76</t>
  </si>
  <si>
    <t xml:space="preserve">Review the mixes and note the number of the mix to select. </t>
  </si>
  <si>
    <t xml:space="preserve">Minimize/ Reduce subsoil compaction </t>
  </si>
  <si>
    <t>Table 1: Cover Crop - Urban</t>
  </si>
  <si>
    <r>
      <t>Rye, Cereal</t>
    </r>
    <r>
      <rPr>
        <b/>
        <vertAlign val="superscript"/>
        <sz val="9"/>
        <rFont val="Calibri"/>
        <family val="2"/>
        <scheme val="minor"/>
      </rPr>
      <t xml:space="preserve"> </t>
    </r>
    <r>
      <rPr>
        <b/>
        <sz val="6"/>
        <rFont val="Calibri"/>
        <family val="2"/>
        <scheme val="minor"/>
      </rPr>
      <t>/5</t>
    </r>
    <r>
      <rPr>
        <b/>
        <sz val="9"/>
        <rFont val="Calibri"/>
        <family val="2"/>
        <scheme val="minor"/>
      </rPr>
      <t xml:space="preserve"> planted after Oct. 1</t>
    </r>
  </si>
  <si>
    <r>
      <t xml:space="preserve">Rye, Cereal </t>
    </r>
    <r>
      <rPr>
        <b/>
        <sz val="6"/>
        <rFont val="Calibri"/>
        <family val="2"/>
        <scheme val="minor"/>
      </rPr>
      <t>/5</t>
    </r>
    <r>
      <rPr>
        <b/>
        <sz val="9"/>
        <rFont val="Calibri"/>
        <family val="2"/>
        <scheme val="minor"/>
      </rPr>
      <t xml:space="preserve"> planted on or before Oct. 1</t>
    </r>
  </si>
  <si>
    <t>do not rotate to wheat for grain for 2 years.</t>
  </si>
  <si>
    <t>/5  Buckwheat or Cereal Rye contamination -</t>
  </si>
  <si>
    <t xml:space="preserve">To reduce chances of contamination in wheat </t>
  </si>
  <si>
    <t>Cover Crop Contingency Plan</t>
  </si>
  <si>
    <t>Phacilia</t>
  </si>
  <si>
    <t>CSB-brassica</t>
  </si>
  <si>
    <t>CSB-legume</t>
  </si>
  <si>
    <t>Clover, Red</t>
  </si>
  <si>
    <t>Fava (Faba) beans</t>
  </si>
  <si>
    <t xml:space="preserve">Rye, Cereal </t>
  </si>
  <si>
    <t>Triticale</t>
  </si>
  <si>
    <t>Wheat, Winter</t>
  </si>
  <si>
    <t>WSB-legume</t>
  </si>
  <si>
    <t>Sunhemp</t>
  </si>
  <si>
    <t>Millet, Proso</t>
  </si>
  <si>
    <t>Sorghum, Grain</t>
  </si>
  <si>
    <t>Cool Season Broadleaf</t>
  </si>
  <si>
    <t>Cool Season Broadleaf - Brassica</t>
  </si>
  <si>
    <t>Cool Season Broadleaf - Legume</t>
  </si>
  <si>
    <t>Cool Season Grass</t>
  </si>
  <si>
    <t>Warm Season Broadleaf</t>
  </si>
  <si>
    <t>Warm Season Broadleaf - Legume</t>
  </si>
  <si>
    <t>Warm Season Grass</t>
  </si>
  <si>
    <t>Crop Type Alternatives</t>
  </si>
  <si>
    <t>SD NRCS</t>
  </si>
  <si>
    <t>Full Seeding</t>
  </si>
  <si>
    <t>AF</t>
  </si>
  <si>
    <t>CC</t>
  </si>
  <si>
    <t>Maintain or increase soil organic matter</t>
  </si>
  <si>
    <t>Improve soil aggregate stability</t>
  </si>
  <si>
    <t>Improve habitat for soil organisms</t>
  </si>
  <si>
    <t>Reduce weed and plant pest pressure</t>
  </si>
  <si>
    <t>Improve moisture management</t>
  </si>
  <si>
    <t>Reduce soil compaction</t>
  </si>
  <si>
    <t>Supply nitrogen to the subsequent crop</t>
  </si>
  <si>
    <t>Improve habitat for pollinators, beneficial organisms, or natural enemies of crop pests</t>
  </si>
  <si>
    <t>E340J</t>
  </si>
  <si>
    <t>Rate (pls) / ac</t>
  </si>
  <si>
    <t xml:space="preserve"> Oats is a Cool Season grass (CSG). Look for a substitute CSG on the chart on the back of this page. </t>
  </si>
  <si>
    <t xml:space="preserve">Oats was </t>
  </si>
  <si>
    <t xml:space="preserve">Barley is </t>
  </si>
  <si>
    <t>Your plan called for 15% oats to be seeded on 10 acres.</t>
  </si>
  <si>
    <t xml:space="preserve">Here is an example: The seed dealer doesn’t have oats. </t>
  </si>
  <si>
    <t>To Substitute Barley for Oats in the Plan multiply 50 lbs. pls / ac * 15% (.15) * 10 acres to be seeded.</t>
  </si>
  <si>
    <t>70 lbs. PLS /ac * .15 * 10 acres = 105 lbs. PLS</t>
  </si>
  <si>
    <t>50 lbs. PLS /ac * .15 * 10 acres = 75 lbs. PLS</t>
  </si>
  <si>
    <t>Table 1 Urban</t>
  </si>
  <si>
    <t>Contingency Plan</t>
  </si>
  <si>
    <r>
      <t xml:space="preserve">Click </t>
    </r>
    <r>
      <rPr>
        <b/>
        <sz val="11"/>
        <color rgb="FF451BAD"/>
        <rFont val="Arial"/>
        <family val="2"/>
      </rPr>
      <t>Return</t>
    </r>
    <r>
      <rPr>
        <b/>
        <sz val="11"/>
        <color theme="1" tint="0.34998626667073579"/>
        <rFont val="Arial"/>
        <family val="2"/>
      </rPr>
      <t xml:space="preserve"> and select the mix in J10 on the Cover Crop Worksheet</t>
    </r>
  </si>
  <si>
    <t>Group</t>
  </si>
  <si>
    <t>Selected Purpose and group</t>
  </si>
  <si>
    <t>W1:u56</t>
  </si>
  <si>
    <t>Note the % NRCS Full seeding rate. In this example you choose Barley at 50 lbs. / ac. Pure Live Seed (PLS)</t>
  </si>
  <si>
    <t>Seeds/sq. ft.</t>
  </si>
  <si>
    <t>SL=Shallow rooted/Low water use</t>
  </si>
  <si>
    <t>SM=Shallow rooted/Medium water use</t>
  </si>
  <si>
    <t>SH=Shallow rooted/High water use</t>
  </si>
  <si>
    <t>ML=Medium rooted/Low water use</t>
  </si>
  <si>
    <t>MM=Medium rooted/Medium water use</t>
  </si>
  <si>
    <t>MH=Medium rooted/High water use</t>
  </si>
  <si>
    <t>DL=Deep rooted/Low water use</t>
  </si>
  <si>
    <t>DM=Deep rooted/Medium water use</t>
  </si>
  <si>
    <t>DH=Deep rooted/High water use</t>
  </si>
  <si>
    <t>Provide supplemental hay</t>
  </si>
  <si>
    <t xml:space="preserve">Provide supplemental grazing </t>
  </si>
  <si>
    <r>
      <t>Rooting depth/Plant water use</t>
    </r>
    <r>
      <rPr>
        <b/>
        <vertAlign val="superscript"/>
        <sz val="10"/>
        <rFont val="Calibri"/>
        <family val="2"/>
        <scheme val="minor"/>
      </rPr>
      <t xml:space="preserve"> /1</t>
    </r>
  </si>
  <si>
    <r>
      <t>Crop type  and seeding dates</t>
    </r>
    <r>
      <rPr>
        <b/>
        <sz val="10"/>
        <rFont val="Calibri"/>
        <family val="2"/>
        <scheme val="minor"/>
      </rPr>
      <t xml:space="preserve"> </t>
    </r>
    <r>
      <rPr>
        <b/>
        <vertAlign val="superscript"/>
        <sz val="10"/>
        <rFont val="Calibri"/>
        <family val="2"/>
        <scheme val="minor"/>
      </rPr>
      <t>/2 /3</t>
    </r>
  </si>
  <si>
    <r>
      <t xml:space="preserve">Winter Survival </t>
    </r>
    <r>
      <rPr>
        <b/>
        <vertAlign val="superscript"/>
        <sz val="10"/>
        <color theme="1"/>
        <rFont val="Calibri"/>
        <family val="2"/>
        <scheme val="minor"/>
      </rPr>
      <t>6/</t>
    </r>
  </si>
  <si>
    <r>
      <t xml:space="preserve">Full seeding rate lbs/acre </t>
    </r>
    <r>
      <rPr>
        <b/>
        <vertAlign val="superscript"/>
        <sz val="10"/>
        <rFont val="Calibri"/>
        <family val="2"/>
        <scheme val="minor"/>
      </rPr>
      <t>/4</t>
    </r>
  </si>
  <si>
    <t>$A$1:$ag$75</t>
  </si>
  <si>
    <t>3 Seed dealers were used to determine the estimated average cost of species.</t>
  </si>
  <si>
    <t>The costs were last updated in the Spring of 2024</t>
  </si>
  <si>
    <t>Producer Selected Purpose for this Cover crop</t>
  </si>
  <si>
    <t xml:space="preserve">Key to Green Browse Use: </t>
  </si>
  <si>
    <t xml:space="preserve">1 – Deer </t>
  </si>
  <si>
    <t>2 – Geese</t>
  </si>
  <si>
    <t>3 – Small  mammals</t>
  </si>
  <si>
    <t>4 – Grassland/Upland Birds</t>
  </si>
  <si>
    <t>Rye, Cereal /5 planted on or before Oct. 1</t>
  </si>
  <si>
    <t>Flowers</t>
  </si>
  <si>
    <t>Vegetables</t>
  </si>
  <si>
    <t>The producer is responsibe for risk of herbicide carryover from previous crop production. The producer is responsible for reading and complying with the herbicide label and following all species compatibility and cropping interval restrictions and guidelines.</t>
  </si>
  <si>
    <t>Reduce sheet, rill, and wind erosion</t>
  </si>
  <si>
    <t>Under the right conditions could overwinter - may require additional control.</t>
  </si>
  <si>
    <t>14 Local Mix</t>
  </si>
  <si>
    <t>15 Local Mix</t>
  </si>
  <si>
    <t>When planting dates, weather conditions, seed shortages, etc. arise that prevent the seed mix from being prepared and/or planted as planned, please contact NRCS to ensure compliance with program requirements.
 If drought conditions exist, call the NRCS field staff to reschedule or modify planned seeding. If stand establishes but drought limits growth, grazing may need to be reduced or eliminated.</t>
  </si>
  <si>
    <t>When considering a species change, the following table(s) provide guidence when making a substitution .</t>
  </si>
  <si>
    <t>Additional Sheets will automatically be selected based on the Sheet selected.</t>
  </si>
  <si>
    <t>11 Small Scale that winter kills</t>
  </si>
  <si>
    <t>12 Small Scale over winters</t>
  </si>
  <si>
    <t>W</t>
  </si>
  <si>
    <t>C</t>
  </si>
  <si>
    <t>Overwinter Count</t>
  </si>
  <si>
    <t>*</t>
  </si>
  <si>
    <r>
      <t xml:space="preserve">The group wanted the seeding date to only be "August 1 through Winter – species that do not winter kill" </t>
    </r>
    <r>
      <rPr>
        <b/>
        <sz val="10"/>
        <rFont val="Arial"/>
        <family val="2"/>
      </rPr>
      <t>when ALL species would overwinter</t>
    </r>
  </si>
  <si>
    <t>Corrected the seeding date lookup  in the Cover crop worksheet tab. Changed file name to SD-JS-340_ver.2.6</t>
  </si>
  <si>
    <t>Added the ability to enter Small Plot calculations for planning and application. The spreadsheet continues to use acres to calculate seeding rates for the area however the 1000 square feet units are displayed and can be used to contract this practice and cost share in 1000 sq.ft. units when needed.</t>
  </si>
  <si>
    <t>12 Local Mix</t>
  </si>
  <si>
    <r>
      <t xml:space="preserve">Add New Mixes #12-15 below (cell b240) then click </t>
    </r>
    <r>
      <rPr>
        <b/>
        <i/>
        <sz val="11"/>
        <color rgb="FF451BAD"/>
        <rFont val="Arial"/>
        <family val="2"/>
      </rPr>
      <t>Return</t>
    </r>
  </si>
  <si>
    <t xml:space="preserve"> Added Winter wheat and Triticale seeding rate before (40 lbs) and after (60 lbs) October 1. Changed rates of these so as not to add additional seed if broadcast. Updated purposes from new Covercrop standard. Added CStP enhancement. Added cereal rye to  /5 note in Table 1.  Added /6 note. Changed the Herbicide carryover requirement to include "Producer Responsibility". Created a Table 1 Urban to hide columns and include the columns from the Soil Health Coalition recommendation. Added a formula to the "Planned Seeding Window" in the Cover crop Worksheet to automatically select the recommended seeding window based on the most restrictive species. The instruction given me was to list "Over Winter" only when all species selected overwintered.  Created a Contingency plan tab to be printed so if weather or seed availability is a problem the producer will know what to do. Created a Small scale prepared mix of oats, peas and common vetch.</t>
  </si>
  <si>
    <t>Linked new version of Agronomy Tech note 16 March 2025</t>
  </si>
  <si>
    <t>Linked newer version of Agronomy Tech note 16 May 2025</t>
  </si>
  <si>
    <t>Removed dropdown from "Planned seeding window"</t>
  </si>
  <si>
    <t xml:space="preserve"> cell (G18) on the Cover Crop worksheet.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</si>
</sst>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4" formatCode="_(&quot;$&quot;* #,##0.00_);_(&quot;$&quot;* \(#,##0.00\);_(&quot;$&quot;* &quot;-&quot;??_);_(@_)"/>
    <numFmt numFmtId="164" formatCode="0.0;0.0;"/>
    <numFmt numFmtId="165" formatCode="0;0;"/>
    <numFmt numFmtId="166" formatCode="0.0"/>
    <numFmt numFmtId="167" formatCode="0.0;\(0.0\);"/>
    <numFmt numFmtId="168" formatCode="mmm\-yyyy"/>
    <numFmt numFmtId="169" formatCode="_([$$-409]* #,##0.00_);_([$$-409]* \(#,##0.00\);_([$$-409]* &quot;-&quot;??_);_(@_)"/>
    <numFmt numFmtId="170" formatCode="mmmm\ d\,\ yyyy"/>
    <numFmt numFmtId="171" formatCode="0.00;0.00;"/>
    <numFmt numFmtId="172" formatCode="&quot;$&quot;#,##0.00_);\(&quot;$&quot;#,##0.00\);"/>
    <numFmt numFmtId="173" formatCode="0;\(0\);"/>
    <numFmt numFmtId="174" formatCode="&quot;$&quot;#,##0_);\(&quot;$&quot;#,##0\);"/>
    <numFmt numFmtId="175" formatCode="0.0%"/>
    <numFmt numFmtId="176" formatCode="mmmm\,\ yyyy"/>
    <numFmt numFmtId="177" formatCode="[$-409]mmmmm;@"/>
    <numFmt numFmtId="178" formatCode="[$-409]mmmm\ d\,\ yyyy;@"/>
    <numFmt numFmtId="179" formatCode="#,##0.0_);\(#,##0.0\)"/>
    <numFmt numFmtId="180" formatCode="[&lt;=9999999]###\-####;\(###\)\ ###\-####"/>
    <numFmt numFmtId="181" formatCode="&quot;$&quot;#,##0.00"/>
    <numFmt numFmtId="182" formatCode="0.00;\(0.00\);"/>
    <numFmt numFmtId="183" formatCode="0.000"/>
    <numFmt numFmtId="184" formatCode="0.0000;0.0000;"/>
    <numFmt numFmtId="185" formatCode="0.0000"/>
    <numFmt numFmtId="186" formatCode="#,##0.0_);[Red]\(#,##0.0\)"/>
    <numFmt numFmtId="187" formatCode="#,##0.0000_);[Red]\(#,##0.0000\)"/>
  </numFmts>
  <fonts count="16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2"/>
      <name val="Arial"/>
      <family val="2"/>
    </font>
    <font>
      <sz val="9"/>
      <name val="Arial"/>
      <family val="2"/>
    </font>
    <font>
      <b/>
      <sz val="10"/>
      <name val="Arial"/>
      <family val="2"/>
    </font>
    <font>
      <b/>
      <sz val="9"/>
      <name val="Arial"/>
      <family val="2"/>
    </font>
    <font>
      <b/>
      <i/>
      <sz val="9"/>
      <name val="Arial"/>
      <family val="2"/>
    </font>
    <font>
      <b/>
      <sz val="11"/>
      <name val="Arial"/>
      <family val="2"/>
    </font>
    <font>
      <sz val="8.5"/>
      <name val="Arial"/>
      <family val="2"/>
    </font>
    <font>
      <b/>
      <sz val="11"/>
      <color theme="1"/>
      <name val="Calibri"/>
      <family val="2"/>
      <scheme val="minor"/>
    </font>
    <font>
      <b/>
      <sz val="12"/>
      <color theme="1"/>
      <name val="Calibri"/>
      <family val="2"/>
      <scheme val="minor"/>
    </font>
    <font>
      <b/>
      <sz val="8.5"/>
      <name val="Arial"/>
      <family val="2"/>
    </font>
    <font>
      <sz val="8.5"/>
      <color indexed="9"/>
      <name val="Arial"/>
      <family val="2"/>
    </font>
    <font>
      <sz val="12"/>
      <name val="Arial"/>
      <family val="2"/>
    </font>
    <font>
      <sz val="10"/>
      <name val="Arial"/>
      <family val="2"/>
    </font>
    <font>
      <b/>
      <sz val="9"/>
      <name val="Calibri"/>
      <family val="2"/>
      <scheme val="minor"/>
    </font>
    <font>
      <b/>
      <sz val="9"/>
      <color theme="1"/>
      <name val="Calibri"/>
      <family val="2"/>
      <scheme val="minor"/>
    </font>
    <font>
      <sz val="9"/>
      <name val="Calibri"/>
      <family val="2"/>
      <scheme val="minor"/>
    </font>
    <font>
      <sz val="9"/>
      <color theme="1"/>
      <name val="Calibri"/>
      <family val="2"/>
      <scheme val="minor"/>
    </font>
    <font>
      <sz val="9"/>
      <color rgb="FFFF0000"/>
      <name val="Calibri"/>
      <family val="2"/>
      <scheme val="minor"/>
    </font>
    <font>
      <b/>
      <sz val="6"/>
      <name val="Calibri"/>
      <family val="2"/>
      <scheme val="minor"/>
    </font>
    <font>
      <b/>
      <sz val="9"/>
      <name val="Calibri"/>
      <family val="2"/>
    </font>
    <font>
      <b/>
      <sz val="14"/>
      <name val="Arial"/>
      <family val="2"/>
    </font>
    <font>
      <sz val="10"/>
      <name val="Arial"/>
      <family val="2"/>
    </font>
    <font>
      <sz val="14"/>
      <name val="Arial"/>
      <family val="2"/>
    </font>
    <font>
      <sz val="11"/>
      <name val="Arial"/>
      <family val="2"/>
    </font>
    <font>
      <i/>
      <sz val="12"/>
      <name val="Arial"/>
      <family val="2"/>
    </font>
    <font>
      <sz val="10"/>
      <color theme="1"/>
      <name val="Arial"/>
      <family val="2"/>
    </font>
    <font>
      <b/>
      <sz val="11"/>
      <color theme="5"/>
      <name val="Arial"/>
      <family val="2"/>
    </font>
    <font>
      <b/>
      <i/>
      <sz val="12"/>
      <color theme="5"/>
      <name val="Arial"/>
      <family val="2"/>
    </font>
    <font>
      <i/>
      <sz val="10"/>
      <name val="Arial"/>
      <family val="2"/>
    </font>
    <font>
      <b/>
      <i/>
      <sz val="10"/>
      <name val="Arial"/>
      <family val="2"/>
    </font>
    <font>
      <sz val="10"/>
      <color rgb="FF000000"/>
      <name val="Arial"/>
      <family val="2"/>
    </font>
    <font>
      <b/>
      <i/>
      <sz val="13"/>
      <color theme="5" tint="-0.249977111117893"/>
      <name val="Arial"/>
      <family val="2"/>
    </font>
    <font>
      <b/>
      <i/>
      <u/>
      <sz val="13"/>
      <color theme="5" tint="-0.249977111117893"/>
      <name val="Arial"/>
      <family val="2"/>
    </font>
    <font>
      <b/>
      <i/>
      <sz val="13"/>
      <color theme="5"/>
      <name val="Arial"/>
      <family val="2"/>
    </font>
    <font>
      <b/>
      <i/>
      <u/>
      <sz val="13"/>
      <color theme="5"/>
      <name val="Arial"/>
      <family val="2"/>
    </font>
    <font>
      <sz val="9"/>
      <color indexed="81"/>
      <name val="Tahoma"/>
      <family val="2"/>
    </font>
    <font>
      <b/>
      <sz val="9"/>
      <color indexed="81"/>
      <name val="Tahoma"/>
      <family val="2"/>
    </font>
    <font>
      <i/>
      <sz val="8"/>
      <name val="Arial"/>
      <family val="2"/>
    </font>
    <font>
      <sz val="7"/>
      <name val="Arial"/>
      <family val="2"/>
    </font>
    <font>
      <i/>
      <sz val="8"/>
      <color rgb="FFFF0000"/>
      <name val="Arial"/>
      <family val="2"/>
    </font>
    <font>
      <i/>
      <sz val="8.5"/>
      <name val="Arial"/>
      <family val="2"/>
    </font>
    <font>
      <sz val="8"/>
      <color rgb="FFFF0000"/>
      <name val="Arial"/>
      <family val="2"/>
    </font>
    <font>
      <sz val="8"/>
      <color rgb="FF000000"/>
      <name val="Arial"/>
      <family val="2"/>
    </font>
    <font>
      <sz val="7.5"/>
      <name val="Arial"/>
      <family val="2"/>
    </font>
    <font>
      <b/>
      <sz val="22"/>
      <name val="Arial"/>
      <family val="2"/>
    </font>
    <font>
      <b/>
      <sz val="8"/>
      <color indexed="81"/>
      <name val="Tahoma"/>
      <family val="2"/>
    </font>
    <font>
      <sz val="14"/>
      <color rgb="FF000000"/>
      <name val="Arial"/>
      <family val="2"/>
    </font>
    <font>
      <u/>
      <sz val="10"/>
      <color theme="10"/>
      <name val="Arial"/>
      <family val="2"/>
    </font>
    <font>
      <b/>
      <i/>
      <sz val="8"/>
      <color rgb="FF808000"/>
      <name val="Arial"/>
      <family val="2"/>
    </font>
    <font>
      <i/>
      <sz val="8"/>
      <color rgb="FF3366FF"/>
      <name val="Arial"/>
      <family val="2"/>
    </font>
    <font>
      <i/>
      <sz val="9"/>
      <color indexed="81"/>
      <name val="Tahoma"/>
      <family val="2"/>
    </font>
    <font>
      <sz val="16"/>
      <name val="Arial"/>
      <family val="2"/>
    </font>
    <font>
      <sz val="7"/>
      <color theme="3" tint="0.39997558519241921"/>
      <name val="Arial"/>
      <family val="2"/>
    </font>
    <font>
      <b/>
      <sz val="7"/>
      <color theme="3" tint="0.39997558519241921"/>
      <name val="Arial"/>
      <family val="2"/>
    </font>
    <font>
      <sz val="13"/>
      <name val="Arial"/>
      <family val="2"/>
    </font>
    <font>
      <b/>
      <sz val="11"/>
      <color indexed="81"/>
      <name val="Tahoma"/>
      <family val="2"/>
    </font>
    <font>
      <sz val="8.5"/>
      <color rgb="FFFF0000"/>
      <name val="Arial"/>
      <family val="2"/>
    </font>
    <font>
      <b/>
      <i/>
      <sz val="9"/>
      <color indexed="81"/>
      <name val="Tahoma"/>
      <family val="2"/>
    </font>
    <font>
      <b/>
      <i/>
      <u/>
      <sz val="9"/>
      <color indexed="81"/>
      <name val="Tahoma"/>
      <family val="2"/>
    </font>
    <font>
      <sz val="9"/>
      <color rgb="FF000000"/>
      <name val="Arial"/>
      <family val="2"/>
    </font>
    <font>
      <sz val="8.5"/>
      <color theme="0"/>
      <name val="Arial"/>
      <family val="2"/>
    </font>
    <font>
      <b/>
      <sz val="16"/>
      <name val="Arial Rounded MT Bold"/>
      <family val="2"/>
    </font>
    <font>
      <b/>
      <i/>
      <sz val="16"/>
      <name val="Arial Rounded MT Bold"/>
      <family val="2"/>
    </font>
    <font>
      <b/>
      <i/>
      <sz val="10"/>
      <name val="Arial Rounded MT Bold"/>
      <family val="2"/>
    </font>
    <font>
      <b/>
      <vertAlign val="superscript"/>
      <sz val="9"/>
      <color indexed="81"/>
      <name val="Tahoma"/>
      <family val="2"/>
    </font>
    <font>
      <b/>
      <sz val="14"/>
      <color indexed="81"/>
      <name val="Tahoma"/>
      <family val="2"/>
    </font>
    <font>
      <b/>
      <i/>
      <sz val="8"/>
      <color rgb="FF0000FF"/>
      <name val="Arial"/>
      <family val="2"/>
    </font>
    <font>
      <sz val="16"/>
      <color rgb="FF0000FF"/>
      <name val="Arial"/>
      <family val="2"/>
    </font>
    <font>
      <sz val="10"/>
      <color theme="0"/>
      <name val="Arial"/>
      <family val="2"/>
    </font>
    <font>
      <sz val="8"/>
      <color indexed="81"/>
      <name val="Tahoma"/>
      <family val="2"/>
    </font>
    <font>
      <i/>
      <sz val="8"/>
      <color indexed="81"/>
      <name val="Tahoma"/>
      <family val="2"/>
    </font>
    <font>
      <b/>
      <i/>
      <vertAlign val="superscript"/>
      <sz val="9"/>
      <color indexed="81"/>
      <name val="Tahoma"/>
      <family val="2"/>
    </font>
    <font>
      <b/>
      <u/>
      <sz val="9"/>
      <color indexed="81"/>
      <name val="Tahoma"/>
      <family val="2"/>
    </font>
    <font>
      <b/>
      <i/>
      <u/>
      <sz val="10"/>
      <color indexed="81"/>
      <name val="Tahoma"/>
      <family val="2"/>
    </font>
    <font>
      <i/>
      <sz val="6"/>
      <color rgb="FF0000FF"/>
      <name val="Arial"/>
      <family val="2"/>
    </font>
    <font>
      <i/>
      <sz val="26"/>
      <name val="Imprint MT Shadow"/>
      <family val="5"/>
    </font>
    <font>
      <b/>
      <i/>
      <u/>
      <sz val="11"/>
      <color indexed="81"/>
      <name val="Tahoma"/>
      <family val="2"/>
    </font>
    <font>
      <b/>
      <sz val="18"/>
      <name val="Arial"/>
      <family val="2"/>
    </font>
    <font>
      <b/>
      <sz val="16"/>
      <name val="Arial"/>
      <family val="2"/>
    </font>
    <font>
      <b/>
      <sz val="11"/>
      <name val="Calibri"/>
      <family val="2"/>
    </font>
    <font>
      <sz val="11"/>
      <name val="Calibri"/>
      <family val="2"/>
    </font>
    <font>
      <u/>
      <sz val="11"/>
      <name val="Calibri"/>
      <family val="2"/>
    </font>
    <font>
      <u/>
      <sz val="8"/>
      <color theme="10"/>
      <name val="Arial"/>
      <family val="2"/>
    </font>
    <font>
      <sz val="9"/>
      <color rgb="FF3366FF"/>
      <name val="Arial"/>
      <family val="2"/>
    </font>
    <font>
      <u/>
      <sz val="14"/>
      <color theme="10"/>
      <name val="Arial"/>
      <family val="2"/>
    </font>
    <font>
      <b/>
      <sz val="14"/>
      <name val="Calibri"/>
      <family val="2"/>
    </font>
    <font>
      <sz val="14"/>
      <name val="Calibri"/>
      <family val="2"/>
    </font>
    <font>
      <sz val="7.5"/>
      <color rgb="FF4D4D4D"/>
      <name val="Arial"/>
      <family val="2"/>
    </font>
    <font>
      <sz val="11"/>
      <color rgb="FFFF0000"/>
      <name val="Calibri"/>
      <family val="2"/>
      <scheme val="minor"/>
    </font>
    <font>
      <b/>
      <sz val="18"/>
      <color theme="1"/>
      <name val="Calibri"/>
      <family val="2"/>
      <scheme val="minor"/>
    </font>
    <font>
      <i/>
      <sz val="12"/>
      <color theme="1"/>
      <name val="Calibri"/>
      <family val="2"/>
      <scheme val="minor"/>
    </font>
    <font>
      <sz val="12"/>
      <color theme="1"/>
      <name val="Calibri"/>
      <family val="2"/>
      <scheme val="minor"/>
    </font>
    <font>
      <b/>
      <sz val="14"/>
      <color theme="1"/>
      <name val="Calibri"/>
      <family val="2"/>
      <scheme val="minor"/>
    </font>
    <font>
      <i/>
      <sz val="10"/>
      <color theme="1"/>
      <name val="Calibri"/>
      <family val="2"/>
      <scheme val="minor"/>
    </font>
    <font>
      <i/>
      <sz val="11"/>
      <color theme="1"/>
      <name val="Calibri"/>
      <family val="2"/>
      <scheme val="minor"/>
    </font>
    <font>
      <b/>
      <i/>
      <sz val="11"/>
      <color theme="1"/>
      <name val="Calibri"/>
      <family val="2"/>
      <scheme val="minor"/>
    </font>
    <font>
      <i/>
      <sz val="9"/>
      <color theme="1"/>
      <name val="Calibri"/>
      <family val="2"/>
      <scheme val="minor"/>
    </font>
    <font>
      <sz val="26"/>
      <color theme="1"/>
      <name val="Calibri"/>
      <family val="2"/>
      <scheme val="minor"/>
    </font>
    <font>
      <b/>
      <i/>
      <sz val="18"/>
      <color rgb="FF000000"/>
      <name val="Calibri"/>
      <family val="2"/>
    </font>
    <font>
      <sz val="11"/>
      <color rgb="FF000000"/>
      <name val="Calibri"/>
      <family val="2"/>
    </font>
    <font>
      <b/>
      <u/>
      <sz val="12"/>
      <name val="Arial"/>
      <family val="2"/>
    </font>
    <font>
      <u/>
      <sz val="11"/>
      <name val="Arial"/>
      <family val="2"/>
    </font>
    <font>
      <b/>
      <sz val="16"/>
      <color rgb="FFFF0000"/>
      <name val="Arial"/>
      <family val="2"/>
    </font>
    <font>
      <b/>
      <sz val="10"/>
      <color theme="9" tint="-0.249977111117893"/>
      <name val="Arial"/>
      <family val="2"/>
    </font>
    <font>
      <sz val="14"/>
      <color theme="1"/>
      <name val="Calibri"/>
      <family val="2"/>
      <scheme val="minor"/>
    </font>
    <font>
      <b/>
      <sz val="9"/>
      <color rgb="FFFF0066"/>
      <name val="Arial"/>
      <family val="2"/>
    </font>
    <font>
      <sz val="11"/>
      <name val="Calibri"/>
      <family val="2"/>
      <scheme val="minor"/>
    </font>
    <font>
      <i/>
      <sz val="16"/>
      <name val="Arial"/>
      <family val="2"/>
    </font>
    <font>
      <b/>
      <i/>
      <sz val="16"/>
      <name val="Arial"/>
      <family val="2"/>
    </font>
    <font>
      <b/>
      <i/>
      <sz val="16"/>
      <color rgb="FFFF5050"/>
      <name val="Arial"/>
      <family val="2"/>
    </font>
    <font>
      <b/>
      <i/>
      <sz val="16"/>
      <color theme="9" tint="-0.249977111117893"/>
      <name val="Arial"/>
      <family val="2"/>
    </font>
    <font>
      <sz val="7"/>
      <color rgb="FF339966"/>
      <name val="Arial"/>
      <family val="2"/>
    </font>
    <font>
      <sz val="8"/>
      <color rgb="FF000000"/>
      <name val="Segoe UI"/>
      <family val="2"/>
    </font>
    <font>
      <i/>
      <sz val="10"/>
      <name val="Arabic Typesetting"/>
      <family val="4"/>
      <charset val="178"/>
    </font>
    <font>
      <sz val="6"/>
      <name val="Times New Roman"/>
      <family val="1"/>
    </font>
    <font>
      <sz val="6"/>
      <color rgb="FF3366FF"/>
      <name val="Arial"/>
      <family val="2"/>
    </font>
    <font>
      <b/>
      <sz val="6"/>
      <color theme="3" tint="0.39997558519241921"/>
      <name val="Arial"/>
      <family val="2"/>
    </font>
    <font>
      <sz val="14"/>
      <color rgb="FF0000FF"/>
      <name val="Arial"/>
      <family val="2"/>
    </font>
    <font>
      <b/>
      <vertAlign val="superscript"/>
      <sz val="9"/>
      <name val="Calibri"/>
      <family val="2"/>
      <scheme val="minor"/>
    </font>
    <font>
      <b/>
      <i/>
      <sz val="8"/>
      <color rgb="FFFF0000"/>
      <name val="Arial"/>
      <family val="2"/>
    </font>
    <font>
      <b/>
      <i/>
      <sz val="7"/>
      <color rgb="FFFF0000"/>
      <name val="Arial"/>
      <family val="2"/>
    </font>
    <font>
      <b/>
      <i/>
      <sz val="7"/>
      <name val="Arial"/>
      <family val="2"/>
    </font>
    <font>
      <sz val="11"/>
      <name val="Aptos"/>
      <family val="2"/>
    </font>
    <font>
      <sz val="18"/>
      <name val="Aptos"/>
      <family val="2"/>
    </font>
    <font>
      <sz val="18"/>
      <name val="Arial"/>
      <family val="2"/>
    </font>
    <font>
      <sz val="12"/>
      <name val="Aptos"/>
      <family val="2"/>
    </font>
    <font>
      <sz val="6"/>
      <color rgb="FF0000FF"/>
      <name val="Arial"/>
      <family val="2"/>
    </font>
    <font>
      <sz val="12"/>
      <color theme="1"/>
      <name val="Arial"/>
      <family val="2"/>
    </font>
    <font>
      <sz val="16"/>
      <color theme="1"/>
      <name val="Calibri"/>
      <family val="2"/>
      <scheme val="minor"/>
    </font>
    <font>
      <b/>
      <sz val="11"/>
      <color theme="1" tint="0.34998626667073579"/>
      <name val="Arial"/>
      <family val="2"/>
    </font>
    <font>
      <b/>
      <sz val="14"/>
      <color theme="1" tint="0.34998626667073579"/>
      <name val="Arial"/>
      <family val="2"/>
    </font>
    <font>
      <b/>
      <sz val="11"/>
      <color rgb="FF451BAD"/>
      <name val="Arial"/>
      <family val="2"/>
    </font>
    <font>
      <sz val="8"/>
      <name val="Arial"/>
      <family val="2"/>
    </font>
    <font>
      <b/>
      <vertAlign val="superscript"/>
      <sz val="10"/>
      <name val="Calibri"/>
      <family val="2"/>
      <scheme val="minor"/>
    </font>
    <font>
      <b/>
      <sz val="10"/>
      <name val="Calibri"/>
      <family val="2"/>
      <scheme val="minor"/>
    </font>
    <font>
      <b/>
      <vertAlign val="superscript"/>
      <sz val="10"/>
      <color theme="1"/>
      <name val="Calibri"/>
      <family val="2"/>
      <scheme val="minor"/>
    </font>
    <font>
      <sz val="14"/>
      <name val="Aptos"/>
      <family val="2"/>
    </font>
    <font>
      <b/>
      <sz val="26"/>
      <name val="Arial"/>
      <family val="2"/>
    </font>
    <font>
      <i/>
      <sz val="11"/>
      <color theme="1" tint="0.34998626667073579"/>
      <name val="Arial"/>
      <family val="2"/>
    </font>
    <font>
      <b/>
      <i/>
      <sz val="11"/>
      <color rgb="FF451BAD"/>
      <name val="Arial"/>
      <family val="2"/>
    </font>
    <font>
      <b/>
      <sz val="10"/>
      <color rgb="FF0000FF"/>
      <name val="Arial"/>
      <family val="2"/>
    </font>
  </fonts>
  <fills count="35">
    <fill>
      <patternFill patternType="none"/>
    </fill>
    <fill>
      <patternFill patternType="gray125"/>
    </fill>
    <fill>
      <patternFill patternType="solid">
        <fgColor indexed="26"/>
        <bgColor indexed="64"/>
      </patternFill>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rgb="FFFFFFE7"/>
        <bgColor indexed="64"/>
      </patternFill>
    </fill>
    <fill>
      <patternFill patternType="solid">
        <fgColor rgb="FFFFFFDD"/>
        <bgColor indexed="64"/>
      </patternFill>
    </fill>
    <fill>
      <patternFill patternType="solid">
        <fgColor theme="6" tint="0.79998168889431442"/>
        <bgColor indexed="64"/>
      </patternFill>
    </fill>
    <fill>
      <patternFill patternType="solid">
        <fgColor rgb="FFF1FFDE"/>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4FFE5"/>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rgb="FFEDF3F9"/>
        <bgColor indexed="64"/>
      </patternFill>
    </fill>
    <fill>
      <patternFill patternType="solid">
        <fgColor rgb="FF99FF99"/>
        <bgColor indexed="64"/>
      </patternFill>
    </fill>
    <fill>
      <patternFill patternType="solid">
        <fgColor rgb="FFE6EBF6"/>
        <bgColor indexed="64"/>
      </patternFill>
    </fill>
    <fill>
      <patternFill patternType="solid">
        <fgColor theme="3" tint="0.79998168889431442"/>
        <bgColor indexed="64"/>
      </patternFill>
    </fill>
    <fill>
      <patternFill patternType="solid">
        <fgColor rgb="FFE4FFAF"/>
        <bgColor indexed="64"/>
      </patternFill>
    </fill>
    <fill>
      <patternFill patternType="solid">
        <fgColor theme="0" tint="-0.14999847407452621"/>
        <bgColor indexed="64"/>
      </patternFill>
    </fill>
    <fill>
      <patternFill patternType="solid">
        <fgColor indexed="41"/>
        <bgColor indexed="64"/>
      </patternFill>
    </fill>
    <fill>
      <patternFill patternType="solid">
        <fgColor rgb="FFFDFFE5"/>
        <bgColor indexed="64"/>
      </patternFill>
    </fill>
    <fill>
      <patternFill patternType="solid">
        <fgColor rgb="FFFDFBDB"/>
        <bgColor indexed="64"/>
      </patternFill>
    </fill>
    <fill>
      <patternFill patternType="solid">
        <fgColor rgb="FF92D050"/>
        <bgColor indexed="64"/>
      </patternFill>
    </fill>
    <fill>
      <patternFill patternType="solid">
        <fgColor theme="9" tint="0.79998168889431442"/>
        <bgColor indexed="64"/>
      </patternFill>
    </fill>
    <fill>
      <patternFill patternType="solid">
        <fgColor rgb="FFFDF5DB"/>
        <bgColor indexed="64"/>
      </patternFill>
    </fill>
    <fill>
      <patternFill patternType="solid">
        <fgColor rgb="FFFAFFEE"/>
        <bgColor indexed="64"/>
      </patternFill>
    </fill>
    <fill>
      <patternFill patternType="solid">
        <fgColor rgb="FFCDCDFF"/>
        <bgColor indexed="64"/>
      </patternFill>
    </fill>
    <fill>
      <patternFill patternType="solid">
        <fgColor rgb="FFF2FFE1"/>
        <bgColor indexed="64"/>
      </patternFill>
    </fill>
  </fills>
  <borders count="59">
    <border>
      <left/>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medium">
        <color indexed="64"/>
      </left>
      <right/>
      <top/>
      <bottom/>
      <diagonal/>
    </border>
    <border>
      <left/>
      <right/>
      <top style="thin">
        <color rgb="FF00B050"/>
      </top>
      <bottom style="thin">
        <color rgb="FF00B050"/>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medium">
        <color indexed="64"/>
      </left>
      <right/>
      <top style="thin">
        <color indexed="64"/>
      </top>
      <bottom style="thin">
        <color indexed="64"/>
      </bottom>
      <diagonal/>
    </border>
    <border>
      <left/>
      <right style="medium">
        <color indexed="64"/>
      </right>
      <top/>
      <bottom style="hair">
        <color indexed="64"/>
      </bottom>
      <diagonal/>
    </border>
    <border>
      <left style="medium">
        <color indexed="64"/>
      </left>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double">
        <color indexed="64"/>
      </right>
      <top/>
      <bottom style="double">
        <color indexed="64"/>
      </bottom>
      <diagonal/>
    </border>
    <border>
      <left style="double">
        <color indexed="64"/>
      </left>
      <right/>
      <top/>
      <bottom style="double">
        <color indexed="64"/>
      </bottom>
      <diagonal/>
    </border>
    <border>
      <left/>
      <right style="double">
        <color indexed="64"/>
      </right>
      <top/>
      <bottom/>
      <diagonal/>
    </border>
    <border>
      <left style="double">
        <color indexed="64"/>
      </left>
      <right/>
      <top/>
      <bottom/>
      <diagonal/>
    </border>
    <border>
      <left/>
      <right style="double">
        <color indexed="64"/>
      </right>
      <top style="thin">
        <color indexed="64"/>
      </top>
      <bottom/>
      <diagonal/>
    </border>
    <border>
      <left style="double">
        <color indexed="64"/>
      </left>
      <right style="thin">
        <color indexed="64"/>
      </right>
      <top style="thin">
        <color indexed="64"/>
      </top>
      <bottom style="thin">
        <color indexed="64"/>
      </bottom>
      <diagonal/>
    </border>
    <border>
      <left style="double">
        <color indexed="64"/>
      </left>
      <right/>
      <top/>
      <bottom style="thin">
        <color indexed="64"/>
      </bottom>
      <diagonal/>
    </border>
    <border>
      <left/>
      <right style="double">
        <color indexed="64"/>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style="double">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hair">
        <color auto="1"/>
      </left>
      <right style="hair">
        <color auto="1"/>
      </right>
      <top style="hair">
        <color auto="1"/>
      </top>
      <bottom style="hair">
        <color auto="1"/>
      </bottom>
      <diagonal/>
    </border>
  </borders>
  <cellStyleXfs count="23">
    <xf numFmtId="0" fontId="0" fillId="0" borderId="0"/>
    <xf numFmtId="0" fontId="21" fillId="0" borderId="0"/>
    <xf numFmtId="0" fontId="22" fillId="0" borderId="0"/>
    <xf numFmtId="0" fontId="22" fillId="0" borderId="0"/>
    <xf numFmtId="0" fontId="20" fillId="0" borderId="0"/>
    <xf numFmtId="44" fontId="19" fillId="0" borderId="0" applyFont="0" applyFill="0" applyBorder="0" applyAlignment="0" applyProtection="0"/>
    <xf numFmtId="0" fontId="19" fillId="0" borderId="0"/>
    <xf numFmtId="0" fontId="18" fillId="0" borderId="0"/>
    <xf numFmtId="44" fontId="18" fillId="0" borderId="0" applyFont="0" applyFill="0" applyBorder="0" applyAlignment="0" applyProtection="0"/>
    <xf numFmtId="0" fontId="17" fillId="0" borderId="0"/>
    <xf numFmtId="44" fontId="17" fillId="0" borderId="0" applyFont="0" applyFill="0" applyBorder="0" applyAlignment="0" applyProtection="0"/>
    <xf numFmtId="44" fontId="36" fillId="0" borderId="0" applyFont="0" applyFill="0" applyBorder="0" applyAlignment="0" applyProtection="0"/>
    <xf numFmtId="9" fontId="22" fillId="0" borderId="0" applyFont="0" applyFill="0" applyBorder="0" applyAlignment="0" applyProtection="0"/>
    <xf numFmtId="0" fontId="16" fillId="0" borderId="0"/>
    <xf numFmtId="44" fontId="16" fillId="0" borderId="0" applyFont="0" applyFill="0" applyBorder="0" applyAlignment="0" applyProtection="0"/>
    <xf numFmtId="0" fontId="15" fillId="0" borderId="0"/>
    <xf numFmtId="44" fontId="15" fillId="0" borderId="0" applyFont="0" applyFill="0" applyBorder="0" applyAlignment="0" applyProtection="0"/>
    <xf numFmtId="0" fontId="22" fillId="0" borderId="0"/>
    <xf numFmtId="9" fontId="45" fillId="0" borderId="0" applyFont="0" applyFill="0" applyBorder="0" applyAlignment="0" applyProtection="0"/>
    <xf numFmtId="0" fontId="71" fillId="0" borderId="0" applyNumberFormat="0" applyFill="0" applyBorder="0" applyAlignment="0" applyProtection="0"/>
    <xf numFmtId="0" fontId="11" fillId="0" borderId="0"/>
    <xf numFmtId="0" fontId="11" fillId="0" borderId="0"/>
    <xf numFmtId="0" fontId="9" fillId="0" borderId="0"/>
  </cellStyleXfs>
  <cellXfs count="1175">
    <xf numFmtId="0" fontId="0" fillId="0" borderId="0" xfId="0"/>
    <xf numFmtId="168" fontId="0" fillId="0" borderId="0" xfId="0" applyNumberFormat="1"/>
    <xf numFmtId="168" fontId="0" fillId="0" borderId="0" xfId="0" applyNumberFormat="1" applyAlignment="1">
      <alignment horizontal="right"/>
    </xf>
    <xf numFmtId="0" fontId="24" fillId="0" borderId="0" xfId="3" applyFont="1"/>
    <xf numFmtId="0" fontId="20" fillId="0" borderId="0" xfId="4"/>
    <xf numFmtId="0" fontId="22" fillId="0" borderId="0" xfId="3"/>
    <xf numFmtId="0" fontId="22" fillId="0" borderId="0" xfId="3" applyAlignment="1">
      <alignment horizontal="right"/>
    </xf>
    <xf numFmtId="0" fontId="26" fillId="0" borderId="0" xfId="3" applyFont="1" applyAlignment="1">
      <alignment horizontal="center"/>
    </xf>
    <xf numFmtId="0" fontId="29" fillId="0" borderId="0" xfId="3" applyFont="1" applyAlignment="1">
      <alignment horizontal="center"/>
    </xf>
    <xf numFmtId="0" fontId="22" fillId="0" borderId="0" xfId="3" applyAlignment="1">
      <alignment horizontal="left"/>
    </xf>
    <xf numFmtId="9" fontId="22" fillId="0" borderId="6" xfId="3" applyNumberFormat="1" applyBorder="1" applyAlignment="1">
      <alignment horizontal="center"/>
    </xf>
    <xf numFmtId="9" fontId="22" fillId="0" borderId="0" xfId="3" applyNumberFormat="1" applyAlignment="1">
      <alignment horizontal="center"/>
    </xf>
    <xf numFmtId="0" fontId="22" fillId="0" borderId="0" xfId="0" applyFont="1"/>
    <xf numFmtId="0" fontId="0" fillId="0" borderId="0" xfId="0" applyAlignment="1">
      <alignment wrapText="1"/>
    </xf>
    <xf numFmtId="0" fontId="35" fillId="0" borderId="0" xfId="0" applyFont="1"/>
    <xf numFmtId="2" fontId="0" fillId="0" borderId="0" xfId="0" applyNumberFormat="1"/>
    <xf numFmtId="0" fontId="25" fillId="0" borderId="0" xfId="3" applyFont="1"/>
    <xf numFmtId="0" fontId="25" fillId="0" borderId="0" xfId="3" applyFont="1" applyAlignment="1">
      <alignment wrapText="1"/>
    </xf>
    <xf numFmtId="0" fontId="30" fillId="0" borderId="0" xfId="3" applyFont="1"/>
    <xf numFmtId="0" fontId="30" fillId="0" borderId="0" xfId="3" applyFont="1" applyAlignment="1">
      <alignment wrapText="1"/>
    </xf>
    <xf numFmtId="0" fontId="30" fillId="0" borderId="0" xfId="3" applyFont="1" applyAlignment="1">
      <alignment horizontal="center" vertical="center" wrapText="1"/>
    </xf>
    <xf numFmtId="0" fontId="34" fillId="0" borderId="0" xfId="3" applyFont="1"/>
    <xf numFmtId="0" fontId="30" fillId="0" borderId="0" xfId="3" quotePrefix="1" applyFont="1" applyAlignment="1">
      <alignment horizontal="center" vertical="top"/>
    </xf>
    <xf numFmtId="44" fontId="24" fillId="0" borderId="0" xfId="3" applyNumberFormat="1" applyFont="1" applyAlignment="1">
      <alignment horizontal="right"/>
    </xf>
    <xf numFmtId="44" fontId="22" fillId="0" borderId="0" xfId="3" applyNumberFormat="1" applyAlignment="1">
      <alignment horizontal="right"/>
    </xf>
    <xf numFmtId="44" fontId="25" fillId="0" borderId="0" xfId="3" applyNumberFormat="1" applyFont="1" applyAlignment="1">
      <alignment horizontal="right"/>
    </xf>
    <xf numFmtId="44" fontId="26" fillId="0" borderId="0" xfId="3" applyNumberFormat="1" applyFont="1" applyAlignment="1">
      <alignment horizontal="right"/>
    </xf>
    <xf numFmtId="44" fontId="30" fillId="0" borderId="0" xfId="3" applyNumberFormat="1" applyFont="1" applyAlignment="1">
      <alignment horizontal="right"/>
    </xf>
    <xf numFmtId="44" fontId="27" fillId="0" borderId="0" xfId="3" applyNumberFormat="1" applyFont="1" applyAlignment="1" applyProtection="1">
      <alignment horizontal="right"/>
      <protection locked="0"/>
    </xf>
    <xf numFmtId="44" fontId="30" fillId="0" borderId="0" xfId="3" applyNumberFormat="1" applyFont="1" applyAlignment="1">
      <alignment horizontal="right" wrapText="1"/>
    </xf>
    <xf numFmtId="44" fontId="33" fillId="0" borderId="0" xfId="3" applyNumberFormat="1" applyFont="1" applyAlignment="1" applyProtection="1">
      <alignment horizontal="right"/>
      <protection locked="0"/>
    </xf>
    <xf numFmtId="44" fontId="30" fillId="0" borderId="0" xfId="3" applyNumberFormat="1" applyFont="1" applyAlignment="1" applyProtection="1">
      <alignment horizontal="right"/>
      <protection locked="0"/>
    </xf>
    <xf numFmtId="44" fontId="30" fillId="0" borderId="0" xfId="3" quotePrefix="1" applyNumberFormat="1" applyFont="1" applyAlignment="1">
      <alignment horizontal="right" vertical="top"/>
    </xf>
    <xf numFmtId="44" fontId="24" fillId="3" borderId="0" xfId="3" applyNumberFormat="1" applyFont="1" applyFill="1" applyAlignment="1">
      <alignment horizontal="right"/>
    </xf>
    <xf numFmtId="44" fontId="22" fillId="3" borderId="0" xfId="3" applyNumberFormat="1" applyFill="1" applyAlignment="1">
      <alignment horizontal="right"/>
    </xf>
    <xf numFmtId="44" fontId="25" fillId="3" borderId="0" xfId="3" applyNumberFormat="1" applyFont="1" applyFill="1" applyAlignment="1">
      <alignment horizontal="right"/>
    </xf>
    <xf numFmtId="164" fontId="23" fillId="3" borderId="0" xfId="3" applyNumberFormat="1" applyFont="1" applyFill="1" applyAlignment="1">
      <alignment horizontal="left" vertical="center" wrapText="1"/>
    </xf>
    <xf numFmtId="44" fontId="26" fillId="3" borderId="0" xfId="3" applyNumberFormat="1" applyFont="1" applyFill="1" applyAlignment="1">
      <alignment horizontal="right"/>
    </xf>
    <xf numFmtId="44" fontId="30" fillId="3" borderId="0" xfId="3" applyNumberFormat="1" applyFont="1" applyFill="1" applyAlignment="1">
      <alignment horizontal="right"/>
    </xf>
    <xf numFmtId="44" fontId="27" fillId="3" borderId="0" xfId="3" applyNumberFormat="1" applyFont="1" applyFill="1" applyAlignment="1" applyProtection="1">
      <alignment horizontal="right"/>
      <protection locked="0"/>
    </xf>
    <xf numFmtId="44" fontId="30" fillId="3" borderId="0" xfId="3" applyNumberFormat="1" applyFont="1" applyFill="1" applyAlignment="1">
      <alignment horizontal="right" wrapText="1"/>
    </xf>
    <xf numFmtId="44" fontId="33" fillId="3" borderId="0" xfId="3" applyNumberFormat="1" applyFont="1" applyFill="1" applyAlignment="1" applyProtection="1">
      <alignment horizontal="right"/>
      <protection locked="0"/>
    </xf>
    <xf numFmtId="44" fontId="30" fillId="3" borderId="0" xfId="3" applyNumberFormat="1" applyFont="1" applyFill="1" applyAlignment="1" applyProtection="1">
      <alignment horizontal="right"/>
      <protection locked="0"/>
    </xf>
    <xf numFmtId="44" fontId="30" fillId="3" borderId="0" xfId="3" quotePrefix="1" applyNumberFormat="1" applyFont="1" applyFill="1" applyAlignment="1">
      <alignment horizontal="right" vertical="top"/>
    </xf>
    <xf numFmtId="0" fontId="37" fillId="0" borderId="6" xfId="15" applyFont="1" applyBorder="1"/>
    <xf numFmtId="169" fontId="40" fillId="0" borderId="0" xfId="16" applyNumberFormat="1" applyFont="1"/>
    <xf numFmtId="0" fontId="39" fillId="0" borderId="6" xfId="15" applyFont="1" applyBorder="1" applyAlignment="1">
      <alignment horizontal="center"/>
    </xf>
    <xf numFmtId="3" fontId="39" fillId="0" borderId="6" xfId="15" applyNumberFormat="1" applyFont="1" applyBorder="1"/>
    <xf numFmtId="0" fontId="41" fillId="0" borderId="0" xfId="15" applyFont="1"/>
    <xf numFmtId="0" fontId="40" fillId="0" borderId="0" xfId="15" applyFont="1"/>
    <xf numFmtId="0" fontId="40" fillId="3" borderId="0" xfId="15" applyFont="1" applyFill="1"/>
    <xf numFmtId="0" fontId="37" fillId="0" borderId="6" xfId="15" applyFont="1" applyBorder="1" applyAlignment="1">
      <alignment wrapText="1"/>
    </xf>
    <xf numFmtId="0" fontId="38" fillId="0" borderId="0" xfId="15" applyFont="1" applyAlignment="1">
      <alignment horizontal="center"/>
    </xf>
    <xf numFmtId="0" fontId="40" fillId="0" borderId="6" xfId="15" applyFont="1" applyBorder="1" applyAlignment="1">
      <alignment horizontal="center"/>
    </xf>
    <xf numFmtId="3" fontId="39" fillId="0" borderId="6" xfId="15" applyNumberFormat="1" applyFont="1" applyBorder="1" applyAlignment="1">
      <alignment horizontal="right"/>
    </xf>
    <xf numFmtId="0" fontId="37" fillId="0" borderId="2" xfId="15" applyFont="1" applyBorder="1"/>
    <xf numFmtId="0" fontId="37" fillId="0" borderId="2" xfId="15" applyFont="1" applyBorder="1" applyAlignment="1">
      <alignment wrapText="1"/>
    </xf>
    <xf numFmtId="0" fontId="39" fillId="0" borderId="7" xfId="15" applyFont="1" applyBorder="1" applyAlignment="1">
      <alignment horizontal="center"/>
    </xf>
    <xf numFmtId="0" fontId="39" fillId="0" borderId="2" xfId="15" applyFont="1" applyBorder="1" applyAlignment="1">
      <alignment horizontal="center"/>
    </xf>
    <xf numFmtId="0" fontId="40" fillId="0" borderId="0" xfId="15" applyFont="1" applyAlignment="1">
      <alignment horizontal="center"/>
    </xf>
    <xf numFmtId="0" fontId="38" fillId="0" borderId="8" xfId="15" applyFont="1" applyBorder="1"/>
    <xf numFmtId="0" fontId="38" fillId="0" borderId="7" xfId="15" applyFont="1" applyBorder="1"/>
    <xf numFmtId="0" fontId="38" fillId="0" borderId="2" xfId="15" applyFont="1" applyBorder="1"/>
    <xf numFmtId="0" fontId="37" fillId="0" borderId="5" xfId="15" applyFont="1" applyBorder="1" applyAlignment="1">
      <alignment horizontal="center"/>
    </xf>
    <xf numFmtId="0" fontId="40" fillId="0" borderId="7" xfId="15" applyFont="1" applyBorder="1"/>
    <xf numFmtId="0" fontId="40" fillId="4" borderId="0" xfId="15" applyFont="1" applyFill="1"/>
    <xf numFmtId="0" fontId="41" fillId="0" borderId="6" xfId="15" applyFont="1" applyBorder="1" applyAlignment="1">
      <alignment horizontal="center"/>
    </xf>
    <xf numFmtId="165" fontId="0" fillId="0" borderId="0" xfId="0" applyNumberFormat="1"/>
    <xf numFmtId="164" fontId="0" fillId="0" borderId="0" xfId="0" applyNumberFormat="1" applyAlignment="1">
      <alignment horizontal="center"/>
    </xf>
    <xf numFmtId="164" fontId="0" fillId="0" borderId="0" xfId="0" applyNumberFormat="1"/>
    <xf numFmtId="44" fontId="0" fillId="0" borderId="0" xfId="0" applyNumberFormat="1"/>
    <xf numFmtId="0" fontId="0" fillId="3" borderId="0" xfId="0" applyFill="1"/>
    <xf numFmtId="0" fontId="0" fillId="0" borderId="0" xfId="0" applyAlignment="1">
      <alignment vertical="center"/>
    </xf>
    <xf numFmtId="0" fontId="0" fillId="0" borderId="0" xfId="0" applyAlignment="1">
      <alignment horizontal="left" vertical="center"/>
    </xf>
    <xf numFmtId="167" fontId="0" fillId="0" borderId="0" xfId="0" applyNumberFormat="1" applyAlignment="1">
      <alignment horizontal="center"/>
    </xf>
    <xf numFmtId="0" fontId="49" fillId="0" borderId="0" xfId="4" applyFont="1"/>
    <xf numFmtId="0" fontId="30" fillId="0" borderId="0" xfId="3" applyFont="1" applyAlignment="1">
      <alignment horizontal="right"/>
    </xf>
    <xf numFmtId="165" fontId="0" fillId="0" borderId="0" xfId="0" applyNumberFormat="1" applyAlignment="1">
      <alignment horizontal="center"/>
    </xf>
    <xf numFmtId="165" fontId="22" fillId="0" borderId="0" xfId="0" applyNumberFormat="1" applyFont="1" applyAlignment="1">
      <alignment horizontal="center"/>
    </xf>
    <xf numFmtId="165" fontId="26" fillId="0" borderId="0" xfId="0" applyNumberFormat="1" applyFont="1" applyAlignment="1">
      <alignment horizontal="center"/>
    </xf>
    <xf numFmtId="165" fontId="24" fillId="0" borderId="0" xfId="0" applyNumberFormat="1" applyFont="1" applyAlignment="1">
      <alignment horizontal="center"/>
    </xf>
    <xf numFmtId="0" fontId="0" fillId="0" borderId="0" xfId="0" applyAlignment="1">
      <alignment horizontal="center"/>
    </xf>
    <xf numFmtId="0" fontId="50" fillId="0" borderId="0" xfId="0" applyFont="1" applyAlignment="1">
      <alignment vertical="center"/>
    </xf>
    <xf numFmtId="0" fontId="22" fillId="0" borderId="0" xfId="3" applyAlignment="1">
      <alignment wrapText="1"/>
    </xf>
    <xf numFmtId="9" fontId="22" fillId="0" borderId="6" xfId="3" applyNumberFormat="1" applyBorder="1" applyAlignment="1">
      <alignment horizontal="center" wrapText="1"/>
    </xf>
    <xf numFmtId="0" fontId="20" fillId="0" borderId="0" xfId="4" applyAlignment="1">
      <alignment wrapText="1"/>
    </xf>
    <xf numFmtId="0" fontId="25" fillId="0" borderId="0" xfId="3" applyFont="1" applyAlignment="1">
      <alignment vertical="center" wrapText="1"/>
    </xf>
    <xf numFmtId="44" fontId="22" fillId="0" borderId="0" xfId="3" applyNumberFormat="1" applyAlignment="1">
      <alignment horizontal="right" vertical="center"/>
    </xf>
    <xf numFmtId="44" fontId="22" fillId="3" borderId="0" xfId="3" applyNumberFormat="1" applyFill="1" applyAlignment="1">
      <alignment horizontal="right" vertical="center"/>
    </xf>
    <xf numFmtId="0" fontId="22" fillId="0" borderId="0" xfId="3" applyAlignment="1">
      <alignment vertical="center"/>
    </xf>
    <xf numFmtId="0" fontId="32" fillId="3" borderId="11" xfId="15" applyFont="1" applyFill="1" applyBorder="1" applyAlignment="1">
      <alignment horizontal="center" vertical="top" wrapText="1"/>
    </xf>
    <xf numFmtId="0" fontId="32" fillId="3" borderId="13" xfId="15" applyFont="1" applyFill="1" applyBorder="1" applyAlignment="1">
      <alignment horizontal="center" vertical="top" wrapText="1"/>
    </xf>
    <xf numFmtId="0" fontId="32" fillId="3" borderId="1" xfId="15" applyFont="1" applyFill="1" applyBorder="1" applyAlignment="1">
      <alignment horizontal="center" vertical="top" wrapText="1"/>
    </xf>
    <xf numFmtId="0" fontId="32" fillId="3" borderId="10" xfId="15" applyFont="1" applyFill="1" applyBorder="1" applyAlignment="1">
      <alignment horizontal="center" vertical="top" wrapText="1"/>
    </xf>
    <xf numFmtId="0" fontId="32" fillId="3" borderId="9" xfId="15" applyFont="1" applyFill="1" applyBorder="1" applyAlignment="1">
      <alignment horizontal="centerContinuous" vertical="top" wrapText="1"/>
    </xf>
    <xf numFmtId="0" fontId="32" fillId="3" borderId="12" xfId="15" applyFont="1" applyFill="1" applyBorder="1" applyAlignment="1">
      <alignment horizontal="centerContinuous" vertical="top" wrapText="1"/>
    </xf>
    <xf numFmtId="0" fontId="38" fillId="0" borderId="14" xfId="15" applyFont="1" applyBorder="1"/>
    <xf numFmtId="0" fontId="40" fillId="0" borderId="15" xfId="15" applyFont="1" applyBorder="1"/>
    <xf numFmtId="0" fontId="41" fillId="0" borderId="14" xfId="15" applyFont="1" applyBorder="1"/>
    <xf numFmtId="0" fontId="40" fillId="0" borderId="1" xfId="15" applyFont="1" applyBorder="1"/>
    <xf numFmtId="169" fontId="40" fillId="3" borderId="0" xfId="16" applyNumberFormat="1" applyFont="1" applyFill="1" applyBorder="1"/>
    <xf numFmtId="0" fontId="40" fillId="0" borderId="10" xfId="15" applyFont="1" applyBorder="1"/>
    <xf numFmtId="167" fontId="30" fillId="0" borderId="9" xfId="3" applyNumberFormat="1" applyFont="1" applyBorder="1" applyAlignment="1">
      <alignment horizontal="center"/>
    </xf>
    <xf numFmtId="166" fontId="30" fillId="0" borderId="9" xfId="3" applyNumberFormat="1" applyFont="1" applyBorder="1"/>
    <xf numFmtId="173" fontId="30" fillId="0" borderId="9" xfId="3" applyNumberFormat="1" applyFont="1" applyBorder="1" applyAlignment="1">
      <alignment horizontal="center"/>
    </xf>
    <xf numFmtId="164" fontId="23" fillId="0" borderId="9" xfId="3" applyNumberFormat="1" applyFont="1" applyBorder="1" applyAlignment="1">
      <alignment horizontal="left" vertical="center" wrapText="1"/>
    </xf>
    <xf numFmtId="164" fontId="23" fillId="0" borderId="0" xfId="3" applyNumberFormat="1" applyFont="1" applyAlignment="1">
      <alignment horizontal="left" vertical="center" wrapText="1"/>
    </xf>
    <xf numFmtId="0" fontId="30" fillId="5" borderId="13" xfId="3" applyFont="1" applyFill="1" applyBorder="1" applyAlignment="1">
      <alignment horizontal="center" wrapText="1"/>
    </xf>
    <xf numFmtId="9" fontId="30" fillId="0" borderId="6" xfId="18" applyFont="1" applyFill="1" applyBorder="1" applyAlignment="1" applyProtection="1">
      <alignment horizontal="center" vertical="center" wrapText="1"/>
      <protection locked="0"/>
    </xf>
    <xf numFmtId="0" fontId="0" fillId="5" borderId="1" xfId="0" applyFill="1" applyBorder="1" applyAlignment="1">
      <alignment horizontal="left" wrapText="1"/>
    </xf>
    <xf numFmtId="0" fontId="0" fillId="5" borderId="10" xfId="0" applyFill="1" applyBorder="1" applyAlignment="1">
      <alignment horizontal="left" wrapText="1"/>
    </xf>
    <xf numFmtId="0" fontId="65" fillId="0" borderId="0" xfId="3" applyFont="1" applyAlignment="1">
      <alignment vertical="justify" wrapText="1"/>
    </xf>
    <xf numFmtId="0" fontId="30" fillId="0" borderId="0" xfId="3" applyFont="1" applyAlignment="1">
      <alignment horizontal="center"/>
    </xf>
    <xf numFmtId="44" fontId="30" fillId="0" borderId="0" xfId="3" applyNumberFormat="1" applyFont="1" applyAlignment="1">
      <alignment horizontal="center" wrapText="1"/>
    </xf>
    <xf numFmtId="44" fontId="30" fillId="3" borderId="0" xfId="3" applyNumberFormat="1" applyFont="1" applyFill="1" applyAlignment="1">
      <alignment horizontal="center" wrapText="1"/>
    </xf>
    <xf numFmtId="165" fontId="26" fillId="0" borderId="0" xfId="3" applyNumberFormat="1" applyFont="1" applyAlignment="1">
      <alignment horizontal="center"/>
    </xf>
    <xf numFmtId="164" fontId="22" fillId="0" borderId="0" xfId="3" applyNumberFormat="1" applyAlignment="1">
      <alignment horizontal="center"/>
    </xf>
    <xf numFmtId="0" fontId="25" fillId="0" borderId="0" xfId="3" applyFont="1" applyAlignment="1">
      <alignment horizontal="center"/>
    </xf>
    <xf numFmtId="164" fontId="25" fillId="0" borderId="1" xfId="3" applyNumberFormat="1" applyFont="1" applyBorder="1" applyAlignment="1">
      <alignment wrapText="1"/>
    </xf>
    <xf numFmtId="164" fontId="25" fillId="0" borderId="8" xfId="3" applyNumberFormat="1" applyFont="1" applyBorder="1" applyAlignment="1">
      <alignment horizontal="right" vertical="center" wrapText="1"/>
    </xf>
    <xf numFmtId="164" fontId="25" fillId="0" borderId="2" xfId="3" applyNumberFormat="1" applyFont="1" applyBorder="1" applyAlignment="1">
      <alignment vertical="center" wrapText="1"/>
    </xf>
    <xf numFmtId="164" fontId="25" fillId="0" borderId="10" xfId="3" applyNumberFormat="1" applyFont="1" applyBorder="1" applyAlignment="1">
      <alignment vertical="center" wrapText="1"/>
    </xf>
    <xf numFmtId="164" fontId="25" fillId="0" borderId="1" xfId="3" applyNumberFormat="1" applyFont="1" applyBorder="1" applyAlignment="1">
      <alignment horizontal="right" vertical="center" wrapText="1"/>
    </xf>
    <xf numFmtId="164" fontId="25" fillId="0" borderId="7" xfId="3" applyNumberFormat="1" applyFont="1" applyBorder="1" applyAlignment="1">
      <alignment vertical="center" wrapText="1"/>
    </xf>
    <xf numFmtId="164" fontId="25" fillId="0" borderId="1" xfId="3" applyNumberFormat="1" applyFont="1" applyBorder="1" applyAlignment="1">
      <alignment vertical="center" wrapText="1"/>
    </xf>
    <xf numFmtId="0" fontId="67" fillId="0" borderId="9" xfId="0" applyFont="1" applyBorder="1" applyAlignment="1">
      <alignment horizontal="left" vertical="center" wrapText="1"/>
    </xf>
    <xf numFmtId="164" fontId="30" fillId="0" borderId="0" xfId="3" applyNumberFormat="1" applyFont="1" applyAlignment="1">
      <alignment vertical="center" wrapText="1"/>
    </xf>
    <xf numFmtId="164" fontId="30" fillId="0" borderId="0" xfId="3" applyNumberFormat="1" applyFont="1" applyAlignment="1">
      <alignment horizontal="right" vertical="center" wrapText="1"/>
    </xf>
    <xf numFmtId="164" fontId="30" fillId="0" borderId="0" xfId="3" applyNumberFormat="1" applyFont="1" applyAlignment="1">
      <alignment wrapText="1"/>
    </xf>
    <xf numFmtId="164" fontId="30" fillId="0" borderId="0" xfId="3" applyNumberFormat="1" applyFont="1" applyAlignment="1">
      <alignment horizontal="center" vertical="center" wrapText="1"/>
    </xf>
    <xf numFmtId="164" fontId="30" fillId="0" borderId="0" xfId="3" applyNumberFormat="1" applyFont="1" applyAlignment="1">
      <alignment horizontal="center" wrapText="1"/>
    </xf>
    <xf numFmtId="0" fontId="30" fillId="0" borderId="14" xfId="3" applyFont="1" applyBorder="1"/>
    <xf numFmtId="0" fontId="27" fillId="0" borderId="0" xfId="3" applyFont="1" applyAlignment="1">
      <alignment horizontal="center"/>
    </xf>
    <xf numFmtId="0" fontId="33" fillId="0" borderId="9" xfId="3" applyFont="1" applyBorder="1" applyAlignment="1">
      <alignment horizontal="center"/>
    </xf>
    <xf numFmtId="0" fontId="33" fillId="0" borderId="12" xfId="3" applyFont="1" applyBorder="1" applyAlignment="1">
      <alignment horizontal="center"/>
    </xf>
    <xf numFmtId="0" fontId="33" fillId="0" borderId="0" xfId="3" applyFont="1" applyAlignment="1">
      <alignment horizontal="center"/>
    </xf>
    <xf numFmtId="0" fontId="23" fillId="0" borderId="0" xfId="3" applyFont="1" applyAlignment="1">
      <alignment horizontal="center"/>
    </xf>
    <xf numFmtId="0" fontId="30" fillId="0" borderId="13" xfId="3" applyFont="1" applyBorder="1"/>
    <xf numFmtId="0" fontId="30" fillId="0" borderId="1" xfId="3" applyFont="1" applyBorder="1"/>
    <xf numFmtId="0" fontId="25" fillId="0" borderId="1" xfId="3" applyFont="1" applyBorder="1" applyAlignment="1">
      <alignment horizontal="center"/>
    </xf>
    <xf numFmtId="0" fontId="33" fillId="0" borderId="1" xfId="3" applyFont="1" applyBorder="1" applyAlignment="1">
      <alignment horizontal="center"/>
    </xf>
    <xf numFmtId="164" fontId="25" fillId="0" borderId="0" xfId="3" applyNumberFormat="1" applyFont="1" applyAlignment="1">
      <alignment horizontal="center"/>
    </xf>
    <xf numFmtId="0" fontId="30" fillId="0" borderId="15" xfId="3" applyFont="1" applyBorder="1"/>
    <xf numFmtId="0" fontId="27" fillId="8" borderId="8" xfId="3" applyFont="1" applyFill="1" applyBorder="1" applyAlignment="1">
      <alignment horizontal="center"/>
    </xf>
    <xf numFmtId="0" fontId="27" fillId="8" borderId="2" xfId="3" applyFont="1" applyFill="1" applyBorder="1" applyAlignment="1">
      <alignment horizontal="center"/>
    </xf>
    <xf numFmtId="0" fontId="30" fillId="8" borderId="7" xfId="3" applyFont="1" applyFill="1" applyBorder="1"/>
    <xf numFmtId="0" fontId="30" fillId="8" borderId="8" xfId="3" applyFont="1" applyFill="1" applyBorder="1"/>
    <xf numFmtId="0" fontId="27" fillId="8" borderId="8" xfId="3" applyFont="1" applyFill="1" applyBorder="1" applyAlignment="1" applyProtection="1">
      <alignment horizontal="left"/>
      <protection locked="0"/>
    </xf>
    <xf numFmtId="0" fontId="33" fillId="8" borderId="8" xfId="3" applyFont="1" applyFill="1" applyBorder="1" applyAlignment="1" applyProtection="1">
      <alignment horizontal="center"/>
      <protection locked="0"/>
    </xf>
    <xf numFmtId="0" fontId="29" fillId="8" borderId="8" xfId="3" applyFont="1" applyFill="1" applyBorder="1"/>
    <xf numFmtId="0" fontId="29" fillId="8" borderId="8" xfId="3" applyFont="1" applyFill="1" applyBorder="1" applyAlignment="1">
      <alignment horizontal="left"/>
    </xf>
    <xf numFmtId="164" fontId="23" fillId="0" borderId="0" xfId="3" applyNumberFormat="1" applyFont="1" applyAlignment="1">
      <alignment horizontal="right"/>
    </xf>
    <xf numFmtId="164" fontId="23" fillId="0" borderId="0" xfId="3" applyNumberFormat="1" applyFont="1" applyAlignment="1">
      <alignment horizontal="right" wrapText="1"/>
    </xf>
    <xf numFmtId="9" fontId="30" fillId="0" borderId="0" xfId="3" applyNumberFormat="1" applyFont="1" applyAlignment="1">
      <alignment horizontal="center"/>
    </xf>
    <xf numFmtId="0" fontId="65" fillId="0" borderId="1" xfId="3" applyFont="1" applyBorder="1" applyAlignment="1">
      <alignment vertical="justify" wrapText="1"/>
    </xf>
    <xf numFmtId="0" fontId="30" fillId="0" borderId="8" xfId="3" applyFont="1" applyBorder="1" applyAlignment="1">
      <alignment horizontal="right"/>
    </xf>
    <xf numFmtId="0" fontId="30" fillId="0" borderId="3" xfId="3" applyFont="1" applyBorder="1" applyAlignment="1">
      <alignment horizontal="center"/>
    </xf>
    <xf numFmtId="0" fontId="23" fillId="0" borderId="0" xfId="3" applyFont="1" applyAlignment="1">
      <alignment horizontal="center" wrapText="1"/>
    </xf>
    <xf numFmtId="164" fontId="23" fillId="0" borderId="9" xfId="3" applyNumberFormat="1" applyFont="1" applyBorder="1" applyAlignment="1">
      <alignment horizontal="right"/>
    </xf>
    <xf numFmtId="0" fontId="30" fillId="3" borderId="1" xfId="3" applyFont="1" applyFill="1" applyBorder="1" applyAlignment="1">
      <alignment horizontal="center" wrapText="1"/>
    </xf>
    <xf numFmtId="0" fontId="30" fillId="3" borderId="10" xfId="3" applyFont="1" applyFill="1" applyBorder="1" applyAlignment="1">
      <alignment horizontal="center" wrapText="1"/>
    </xf>
    <xf numFmtId="164" fontId="30" fillId="3" borderId="6" xfId="3" applyNumberFormat="1" applyFont="1" applyFill="1" applyBorder="1" applyAlignment="1" applyProtection="1">
      <alignment horizontal="center" vertical="center" wrapText="1"/>
      <protection hidden="1"/>
    </xf>
    <xf numFmtId="9" fontId="30" fillId="3" borderId="6" xfId="3" applyNumberFormat="1" applyFont="1" applyFill="1" applyBorder="1" applyAlignment="1">
      <alignment horizontal="center"/>
    </xf>
    <xf numFmtId="2" fontId="30" fillId="3" borderId="6" xfId="3" applyNumberFormat="1" applyFont="1" applyFill="1" applyBorder="1" applyAlignment="1">
      <alignment horizontal="center"/>
    </xf>
    <xf numFmtId="0" fontId="23" fillId="3" borderId="10" xfId="3" applyFont="1" applyFill="1" applyBorder="1" applyAlignment="1">
      <alignment horizontal="center" wrapText="1"/>
    </xf>
    <xf numFmtId="175" fontId="30" fillId="3" borderId="6" xfId="12" applyNumberFormat="1" applyFont="1" applyFill="1" applyBorder="1" applyAlignment="1" applyProtection="1">
      <alignment horizontal="center"/>
    </xf>
    <xf numFmtId="164" fontId="27" fillId="0" borderId="0" xfId="3" applyNumberFormat="1" applyFont="1" applyAlignment="1">
      <alignment horizontal="center"/>
    </xf>
    <xf numFmtId="164" fontId="63" fillId="3" borderId="0" xfId="3" applyNumberFormat="1" applyFont="1" applyFill="1" applyAlignment="1">
      <alignment horizontal="left" vertical="center" wrapText="1"/>
    </xf>
    <xf numFmtId="0" fontId="23" fillId="3" borderId="0" xfId="3" applyFont="1" applyFill="1" applyAlignment="1">
      <alignment horizontal="center" wrapText="1"/>
    </xf>
    <xf numFmtId="175" fontId="30" fillId="3" borderId="0" xfId="12" applyNumberFormat="1" applyFont="1" applyFill="1" applyBorder="1" applyAlignment="1" applyProtection="1">
      <alignment horizontal="center"/>
    </xf>
    <xf numFmtId="9" fontId="30" fillId="3" borderId="0" xfId="3" applyNumberFormat="1" applyFont="1" applyFill="1" applyAlignment="1">
      <alignment horizontal="center"/>
    </xf>
    <xf numFmtId="176" fontId="23" fillId="0" borderId="0" xfId="0" applyNumberFormat="1" applyFont="1"/>
    <xf numFmtId="0" fontId="62" fillId="0" borderId="0" xfId="0" applyFont="1" applyAlignment="1">
      <alignment horizontal="center"/>
    </xf>
    <xf numFmtId="0" fontId="0" fillId="0" borderId="0" xfId="0" applyAlignment="1">
      <alignment vertical="top"/>
    </xf>
    <xf numFmtId="0" fontId="29" fillId="0" borderId="1" xfId="3" applyFont="1" applyBorder="1" applyAlignment="1">
      <alignment horizontal="center"/>
    </xf>
    <xf numFmtId="0" fontId="14" fillId="0" borderId="0" xfId="4" applyFont="1" applyAlignment="1">
      <alignment horizontal="left" wrapText="1"/>
    </xf>
    <xf numFmtId="0" fontId="29" fillId="0" borderId="13" xfId="3" applyFont="1" applyBorder="1" applyAlignment="1">
      <alignment horizontal="center"/>
    </xf>
    <xf numFmtId="0" fontId="29" fillId="0" borderId="15" xfId="3" applyFont="1" applyBorder="1" applyAlignment="1">
      <alignment horizontal="center"/>
    </xf>
    <xf numFmtId="0" fontId="29" fillId="0" borderId="14" xfId="3" applyFont="1" applyBorder="1" applyAlignment="1">
      <alignment horizontal="center"/>
    </xf>
    <xf numFmtId="0" fontId="29" fillId="0" borderId="10" xfId="3" applyFont="1" applyBorder="1" applyAlignment="1">
      <alignment horizontal="center"/>
    </xf>
    <xf numFmtId="10" fontId="30" fillId="3" borderId="0" xfId="3" applyNumberFormat="1" applyFont="1" applyFill="1" applyAlignment="1" applyProtection="1">
      <alignment horizontal="center" vertical="center" wrapText="1"/>
      <protection hidden="1"/>
    </xf>
    <xf numFmtId="0" fontId="23" fillId="3" borderId="6" xfId="3" applyFont="1" applyFill="1" applyBorder="1" applyAlignment="1">
      <alignment horizontal="center" vertical="center" wrapText="1"/>
    </xf>
    <xf numFmtId="0" fontId="30" fillId="3" borderId="5" xfId="3" applyFont="1" applyFill="1" applyBorder="1" applyAlignment="1">
      <alignment horizontal="center" vertical="center" wrapText="1"/>
    </xf>
    <xf numFmtId="166" fontId="30" fillId="3" borderId="6" xfId="3" applyNumberFormat="1" applyFont="1" applyFill="1" applyBorder="1" applyAlignment="1" applyProtection="1">
      <alignment horizontal="center" vertical="center" wrapText="1"/>
      <protection hidden="1"/>
    </xf>
    <xf numFmtId="0" fontId="37" fillId="0" borderId="14" xfId="15" applyFont="1" applyBorder="1"/>
    <xf numFmtId="0" fontId="39" fillId="0" borderId="0" xfId="15" applyFont="1" applyAlignment="1">
      <alignment horizontal="center"/>
    </xf>
    <xf numFmtId="3" fontId="39" fillId="0" borderId="0" xfId="15" applyNumberFormat="1" applyFont="1"/>
    <xf numFmtId="0" fontId="39" fillId="0" borderId="15" xfId="15" applyFont="1" applyBorder="1" applyAlignment="1">
      <alignment horizontal="center"/>
    </xf>
    <xf numFmtId="0" fontId="37" fillId="0" borderId="0" xfId="15" applyFont="1"/>
    <xf numFmtId="0" fontId="37" fillId="0" borderId="3" xfId="15" applyFont="1" applyBorder="1"/>
    <xf numFmtId="0" fontId="39" fillId="0" borderId="3" xfId="15" applyFont="1" applyBorder="1" applyAlignment="1">
      <alignment horizontal="center"/>
    </xf>
    <xf numFmtId="0" fontId="39" fillId="0" borderId="11" xfId="15" applyFont="1" applyBorder="1" applyAlignment="1">
      <alignment horizontal="center"/>
    </xf>
    <xf numFmtId="0" fontId="40" fillId="0" borderId="3" xfId="15" applyFont="1" applyBorder="1" applyAlignment="1">
      <alignment horizontal="center"/>
    </xf>
    <xf numFmtId="0" fontId="39" fillId="0" borderId="12" xfId="15" applyFont="1" applyBorder="1" applyAlignment="1">
      <alignment horizontal="center"/>
    </xf>
    <xf numFmtId="3" fontId="39" fillId="0" borderId="3" xfId="15" applyNumberFormat="1" applyFont="1" applyBorder="1"/>
    <xf numFmtId="0" fontId="37" fillId="0" borderId="12" xfId="15" applyFont="1" applyBorder="1"/>
    <xf numFmtId="0" fontId="30" fillId="10" borderId="0" xfId="3" applyFont="1" applyFill="1"/>
    <xf numFmtId="0" fontId="80" fillId="0" borderId="15" xfId="3" applyFont="1" applyBorder="1"/>
    <xf numFmtId="0" fontId="30" fillId="0" borderId="15" xfId="3" applyFont="1" applyBorder="1" applyAlignment="1">
      <alignment horizontal="right"/>
    </xf>
    <xf numFmtId="0" fontId="23" fillId="3" borderId="6" xfId="3" applyFont="1" applyFill="1" applyBorder="1" applyAlignment="1">
      <alignment horizontal="center" wrapText="1"/>
    </xf>
    <xf numFmtId="0" fontId="23" fillId="3" borderId="5" xfId="3" applyFont="1" applyFill="1" applyBorder="1" applyAlignment="1">
      <alignment horizontal="center" wrapText="1"/>
    </xf>
    <xf numFmtId="165" fontId="51" fillId="3" borderId="0" xfId="0" applyNumberFormat="1" applyFont="1" applyFill="1" applyAlignment="1">
      <alignment horizontal="left" vertical="center" wrapText="1"/>
    </xf>
    <xf numFmtId="0" fontId="26" fillId="0" borderId="6" xfId="3" applyFont="1" applyBorder="1" applyAlignment="1">
      <alignment horizontal="center"/>
    </xf>
    <xf numFmtId="14" fontId="25" fillId="10" borderId="1" xfId="0" applyNumberFormat="1" applyFont="1" applyFill="1" applyBorder="1" applyAlignment="1" applyProtection="1">
      <alignment horizontal="center"/>
      <protection locked="0"/>
    </xf>
    <xf numFmtId="10" fontId="30" fillId="9" borderId="6" xfId="3" applyNumberFormat="1" applyFont="1" applyFill="1" applyBorder="1" applyAlignment="1" applyProtection="1">
      <alignment horizontal="center"/>
      <protection locked="0"/>
    </xf>
    <xf numFmtId="166" fontId="30" fillId="3" borderId="6" xfId="3" applyNumberFormat="1" applyFont="1" applyFill="1" applyBorder="1" applyAlignment="1">
      <alignment horizontal="center"/>
    </xf>
    <xf numFmtId="0" fontId="37" fillId="7" borderId="6" xfId="15" applyFont="1" applyFill="1" applyBorder="1" applyAlignment="1">
      <alignment horizontal="center" vertical="center" wrapText="1"/>
    </xf>
    <xf numFmtId="0" fontId="37" fillId="0" borderId="5" xfId="15" applyFont="1" applyBorder="1" applyAlignment="1">
      <alignment horizontal="center" vertical="center" wrapText="1"/>
    </xf>
    <xf numFmtId="0" fontId="37" fillId="0" borderId="2" xfId="15" applyFont="1" applyBorder="1" applyAlignment="1">
      <alignment horizontal="center" vertical="center" wrapText="1"/>
    </xf>
    <xf numFmtId="0" fontId="37" fillId="0" borderId="6" xfId="15" applyFont="1" applyBorder="1" applyAlignment="1">
      <alignment horizontal="center" vertical="center" wrapText="1"/>
    </xf>
    <xf numFmtId="0" fontId="37" fillId="0" borderId="7" xfId="15" applyFont="1" applyBorder="1" applyAlignment="1">
      <alignment horizontal="center" vertical="center" wrapText="1"/>
    </xf>
    <xf numFmtId="0" fontId="38" fillId="7" borderId="6" xfId="15" applyFont="1" applyFill="1" applyBorder="1" applyAlignment="1">
      <alignment horizontal="center" vertical="center" wrapText="1"/>
    </xf>
    <xf numFmtId="0" fontId="37" fillId="0" borderId="6" xfId="15" applyFont="1" applyBorder="1" applyAlignment="1">
      <alignment vertical="center" wrapText="1"/>
    </xf>
    <xf numFmtId="0" fontId="38" fillId="0" borderId="6" xfId="15" applyFont="1" applyBorder="1" applyAlignment="1">
      <alignment horizontal="center" vertical="center"/>
    </xf>
    <xf numFmtId="0" fontId="38" fillId="7" borderId="6" xfId="15" applyFont="1" applyFill="1" applyBorder="1" applyAlignment="1">
      <alignment horizontal="center" vertical="center"/>
    </xf>
    <xf numFmtId="0" fontId="38" fillId="0" borderId="6" xfId="15" applyFont="1" applyBorder="1" applyAlignment="1">
      <alignment horizontal="center" vertical="center" wrapText="1"/>
    </xf>
    <xf numFmtId="0" fontId="39" fillId="7" borderId="6" xfId="15" applyFont="1" applyFill="1" applyBorder="1" applyAlignment="1" applyProtection="1">
      <alignment horizontal="left"/>
      <protection locked="0"/>
    </xf>
    <xf numFmtId="0" fontId="39" fillId="7" borderId="6" xfId="15" applyFont="1" applyFill="1" applyBorder="1" applyAlignment="1" applyProtection="1">
      <alignment horizontal="center"/>
      <protection locked="0"/>
    </xf>
    <xf numFmtId="0" fontId="40" fillId="7" borderId="6" xfId="15" applyFont="1" applyFill="1" applyBorder="1" applyAlignment="1" applyProtection="1">
      <alignment horizontal="center"/>
      <protection locked="0"/>
    </xf>
    <xf numFmtId="44" fontId="40" fillId="7" borderId="6" xfId="15" applyNumberFormat="1" applyFont="1" applyFill="1" applyBorder="1" applyProtection="1">
      <protection locked="0"/>
    </xf>
    <xf numFmtId="0" fontId="39" fillId="0" borderId="6" xfId="15" applyFont="1" applyBorder="1" applyAlignment="1" applyProtection="1">
      <alignment horizontal="center"/>
      <protection locked="0"/>
    </xf>
    <xf numFmtId="0" fontId="40" fillId="0" borderId="6" xfId="15" applyFont="1" applyBorder="1" applyAlignment="1" applyProtection="1">
      <alignment horizontal="center"/>
      <protection locked="0"/>
    </xf>
    <xf numFmtId="3" fontId="39" fillId="0" borderId="6" xfId="15" applyNumberFormat="1" applyFont="1" applyBorder="1" applyProtection="1">
      <protection locked="0"/>
    </xf>
    <xf numFmtId="0" fontId="37" fillId="0" borderId="6" xfId="15" applyFont="1" applyBorder="1" applyProtection="1">
      <protection locked="0"/>
    </xf>
    <xf numFmtId="0" fontId="67" fillId="0" borderId="0" xfId="3" applyFont="1" applyAlignment="1">
      <alignment horizontal="right"/>
    </xf>
    <xf numFmtId="175" fontId="23" fillId="0" borderId="6" xfId="3" applyNumberFormat="1" applyFont="1" applyBorder="1" applyAlignment="1">
      <alignment horizontal="center"/>
    </xf>
    <xf numFmtId="166" fontId="23" fillId="0" borderId="6" xfId="3" applyNumberFormat="1" applyFont="1" applyBorder="1" applyAlignment="1">
      <alignment horizontal="center"/>
    </xf>
    <xf numFmtId="0" fontId="30" fillId="0" borderId="0" xfId="3" quotePrefix="1" applyFont="1" applyAlignment="1">
      <alignment horizontal="left"/>
    </xf>
    <xf numFmtId="14" fontId="25" fillId="3" borderId="0" xfId="0" applyNumberFormat="1" applyFont="1" applyFill="1" applyAlignment="1">
      <alignment horizontal="center"/>
    </xf>
    <xf numFmtId="0" fontId="30" fillId="0" borderId="0" xfId="3" applyFont="1" applyAlignment="1">
      <alignment horizontal="right" vertical="top"/>
    </xf>
    <xf numFmtId="0" fontId="84" fillId="0" borderId="0" xfId="3" applyFont="1" applyProtection="1">
      <protection locked="0"/>
    </xf>
    <xf numFmtId="9" fontId="22" fillId="0" borderId="6" xfId="3" applyNumberFormat="1" applyBorder="1" applyAlignment="1">
      <alignment horizontal="center" vertical="center"/>
    </xf>
    <xf numFmtId="165" fontId="22" fillId="0" borderId="0" xfId="3" applyNumberFormat="1" applyAlignment="1">
      <alignment horizontal="center"/>
    </xf>
    <xf numFmtId="165" fontId="22" fillId="0" borderId="1" xfId="3" applyNumberFormat="1" applyBorder="1" applyAlignment="1">
      <alignment horizontal="center"/>
    </xf>
    <xf numFmtId="9" fontId="22" fillId="0" borderId="0" xfId="3" applyNumberFormat="1" applyAlignment="1">
      <alignment horizontal="center" vertical="center"/>
    </xf>
    <xf numFmtId="165" fontId="29" fillId="0" borderId="1" xfId="3" applyNumberFormat="1" applyFont="1" applyBorder="1" applyAlignment="1">
      <alignment horizontal="center"/>
    </xf>
    <xf numFmtId="0" fontId="31" fillId="0" borderId="10" xfId="4" applyFont="1" applyBorder="1" applyAlignment="1">
      <alignment horizontal="center"/>
    </xf>
    <xf numFmtId="0" fontId="31" fillId="0" borderId="13" xfId="4" applyFont="1" applyBorder="1" applyAlignment="1">
      <alignment horizontal="center"/>
    </xf>
    <xf numFmtId="0" fontId="12" fillId="0" borderId="0" xfId="4" applyFont="1" applyAlignment="1">
      <alignment horizontal="left" wrapText="1"/>
    </xf>
    <xf numFmtId="0" fontId="20" fillId="0" borderId="0" xfId="4" applyAlignment="1">
      <alignment horizontal="left" wrapText="1"/>
    </xf>
    <xf numFmtId="0" fontId="24" fillId="0" borderId="0" xfId="0" applyFont="1"/>
    <xf numFmtId="0" fontId="0" fillId="0" borderId="1" xfId="0" applyBorder="1"/>
    <xf numFmtId="0" fontId="23" fillId="0" borderId="1" xfId="0" applyFont="1" applyBorder="1" applyAlignment="1">
      <alignment wrapText="1"/>
    </xf>
    <xf numFmtId="2" fontId="23" fillId="0" borderId="1" xfId="0" applyNumberFormat="1" applyFont="1" applyBorder="1" applyAlignment="1">
      <alignment wrapText="1"/>
    </xf>
    <xf numFmtId="0" fontId="23" fillId="0" borderId="0" xfId="0" applyFont="1"/>
    <xf numFmtId="165" fontId="0" fillId="0" borderId="3" xfId="0" applyNumberFormat="1" applyBorder="1"/>
    <xf numFmtId="0" fontId="0" fillId="0" borderId="9" xfId="0" applyBorder="1" applyAlignment="1">
      <alignment horizontal="center"/>
    </xf>
    <xf numFmtId="0" fontId="0" fillId="0" borderId="9" xfId="0" applyBorder="1"/>
    <xf numFmtId="165" fontId="0" fillId="0" borderId="4" xfId="0" applyNumberFormat="1" applyBorder="1"/>
    <xf numFmtId="0" fontId="25" fillId="0" borderId="0" xfId="0" applyFont="1" applyAlignment="1">
      <alignment horizontal="left" vertical="top"/>
    </xf>
    <xf numFmtId="0" fontId="22" fillId="0" borderId="0" xfId="0" applyFont="1" applyAlignment="1">
      <alignment horizontal="center"/>
    </xf>
    <xf numFmtId="177" fontId="22" fillId="0" borderId="0" xfId="0" applyNumberFormat="1" applyFont="1"/>
    <xf numFmtId="0" fontId="22" fillId="0" borderId="0" xfId="0" applyFont="1" applyAlignment="1">
      <alignment horizontal="left" vertical="top"/>
    </xf>
    <xf numFmtId="165" fontId="22" fillId="0" borderId="0" xfId="0" applyNumberFormat="1" applyFont="1"/>
    <xf numFmtId="165" fontId="22" fillId="0" borderId="0" xfId="0" applyNumberFormat="1" applyFont="1" applyAlignment="1">
      <alignment vertical="center"/>
    </xf>
    <xf numFmtId="0" fontId="0" fillId="0" borderId="0" xfId="0" applyAlignment="1">
      <alignment horizontal="left" vertical="top"/>
    </xf>
    <xf numFmtId="0" fontId="43" fillId="0" borderId="0" xfId="0" applyFont="1"/>
    <xf numFmtId="9" fontId="30" fillId="2" borderId="6" xfId="18" applyFont="1" applyFill="1" applyBorder="1" applyAlignment="1" applyProtection="1">
      <alignment horizontal="center" vertical="center" wrapText="1"/>
    </xf>
    <xf numFmtId="0" fontId="37" fillId="3" borderId="6" xfId="15" applyFont="1" applyFill="1" applyBorder="1" applyAlignment="1">
      <alignment wrapText="1"/>
    </xf>
    <xf numFmtId="0" fontId="39" fillId="3" borderId="6" xfId="15" applyFont="1" applyFill="1" applyBorder="1" applyAlignment="1">
      <alignment horizontal="center"/>
    </xf>
    <xf numFmtId="0" fontId="40" fillId="3" borderId="6" xfId="15" applyFont="1" applyFill="1" applyBorder="1" applyAlignment="1">
      <alignment horizontal="center"/>
    </xf>
    <xf numFmtId="3" fontId="39" fillId="3" borderId="6" xfId="15" applyNumberFormat="1" applyFont="1" applyFill="1" applyBorder="1"/>
    <xf numFmtId="0" fontId="39" fillId="3" borderId="7" xfId="15" applyFont="1" applyFill="1" applyBorder="1" applyAlignment="1">
      <alignment horizontal="center"/>
    </xf>
    <xf numFmtId="0" fontId="37" fillId="3" borderId="2" xfId="15" applyFont="1" applyFill="1" applyBorder="1" applyAlignment="1">
      <alignment wrapText="1"/>
    </xf>
    <xf numFmtId="0" fontId="37" fillId="3" borderId="2" xfId="15" applyFont="1" applyFill="1" applyBorder="1"/>
    <xf numFmtId="0" fontId="0" fillId="0" borderId="16" xfId="0" applyBorder="1"/>
    <xf numFmtId="165" fontId="85" fillId="11" borderId="7" xfId="0" applyNumberFormat="1" applyFont="1" applyFill="1" applyBorder="1" applyAlignment="1">
      <alignment vertical="center"/>
    </xf>
    <xf numFmtId="165" fontId="35" fillId="0" borderId="14" xfId="0" applyNumberFormat="1" applyFont="1" applyBorder="1" applyAlignment="1">
      <alignment horizontal="left" vertical="center"/>
    </xf>
    <xf numFmtId="165" fontId="24" fillId="0" borderId="14" xfId="0" applyNumberFormat="1" applyFont="1" applyBorder="1" applyAlignment="1">
      <alignment horizontal="left" vertical="center"/>
    </xf>
    <xf numFmtId="165" fontId="24" fillId="0" borderId="0" xfId="0" applyNumberFormat="1" applyFont="1" applyAlignment="1">
      <alignment horizontal="left" vertical="center"/>
    </xf>
    <xf numFmtId="165" fontId="24" fillId="3" borderId="14" xfId="0" applyNumberFormat="1" applyFont="1" applyFill="1" applyBorder="1" applyAlignment="1">
      <alignment horizontal="left" vertical="center"/>
    </xf>
    <xf numFmtId="165" fontId="24" fillId="3" borderId="0" xfId="0" applyNumberFormat="1" applyFont="1" applyFill="1" applyAlignment="1">
      <alignment horizontal="left" vertical="center" wrapText="1"/>
    </xf>
    <xf numFmtId="165" fontId="24" fillId="0" borderId="0" xfId="0" applyNumberFormat="1" applyFont="1" applyAlignment="1">
      <alignment horizontal="left" vertical="center" wrapText="1"/>
    </xf>
    <xf numFmtId="165" fontId="35" fillId="0" borderId="13" xfId="0" applyNumberFormat="1" applyFont="1" applyBorder="1" applyAlignment="1">
      <alignment horizontal="left" vertical="center"/>
    </xf>
    <xf numFmtId="0" fontId="35" fillId="3" borderId="0" xfId="0" applyFont="1" applyFill="1"/>
    <xf numFmtId="165" fontId="35" fillId="0" borderId="0" xfId="0" applyNumberFormat="1" applyFont="1"/>
    <xf numFmtId="165" fontId="24" fillId="0" borderId="0" xfId="0" applyNumberFormat="1" applyFont="1" applyAlignment="1">
      <alignment horizontal="left"/>
    </xf>
    <xf numFmtId="164" fontId="35" fillId="0" borderId="0" xfId="0" applyNumberFormat="1" applyFont="1" applyAlignment="1">
      <alignment horizontal="center"/>
    </xf>
    <xf numFmtId="164" fontId="22" fillId="0" borderId="0" xfId="0" applyNumberFormat="1" applyFont="1" applyAlignment="1">
      <alignment horizontal="right"/>
    </xf>
    <xf numFmtId="165" fontId="22" fillId="0" borderId="0" xfId="0" applyNumberFormat="1" applyFont="1" applyAlignment="1">
      <alignment horizontal="right"/>
    </xf>
    <xf numFmtId="172" fontId="22" fillId="0" borderId="0" xfId="0" applyNumberFormat="1" applyFont="1" applyAlignment="1">
      <alignment horizontal="right"/>
    </xf>
    <xf numFmtId="172" fontId="26" fillId="0" borderId="0" xfId="0" applyNumberFormat="1" applyFont="1" applyAlignment="1">
      <alignment horizontal="right"/>
    </xf>
    <xf numFmtId="172" fontId="22" fillId="0" borderId="0" xfId="0" applyNumberFormat="1" applyFont="1" applyAlignment="1">
      <alignment horizontal="center" vertical="center"/>
    </xf>
    <xf numFmtId="9" fontId="0" fillId="0" borderId="0" xfId="18" applyFont="1" applyBorder="1" applyAlignment="1" applyProtection="1">
      <alignment horizontal="center"/>
    </xf>
    <xf numFmtId="44" fontId="0" fillId="0" borderId="0" xfId="0" applyNumberFormat="1" applyAlignment="1">
      <alignment horizontal="center"/>
    </xf>
    <xf numFmtId="0" fontId="22" fillId="0" borderId="0" xfId="0" applyFont="1" applyAlignment="1">
      <alignment horizontal="right"/>
    </xf>
    <xf numFmtId="0" fontId="44" fillId="0" borderId="0" xfId="0" applyFont="1"/>
    <xf numFmtId="0" fontId="46" fillId="0" borderId="0" xfId="0" applyFont="1"/>
    <xf numFmtId="44" fontId="24" fillId="0" borderId="0" xfId="0" applyNumberFormat="1" applyFont="1"/>
    <xf numFmtId="181" fontId="24" fillId="0" borderId="0" xfId="0" applyNumberFormat="1" applyFont="1"/>
    <xf numFmtId="0" fontId="78" fillId="0" borderId="0" xfId="0" applyFont="1"/>
    <xf numFmtId="44" fontId="46" fillId="0" borderId="0" xfId="0" applyNumberFormat="1" applyFont="1"/>
    <xf numFmtId="165" fontId="35" fillId="0" borderId="0" xfId="0" applyNumberFormat="1" applyFont="1" applyAlignment="1">
      <alignment horizontal="left" vertical="center"/>
    </xf>
    <xf numFmtId="165" fontId="24" fillId="3" borderId="0" xfId="0" applyNumberFormat="1" applyFont="1" applyFill="1" applyAlignment="1">
      <alignment horizontal="left" vertical="center"/>
    </xf>
    <xf numFmtId="170" fontId="0" fillId="0" borderId="0" xfId="0" applyNumberFormat="1" applyAlignment="1">
      <alignment horizontal="right"/>
    </xf>
    <xf numFmtId="0" fontId="0" fillId="0" borderId="0" xfId="0" applyAlignment="1">
      <alignment horizontal="left"/>
    </xf>
    <xf numFmtId="172" fontId="26" fillId="0" borderId="0" xfId="0" applyNumberFormat="1" applyFont="1" applyAlignment="1">
      <alignment horizontal="center"/>
    </xf>
    <xf numFmtId="0" fontId="0" fillId="0" borderId="0" xfId="0" applyAlignment="1">
      <alignment horizontal="left" vertical="top" wrapText="1"/>
    </xf>
    <xf numFmtId="165" fontId="47" fillId="7" borderId="13" xfId="0" applyNumberFormat="1" applyFont="1" applyFill="1" applyBorder="1" applyAlignment="1">
      <alignment horizontal="center" vertical="center" wrapText="1"/>
    </xf>
    <xf numFmtId="165" fontId="47" fillId="7" borderId="1" xfId="0" applyNumberFormat="1" applyFont="1" applyFill="1" applyBorder="1" applyAlignment="1">
      <alignment horizontal="center" vertical="center" wrapText="1"/>
    </xf>
    <xf numFmtId="0" fontId="0" fillId="0" borderId="8" xfId="0" applyBorder="1"/>
    <xf numFmtId="167" fontId="22" fillId="0" borderId="9" xfId="0" applyNumberFormat="1" applyFont="1" applyBorder="1"/>
    <xf numFmtId="175" fontId="22" fillId="0" borderId="2" xfId="18" applyNumberFormat="1" applyFont="1" applyFill="1" applyBorder="1" applyProtection="1"/>
    <xf numFmtId="0" fontId="22" fillId="0" borderId="9" xfId="0" applyFont="1" applyBorder="1"/>
    <xf numFmtId="165" fontId="26" fillId="7" borderId="11" xfId="0" applyNumberFormat="1" applyFont="1" applyFill="1" applyBorder="1" applyAlignment="1">
      <alignment horizontal="left"/>
    </xf>
    <xf numFmtId="165" fontId="0" fillId="7" borderId="9" xfId="0" applyNumberFormat="1" applyFill="1" applyBorder="1"/>
    <xf numFmtId="165" fontId="0" fillId="7" borderId="9" xfId="0" applyNumberFormat="1" applyFill="1" applyBorder="1" applyAlignment="1">
      <alignment horizontal="center"/>
    </xf>
    <xf numFmtId="164" fontId="0" fillId="7" borderId="9" xfId="0" applyNumberFormat="1" applyFill="1" applyBorder="1" applyAlignment="1">
      <alignment horizontal="center"/>
    </xf>
    <xf numFmtId="0" fontId="22" fillId="7" borderId="3" xfId="0" applyFont="1" applyFill="1" applyBorder="1"/>
    <xf numFmtId="165" fontId="48" fillId="7" borderId="13" xfId="0" applyNumberFormat="1" applyFont="1" applyFill="1" applyBorder="1"/>
    <xf numFmtId="165" fontId="48" fillId="7" borderId="1" xfId="0" applyNumberFormat="1" applyFont="1" applyFill="1" applyBorder="1"/>
    <xf numFmtId="165" fontId="48" fillId="7" borderId="1" xfId="0" applyNumberFormat="1" applyFont="1" applyFill="1" applyBorder="1" applyAlignment="1">
      <alignment horizontal="center"/>
    </xf>
    <xf numFmtId="164" fontId="48" fillId="7" borderId="1" xfId="0" applyNumberFormat="1" applyFont="1" applyFill="1" applyBorder="1" applyAlignment="1">
      <alignment horizontal="center"/>
    </xf>
    <xf numFmtId="179" fontId="53" fillId="7" borderId="5" xfId="0" applyNumberFormat="1" applyFont="1" applyFill="1" applyBorder="1" applyAlignment="1">
      <alignment horizontal="right"/>
    </xf>
    <xf numFmtId="39" fontId="53" fillId="7" borderId="10" xfId="0" applyNumberFormat="1" applyFont="1" applyFill="1" applyBorder="1" applyAlignment="1">
      <alignment horizontal="right"/>
    </xf>
    <xf numFmtId="179" fontId="53" fillId="7" borderId="1" xfId="0" applyNumberFormat="1" applyFont="1" applyFill="1" applyBorder="1" applyAlignment="1">
      <alignment horizontal="right"/>
    </xf>
    <xf numFmtId="175" fontId="53" fillId="7" borderId="5" xfId="0" applyNumberFormat="1" applyFont="1" applyFill="1" applyBorder="1" applyAlignment="1">
      <alignment horizontal="right"/>
    </xf>
    <xf numFmtId="165" fontId="26" fillId="0" borderId="0" xfId="0" applyNumberFormat="1" applyFont="1"/>
    <xf numFmtId="165" fontId="85" fillId="7" borderId="7" xfId="0" applyNumberFormat="1" applyFont="1" applyFill="1" applyBorder="1" applyAlignment="1">
      <alignment vertical="center"/>
    </xf>
    <xf numFmtId="0" fontId="86" fillId="7" borderId="2" xfId="0" applyFont="1" applyFill="1" applyBorder="1" applyAlignment="1">
      <alignment vertical="center"/>
    </xf>
    <xf numFmtId="0" fontId="22" fillId="0" borderId="1" xfId="0" applyFont="1" applyBorder="1"/>
    <xf numFmtId="0" fontId="0" fillId="0" borderId="0" xfId="0" applyProtection="1">
      <protection locked="0"/>
    </xf>
    <xf numFmtId="4" fontId="24" fillId="0" borderId="0" xfId="0" applyNumberFormat="1" applyFont="1"/>
    <xf numFmtId="167" fontId="23" fillId="3" borderId="0" xfId="0" applyNumberFormat="1" applyFont="1" applyFill="1" applyAlignment="1">
      <alignment horizontal="center"/>
    </xf>
    <xf numFmtId="165" fontId="23" fillId="0" borderId="0" xfId="0" applyNumberFormat="1" applyFont="1" applyAlignment="1">
      <alignment horizontal="center"/>
    </xf>
    <xf numFmtId="181" fontId="23" fillId="0" borderId="0" xfId="0" applyNumberFormat="1" applyFont="1" applyAlignment="1">
      <alignment horizontal="center"/>
    </xf>
    <xf numFmtId="164" fontId="35" fillId="0" borderId="0" xfId="0" applyNumberFormat="1" applyFont="1" applyAlignment="1">
      <alignment horizontal="left"/>
    </xf>
    <xf numFmtId="164" fontId="35" fillId="0" borderId="0" xfId="0" applyNumberFormat="1" applyFont="1"/>
    <xf numFmtId="4" fontId="35" fillId="0" borderId="0" xfId="0" applyNumberFormat="1" applyFont="1" applyAlignment="1">
      <alignment horizontal="left"/>
    </xf>
    <xf numFmtId="0" fontId="0" fillId="11" borderId="8" xfId="0" applyFill="1" applyBorder="1" applyAlignment="1">
      <alignment vertical="center" wrapText="1"/>
    </xf>
    <xf numFmtId="0" fontId="0" fillId="11" borderId="2" xfId="0" applyFill="1" applyBorder="1" applyAlignment="1">
      <alignment wrapText="1"/>
    </xf>
    <xf numFmtId="167" fontId="24" fillId="11" borderId="0" xfId="0" applyNumberFormat="1" applyFont="1" applyFill="1" applyAlignment="1">
      <alignment horizontal="left"/>
    </xf>
    <xf numFmtId="167" fontId="35" fillId="11" borderId="0" xfId="0" applyNumberFormat="1" applyFont="1" applyFill="1" applyAlignment="1">
      <alignment horizontal="left"/>
    </xf>
    <xf numFmtId="171" fontId="24" fillId="11" borderId="0" xfId="0" applyNumberFormat="1" applyFont="1" applyFill="1" applyAlignment="1">
      <alignment horizontal="left"/>
    </xf>
    <xf numFmtId="171" fontId="24" fillId="11" borderId="0" xfId="0" applyNumberFormat="1" applyFont="1" applyFill="1" applyAlignment="1">
      <alignment horizontal="right"/>
    </xf>
    <xf numFmtId="0" fontId="92" fillId="0" borderId="0" xfId="0" applyFont="1" applyAlignment="1">
      <alignment wrapText="1"/>
    </xf>
    <xf numFmtId="175" fontId="30" fillId="12" borderId="2" xfId="3" applyNumberFormat="1" applyFont="1" applyFill="1" applyBorder="1" applyAlignment="1" applyProtection="1">
      <alignment horizontal="center"/>
      <protection locked="0"/>
    </xf>
    <xf numFmtId="166" fontId="30" fillId="12" borderId="2" xfId="3" applyNumberFormat="1" applyFont="1" applyFill="1" applyBorder="1" applyAlignment="1" applyProtection="1">
      <alignment horizontal="center"/>
      <protection locked="0"/>
    </xf>
    <xf numFmtId="14" fontId="25" fillId="10" borderId="6" xfId="0" applyNumberFormat="1" applyFont="1" applyFill="1" applyBorder="1" applyAlignment="1" applyProtection="1">
      <alignment horizontal="center"/>
      <protection locked="0"/>
    </xf>
    <xf numFmtId="0" fontId="62" fillId="0" borderId="0" xfId="3" applyFont="1" applyAlignment="1">
      <alignment horizontal="center"/>
    </xf>
    <xf numFmtId="166" fontId="25" fillId="10" borderId="6" xfId="0" applyNumberFormat="1" applyFont="1" applyFill="1" applyBorder="1" applyAlignment="1" applyProtection="1">
      <alignment horizontal="center"/>
      <protection locked="0"/>
    </xf>
    <xf numFmtId="0" fontId="0" fillId="13" borderId="0" xfId="0" applyFill="1"/>
    <xf numFmtId="175" fontId="30" fillId="9" borderId="6" xfId="18" applyNumberFormat="1" applyFont="1" applyFill="1" applyBorder="1" applyAlignment="1" applyProtection="1">
      <alignment horizontal="center" vertical="center" wrapText="1"/>
      <protection locked="0"/>
    </xf>
    <xf numFmtId="0" fontId="39" fillId="0" borderId="9" xfId="15" applyFont="1" applyBorder="1" applyAlignment="1">
      <alignment horizontal="center"/>
    </xf>
    <xf numFmtId="0" fontId="61" fillId="0" borderId="15" xfId="3" applyFont="1" applyBorder="1" applyAlignment="1">
      <alignment horizontal="center"/>
    </xf>
    <xf numFmtId="2" fontId="27" fillId="9" borderId="6" xfId="3" applyNumberFormat="1" applyFont="1" applyFill="1" applyBorder="1" applyAlignment="1" applyProtection="1">
      <alignment horizontal="center" vertical="center"/>
      <protection locked="0"/>
    </xf>
    <xf numFmtId="0" fontId="22" fillId="4" borderId="0" xfId="0" applyFont="1" applyFill="1"/>
    <xf numFmtId="0" fontId="40" fillId="0" borderId="8" xfId="15" applyFont="1" applyBorder="1"/>
    <xf numFmtId="0" fontId="41" fillId="0" borderId="2" xfId="15" applyFont="1" applyBorder="1"/>
    <xf numFmtId="0" fontId="41" fillId="0" borderId="8" xfId="15" applyFont="1" applyBorder="1"/>
    <xf numFmtId="0" fontId="40" fillId="0" borderId="8" xfId="15" applyFont="1" applyBorder="1" applyAlignment="1">
      <alignment horizontal="center"/>
    </xf>
    <xf numFmtId="14" fontId="0" fillId="0" borderId="0" xfId="0" applyNumberFormat="1"/>
    <xf numFmtId="164" fontId="25" fillId="9" borderId="1" xfId="3" applyNumberFormat="1" applyFont="1" applyFill="1" applyBorder="1" applyAlignment="1" applyProtection="1">
      <alignment horizontal="center"/>
      <protection locked="0"/>
    </xf>
    <xf numFmtId="9" fontId="30" fillId="2" borderId="6" xfId="18" applyFont="1" applyFill="1" applyBorder="1" applyAlignment="1" applyProtection="1">
      <alignment horizontal="center" vertical="center" wrapText="1"/>
      <protection locked="0"/>
    </xf>
    <xf numFmtId="171" fontId="30" fillId="3" borderId="6" xfId="3" applyNumberFormat="1" applyFont="1" applyFill="1" applyBorder="1" applyAlignment="1" applyProtection="1">
      <alignment horizontal="center" vertical="center" wrapText="1"/>
      <protection hidden="1"/>
    </xf>
    <xf numFmtId="2" fontId="27" fillId="12" borderId="6" xfId="3" applyNumberFormat="1" applyFont="1" applyFill="1" applyBorder="1" applyAlignment="1" applyProtection="1">
      <alignment horizontal="center"/>
      <protection locked="0"/>
    </xf>
    <xf numFmtId="2" fontId="30" fillId="3" borderId="6" xfId="3" applyNumberFormat="1" applyFont="1" applyFill="1" applyBorder="1" applyAlignment="1" applyProtection="1">
      <alignment horizontal="center" wrapText="1"/>
      <protection hidden="1"/>
    </xf>
    <xf numFmtId="182" fontId="24" fillId="0" borderId="0" xfId="0" applyNumberFormat="1" applyFont="1" applyAlignment="1">
      <alignment horizontal="right"/>
    </xf>
    <xf numFmtId="0" fontId="104" fillId="0" borderId="0" xfId="0" applyFont="1" applyAlignment="1">
      <alignment vertical="center"/>
    </xf>
    <xf numFmtId="0" fontId="0" fillId="16" borderId="0" xfId="0" applyFill="1"/>
    <xf numFmtId="0" fontId="22" fillId="16" borderId="0" xfId="0" applyFont="1" applyFill="1"/>
    <xf numFmtId="0" fontId="0" fillId="11" borderId="0" xfId="0" applyFill="1"/>
    <xf numFmtId="0" fontId="104" fillId="11" borderId="0" xfId="0" applyFont="1" applyFill="1" applyAlignment="1">
      <alignment vertical="center"/>
    </xf>
    <xf numFmtId="0" fontId="103" fillId="11" borderId="0" xfId="0" applyFont="1" applyFill="1" applyAlignment="1">
      <alignment vertical="center"/>
    </xf>
    <xf numFmtId="0" fontId="22" fillId="11" borderId="0" xfId="0" applyFont="1" applyFill="1"/>
    <xf numFmtId="0" fontId="105" fillId="11" borderId="0" xfId="0" applyFont="1" applyFill="1" applyAlignment="1">
      <alignment horizontal="center" vertical="center"/>
    </xf>
    <xf numFmtId="0" fontId="46" fillId="11" borderId="0" xfId="0" applyFont="1" applyFill="1"/>
    <xf numFmtId="0" fontId="110" fillId="11" borderId="0" xfId="0" applyFont="1" applyFill="1" applyAlignment="1">
      <alignment horizontal="center" vertical="center"/>
    </xf>
    <xf numFmtId="0" fontId="108" fillId="11" borderId="0" xfId="19" applyFont="1" applyFill="1" applyAlignment="1">
      <alignment vertical="center"/>
    </xf>
    <xf numFmtId="0" fontId="46" fillId="11" borderId="0" xfId="0" applyFont="1" applyFill="1" applyAlignment="1">
      <alignment horizontal="center"/>
    </xf>
    <xf numFmtId="0" fontId="110" fillId="11" borderId="0" xfId="0" applyFont="1" applyFill="1" applyAlignment="1">
      <alignment vertical="center"/>
    </xf>
    <xf numFmtId="0" fontId="109" fillId="11" borderId="0" xfId="0" applyFont="1" applyFill="1" applyAlignment="1">
      <alignment vertical="center"/>
    </xf>
    <xf numFmtId="44" fontId="40" fillId="0" borderId="6" xfId="15" applyNumberFormat="1" applyFont="1" applyBorder="1" applyProtection="1">
      <protection locked="0"/>
    </xf>
    <xf numFmtId="165" fontId="0" fillId="0" borderId="5" xfId="0" applyNumberFormat="1" applyBorder="1"/>
    <xf numFmtId="44" fontId="37" fillId="0" borderId="6" xfId="11" applyFont="1" applyFill="1" applyBorder="1" applyProtection="1">
      <protection locked="0"/>
    </xf>
    <xf numFmtId="44" fontId="37" fillId="0" borderId="6" xfId="15" applyNumberFormat="1" applyFont="1" applyBorder="1" applyProtection="1">
      <protection locked="0"/>
    </xf>
    <xf numFmtId="0" fontId="40" fillId="0" borderId="4" xfId="15" applyFont="1" applyBorder="1"/>
    <xf numFmtId="0" fontId="38" fillId="0" borderId="5" xfId="15" applyFont="1" applyBorder="1" applyAlignment="1">
      <alignment horizontal="center" vertical="center"/>
    </xf>
    <xf numFmtId="183" fontId="22" fillId="0" borderId="0" xfId="0" applyNumberFormat="1" applyFont="1" applyAlignment="1">
      <alignment vertical="center"/>
    </xf>
    <xf numFmtId="177" fontId="22" fillId="0" borderId="11" xfId="0" applyNumberFormat="1" applyFont="1" applyBorder="1"/>
    <xf numFmtId="0" fontId="22" fillId="0" borderId="12" xfId="0" applyFont="1" applyBorder="1"/>
    <xf numFmtId="177" fontId="22" fillId="0" borderId="14" xfId="0" applyNumberFormat="1" applyFont="1" applyBorder="1"/>
    <xf numFmtId="183" fontId="22" fillId="0" borderId="15" xfId="0" applyNumberFormat="1" applyFont="1" applyBorder="1" applyAlignment="1">
      <alignment vertical="center"/>
    </xf>
    <xf numFmtId="183" fontId="22" fillId="0" borderId="1" xfId="0" applyNumberFormat="1" applyFont="1" applyBorder="1" applyAlignment="1">
      <alignment vertical="center"/>
    </xf>
    <xf numFmtId="183" fontId="22" fillId="0" borderId="10" xfId="0" applyNumberFormat="1" applyFont="1" applyBorder="1" applyAlignment="1">
      <alignment vertical="center"/>
    </xf>
    <xf numFmtId="3" fontId="22" fillId="0" borderId="0" xfId="0" applyNumberFormat="1" applyFont="1" applyAlignment="1">
      <alignment vertical="center"/>
    </xf>
    <xf numFmtId="3" fontId="22" fillId="0" borderId="1" xfId="0" applyNumberFormat="1" applyFont="1" applyBorder="1" applyAlignment="1">
      <alignment vertical="center"/>
    </xf>
    <xf numFmtId="165" fontId="22" fillId="0" borderId="14" xfId="0" applyNumberFormat="1" applyFont="1" applyBorder="1" applyAlignment="1">
      <alignment wrapText="1"/>
    </xf>
    <xf numFmtId="0" fontId="0" fillId="0" borderId="14" xfId="0" applyBorder="1"/>
    <xf numFmtId="0" fontId="0" fillId="0" borderId="15" xfId="0" applyBorder="1"/>
    <xf numFmtId="165" fontId="22" fillId="0" borderId="13" xfId="0" applyNumberFormat="1" applyFont="1" applyBorder="1" applyAlignment="1">
      <alignment wrapText="1"/>
    </xf>
    <xf numFmtId="9" fontId="22" fillId="0" borderId="14" xfId="0" applyNumberFormat="1" applyFont="1" applyBorder="1" applyAlignment="1">
      <alignment horizontal="left"/>
    </xf>
    <xf numFmtId="0" fontId="111" fillId="0" borderId="0" xfId="3" applyFont="1" applyAlignment="1">
      <alignment horizontal="right"/>
    </xf>
    <xf numFmtId="0" fontId="111" fillId="0" borderId="0" xfId="3" applyFont="1" applyAlignment="1">
      <alignment horizontal="center"/>
    </xf>
    <xf numFmtId="0" fontId="111" fillId="0" borderId="0" xfId="3" applyFont="1"/>
    <xf numFmtId="9" fontId="0" fillId="0" borderId="0" xfId="0" applyNumberFormat="1"/>
    <xf numFmtId="0" fontId="11" fillId="3" borderId="0" xfId="20" applyFill="1"/>
    <xf numFmtId="0" fontId="11" fillId="3" borderId="0" xfId="20" applyFill="1" applyAlignment="1">
      <alignment horizontal="center" vertical="center"/>
    </xf>
    <xf numFmtId="0" fontId="11" fillId="0" borderId="0" xfId="20"/>
    <xf numFmtId="0" fontId="11" fillId="3" borderId="0" xfId="21" applyFill="1"/>
    <xf numFmtId="0" fontId="0" fillId="3" borderId="0" xfId="21" applyFont="1" applyFill="1"/>
    <xf numFmtId="0" fontId="11" fillId="0" borderId="0" xfId="20" applyProtection="1">
      <protection locked="0"/>
    </xf>
    <xf numFmtId="0" fontId="11" fillId="3" borderId="0" xfId="20" applyFill="1" applyAlignment="1" applyProtection="1">
      <alignment horizontal="center" vertical="center"/>
      <protection locked="0"/>
    </xf>
    <xf numFmtId="0" fontId="11" fillId="3" borderId="0" xfId="20" applyFill="1" applyAlignment="1">
      <alignment vertical="center"/>
    </xf>
    <xf numFmtId="0" fontId="11" fillId="0" borderId="0" xfId="20" applyAlignment="1" applyProtection="1">
      <alignment horizontal="center" vertical="center"/>
      <protection locked="0"/>
    </xf>
    <xf numFmtId="0" fontId="11" fillId="17" borderId="6" xfId="20" applyFill="1" applyBorder="1" applyAlignment="1" applyProtection="1">
      <alignment horizontal="center" vertical="center"/>
      <protection locked="0"/>
    </xf>
    <xf numFmtId="0" fontId="11" fillId="18" borderId="6" xfId="20" applyFill="1" applyBorder="1" applyAlignment="1" applyProtection="1">
      <alignment horizontal="center" vertical="center"/>
      <protection locked="0"/>
    </xf>
    <xf numFmtId="0" fontId="11" fillId="3" borderId="6" xfId="20" applyFill="1" applyBorder="1" applyAlignment="1">
      <alignment horizontal="center" vertical="center"/>
    </xf>
    <xf numFmtId="0" fontId="11" fillId="18" borderId="2" xfId="20" applyFill="1" applyBorder="1" applyAlignment="1" applyProtection="1">
      <alignment horizontal="center" vertical="center"/>
      <protection locked="0"/>
    </xf>
    <xf numFmtId="0" fontId="113" fillId="3" borderId="0" xfId="21" applyFont="1" applyFill="1"/>
    <xf numFmtId="0" fontId="11" fillId="19" borderId="6" xfId="20" applyFill="1" applyBorder="1" applyAlignment="1" applyProtection="1">
      <alignment horizontal="center" vertical="center"/>
      <protection locked="0"/>
    </xf>
    <xf numFmtId="0" fontId="11" fillId="20" borderId="6" xfId="20" applyFill="1" applyBorder="1" applyAlignment="1" applyProtection="1">
      <alignment horizontal="center" vertical="center"/>
      <protection locked="0"/>
    </xf>
    <xf numFmtId="0" fontId="11" fillId="0" borderId="2" xfId="20" applyBorder="1" applyAlignment="1" applyProtection="1">
      <alignment horizontal="center" vertical="center"/>
      <protection locked="0"/>
    </xf>
    <xf numFmtId="0" fontId="11" fillId="3" borderId="0" xfId="20" quotePrefix="1" applyFill="1"/>
    <xf numFmtId="0" fontId="11" fillId="21" borderId="14" xfId="20" applyFill="1" applyBorder="1"/>
    <xf numFmtId="0" fontId="11" fillId="21" borderId="0" xfId="20" applyFill="1"/>
    <xf numFmtId="0" fontId="112" fillId="3" borderId="0" xfId="20" applyFont="1" applyFill="1"/>
    <xf numFmtId="0" fontId="11" fillId="22" borderId="6" xfId="20" applyFill="1" applyBorder="1" applyAlignment="1" applyProtection="1">
      <alignment horizontal="center" vertical="center"/>
      <protection locked="0"/>
    </xf>
    <xf numFmtId="0" fontId="11" fillId="23" borderId="6" xfId="20" applyFill="1" applyBorder="1" applyAlignment="1" applyProtection="1">
      <alignment horizontal="center" vertical="center"/>
      <protection locked="0"/>
    </xf>
    <xf numFmtId="0" fontId="31" fillId="3" borderId="0" xfId="20" applyFont="1" applyFill="1"/>
    <xf numFmtId="0" fontId="11" fillId="0" borderId="0" xfId="20" applyAlignment="1">
      <alignment vertical="top"/>
    </xf>
    <xf numFmtId="0" fontId="11" fillId="3" borderId="0" xfId="20" applyFill="1" applyAlignment="1">
      <alignment wrapText="1"/>
    </xf>
    <xf numFmtId="0" fontId="11" fillId="3" borderId="6" xfId="20" applyFill="1" applyBorder="1" applyAlignment="1">
      <alignment horizontal="center" vertical="center" wrapText="1"/>
    </xf>
    <xf numFmtId="0" fontId="11" fillId="0" borderId="6" xfId="20" applyBorder="1" applyAlignment="1">
      <alignment horizontal="center" vertical="center" wrapText="1"/>
    </xf>
    <xf numFmtId="0" fontId="11" fillId="0" borderId="6" xfId="20" applyBorder="1" applyAlignment="1">
      <alignment horizontal="center" vertical="center"/>
    </xf>
    <xf numFmtId="0" fontId="11" fillId="0" borderId="2" xfId="20" applyBorder="1" applyAlignment="1">
      <alignment horizontal="center" vertical="center"/>
    </xf>
    <xf numFmtId="0" fontId="11" fillId="0" borderId="3" xfId="20" applyBorder="1" applyAlignment="1" applyProtection="1">
      <alignment horizontal="center" vertical="center" wrapText="1"/>
      <protection locked="0"/>
    </xf>
    <xf numFmtId="0" fontId="116" fillId="25" borderId="31" xfId="21" applyFont="1" applyFill="1" applyBorder="1" applyAlignment="1">
      <alignment horizontal="center" wrapText="1"/>
    </xf>
    <xf numFmtId="0" fontId="11" fillId="0" borderId="0" xfId="20" applyAlignment="1">
      <alignment wrapText="1"/>
    </xf>
    <xf numFmtId="0" fontId="11" fillId="0" borderId="32" xfId="20" applyBorder="1" applyAlignment="1">
      <alignment wrapText="1"/>
    </xf>
    <xf numFmtId="0" fontId="11" fillId="0" borderId="32" xfId="20" applyBorder="1"/>
    <xf numFmtId="0" fontId="0" fillId="0" borderId="6" xfId="0" applyBorder="1" applyAlignment="1">
      <alignment horizontal="center" vertical="center"/>
    </xf>
    <xf numFmtId="165" fontId="22" fillId="0" borderId="0" xfId="0" applyNumberFormat="1" applyFont="1" applyAlignment="1">
      <alignment horizontal="center" vertical="center"/>
    </xf>
    <xf numFmtId="0" fontId="0" fillId="0" borderId="0" xfId="0" applyAlignment="1">
      <alignment horizontal="center" vertical="center"/>
    </xf>
    <xf numFmtId="0" fontId="22" fillId="0" borderId="0" xfId="0" applyFont="1" applyAlignment="1">
      <alignment horizontal="center" vertical="center"/>
    </xf>
    <xf numFmtId="0" fontId="0" fillId="0" borderId="9" xfId="0" applyBorder="1" applyAlignment="1">
      <alignment horizontal="center" vertical="center"/>
    </xf>
    <xf numFmtId="2" fontId="29" fillId="0" borderId="15" xfId="0" applyNumberFormat="1" applyFont="1" applyBorder="1" applyAlignment="1">
      <alignment vertical="center"/>
    </xf>
    <xf numFmtId="0" fontId="29" fillId="0" borderId="15" xfId="0" applyFont="1" applyBorder="1"/>
    <xf numFmtId="0" fontId="22" fillId="19" borderId="6" xfId="3" applyFill="1" applyBorder="1"/>
    <xf numFmtId="0" fontId="22" fillId="0" borderId="0" xfId="3" applyAlignment="1">
      <alignment horizontal="center"/>
    </xf>
    <xf numFmtId="0" fontId="22" fillId="0" borderId="6" xfId="3" applyBorder="1" applyAlignment="1">
      <alignment horizontal="center"/>
    </xf>
    <xf numFmtId="0" fontId="22" fillId="19" borderId="6" xfId="3" applyFill="1" applyBorder="1" applyAlignment="1">
      <alignment horizontal="center"/>
    </xf>
    <xf numFmtId="2" fontId="22" fillId="19" borderId="6" xfId="3" applyNumberFormat="1" applyFill="1" applyBorder="1" applyAlignment="1">
      <alignment horizontal="center"/>
    </xf>
    <xf numFmtId="184" fontId="22" fillId="0" borderId="6" xfId="3" applyNumberFormat="1" applyBorder="1" applyAlignment="1">
      <alignment horizontal="center"/>
    </xf>
    <xf numFmtId="0" fontId="0" fillId="26" borderId="14" xfId="0" applyFill="1" applyBorder="1" applyProtection="1">
      <protection locked="0"/>
    </xf>
    <xf numFmtId="0" fontId="0" fillId="26" borderId="0" xfId="0" applyFill="1" applyProtection="1">
      <protection locked="0"/>
    </xf>
    <xf numFmtId="0" fontId="0" fillId="26" borderId="15" xfId="0" applyFill="1" applyBorder="1" applyProtection="1">
      <protection locked="0"/>
    </xf>
    <xf numFmtId="2" fontId="0" fillId="2" borderId="4" xfId="0" applyNumberFormat="1" applyFill="1" applyBorder="1" applyAlignment="1" applyProtection="1">
      <alignment horizontal="center"/>
      <protection locked="0"/>
    </xf>
    <xf numFmtId="0" fontId="22" fillId="26" borderId="14" xfId="0" applyFont="1" applyFill="1" applyBorder="1" applyProtection="1">
      <protection locked="0"/>
    </xf>
    <xf numFmtId="0" fontId="0" fillId="26" borderId="13" xfId="0" applyFill="1" applyBorder="1" applyProtection="1">
      <protection locked="0"/>
    </xf>
    <xf numFmtId="0" fontId="0" fillId="26" borderId="1" xfId="0" applyFill="1" applyBorder="1" applyProtection="1">
      <protection locked="0"/>
    </xf>
    <xf numFmtId="0" fontId="0" fillId="26" borderId="10" xfId="0" applyFill="1" applyBorder="1" applyProtection="1">
      <protection locked="0"/>
    </xf>
    <xf numFmtId="2" fontId="0" fillId="2" borderId="5" xfId="0" applyNumberFormat="1" applyFill="1" applyBorder="1" applyAlignment="1" applyProtection="1">
      <alignment horizontal="center"/>
      <protection locked="0"/>
    </xf>
    <xf numFmtId="0" fontId="22" fillId="8" borderId="14" xfId="0" applyFont="1" applyFill="1" applyBorder="1" applyProtection="1">
      <protection locked="0"/>
    </xf>
    <xf numFmtId="0" fontId="0" fillId="8" borderId="0" xfId="0" applyFill="1"/>
    <xf numFmtId="0" fontId="0" fillId="8" borderId="15" xfId="0" applyFill="1" applyBorder="1"/>
    <xf numFmtId="2" fontId="0" fillId="8" borderId="4" xfId="0" applyNumberFormat="1" applyFill="1" applyBorder="1" applyAlignment="1">
      <alignment horizontal="center"/>
    </xf>
    <xf numFmtId="0" fontId="22" fillId="8" borderId="13" xfId="0" applyFont="1" applyFill="1" applyBorder="1" applyProtection="1">
      <protection locked="0"/>
    </xf>
    <xf numFmtId="0" fontId="0" fillId="8" borderId="1" xfId="0" applyFill="1" applyBorder="1"/>
    <xf numFmtId="0" fontId="0" fillId="8" borderId="10" xfId="0" applyFill="1" applyBorder="1"/>
    <xf numFmtId="2" fontId="0" fillId="8" borderId="5" xfId="0" applyNumberFormat="1" applyFill="1" applyBorder="1" applyAlignment="1">
      <alignment horizontal="center"/>
    </xf>
    <xf numFmtId="0" fontId="22" fillId="7" borderId="3" xfId="0" applyFont="1" applyFill="1" applyBorder="1" applyAlignment="1">
      <alignment horizontal="center"/>
    </xf>
    <xf numFmtId="0" fontId="22" fillId="7" borderId="4" xfId="0" applyFont="1" applyFill="1" applyBorder="1" applyAlignment="1">
      <alignment horizontal="center"/>
    </xf>
    <xf numFmtId="0" fontId="22" fillId="7" borderId="5" xfId="0" applyFont="1" applyFill="1" applyBorder="1"/>
    <xf numFmtId="0" fontId="47" fillId="0" borderId="0" xfId="3" applyFont="1" applyAlignment="1">
      <alignment horizontal="left" wrapText="1"/>
    </xf>
    <xf numFmtId="0" fontId="22" fillId="0" borderId="0" xfId="3" quotePrefix="1"/>
    <xf numFmtId="0" fontId="22" fillId="3" borderId="30" xfId="3" applyFill="1" applyBorder="1"/>
    <xf numFmtId="0" fontId="22" fillId="3" borderId="29" xfId="3" applyFill="1" applyBorder="1"/>
    <xf numFmtId="0" fontId="126" fillId="3" borderId="29" xfId="3" applyFont="1" applyFill="1" applyBorder="1"/>
    <xf numFmtId="0" fontId="22" fillId="3" borderId="28" xfId="3" applyFill="1" applyBorder="1"/>
    <xf numFmtId="0" fontId="22" fillId="3" borderId="27" xfId="3" applyFill="1" applyBorder="1"/>
    <xf numFmtId="0" fontId="22" fillId="3" borderId="0" xfId="3" applyFill="1"/>
    <xf numFmtId="0" fontId="22" fillId="3" borderId="16" xfId="3" applyFill="1" applyBorder="1"/>
    <xf numFmtId="0" fontId="25" fillId="3" borderId="27" xfId="3" applyFont="1" applyFill="1" applyBorder="1" applyAlignment="1">
      <alignment horizontal="center" vertical="top" wrapText="1"/>
    </xf>
    <xf numFmtId="0" fontId="22" fillId="3" borderId="0" xfId="3" applyFill="1" applyAlignment="1">
      <alignment wrapText="1"/>
    </xf>
    <xf numFmtId="0" fontId="22" fillId="3" borderId="0" xfId="3" applyFill="1" applyAlignment="1">
      <alignment horizontal="center" vertical="top" wrapText="1"/>
    </xf>
    <xf numFmtId="0" fontId="25" fillId="3" borderId="0" xfId="3" applyFont="1" applyFill="1" applyAlignment="1">
      <alignment horizontal="center" vertical="top" wrapText="1"/>
    </xf>
    <xf numFmtId="1" fontId="26" fillId="3" borderId="27" xfId="3" applyNumberFormat="1" applyFont="1" applyFill="1" applyBorder="1" applyAlignment="1">
      <alignment horizontal="center"/>
    </xf>
    <xf numFmtId="0" fontId="22" fillId="3" borderId="0" xfId="3" applyFill="1" applyAlignment="1">
      <alignment horizontal="center"/>
    </xf>
    <xf numFmtId="1" fontId="22" fillId="3" borderId="0" xfId="3" applyNumberFormat="1" applyFill="1" applyAlignment="1">
      <alignment horizontal="center"/>
    </xf>
    <xf numFmtId="0" fontId="22" fillId="0" borderId="0" xfId="3" applyProtection="1">
      <protection locked="0"/>
    </xf>
    <xf numFmtId="166" fontId="22" fillId="3" borderId="30" xfId="3" applyNumberFormat="1" applyFill="1" applyBorder="1" applyAlignment="1">
      <alignment horizontal="center"/>
    </xf>
    <xf numFmtId="0" fontId="127" fillId="3" borderId="0" xfId="3" applyFont="1" applyFill="1" applyAlignment="1">
      <alignment horizontal="center" vertical="center" wrapText="1"/>
    </xf>
    <xf numFmtId="0" fontId="22" fillId="27" borderId="6" xfId="3" applyFill="1" applyBorder="1" applyAlignment="1" applyProtection="1">
      <alignment horizontal="center"/>
      <protection locked="0"/>
    </xf>
    <xf numFmtId="1" fontId="22" fillId="3" borderId="29" xfId="3" applyNumberFormat="1" applyFill="1" applyBorder="1" applyAlignment="1">
      <alignment horizontal="center"/>
    </xf>
    <xf numFmtId="0" fontId="22" fillId="3" borderId="29" xfId="3" applyFill="1" applyBorder="1" applyAlignment="1">
      <alignment horizontal="center"/>
    </xf>
    <xf numFmtId="166" fontId="22" fillId="3" borderId="29" xfId="3" applyNumberFormat="1" applyFill="1" applyBorder="1" applyAlignment="1">
      <alignment horizontal="center"/>
    </xf>
    <xf numFmtId="0" fontId="22" fillId="3" borderId="16" xfId="3" applyFill="1" applyBorder="1" applyProtection="1">
      <protection locked="0"/>
    </xf>
    <xf numFmtId="1" fontId="44" fillId="3" borderId="0" xfId="3" applyNumberFormat="1" applyFont="1" applyFill="1" applyAlignment="1">
      <alignment horizontal="center" vertical="center"/>
    </xf>
    <xf numFmtId="0" fontId="26" fillId="3" borderId="16" xfId="3" applyFont="1" applyFill="1" applyBorder="1"/>
    <xf numFmtId="0" fontId="22" fillId="0" borderId="34" xfId="3" applyBorder="1"/>
    <xf numFmtId="0" fontId="22" fillId="0" borderId="22" xfId="3" applyBorder="1"/>
    <xf numFmtId="0" fontId="22" fillId="0" borderId="35" xfId="3" applyBorder="1"/>
    <xf numFmtId="0" fontId="22" fillId="0" borderId="0" xfId="3" applyAlignment="1">
      <alignment horizontal="center" vertical="top" wrapText="1"/>
    </xf>
    <xf numFmtId="0" fontId="22" fillId="3" borderId="0" xfId="3" applyFill="1" applyAlignment="1">
      <alignment horizontal="center" wrapText="1"/>
    </xf>
    <xf numFmtId="0" fontId="126" fillId="3" borderId="0" xfId="3" applyFont="1" applyFill="1"/>
    <xf numFmtId="0" fontId="22" fillId="3" borderId="30" xfId="3" applyFill="1" applyBorder="1" applyAlignment="1">
      <alignment horizontal="center" wrapText="1"/>
    </xf>
    <xf numFmtId="0" fontId="22" fillId="3" borderId="29" xfId="3" applyFill="1" applyBorder="1" applyAlignment="1">
      <alignment wrapText="1"/>
    </xf>
    <xf numFmtId="0" fontId="22" fillId="3" borderId="29" xfId="3" applyFill="1" applyBorder="1" applyAlignment="1">
      <alignment horizontal="center" vertical="top" wrapText="1"/>
    </xf>
    <xf numFmtId="0" fontId="26" fillId="3" borderId="36" xfId="3" applyFont="1" applyFill="1" applyBorder="1" applyAlignment="1">
      <alignment horizontal="center"/>
    </xf>
    <xf numFmtId="0" fontId="22" fillId="3" borderId="37" xfId="3" applyFill="1" applyBorder="1" applyAlignment="1">
      <alignment horizontal="center"/>
    </xf>
    <xf numFmtId="0" fontId="22" fillId="3" borderId="6" xfId="3" applyFill="1" applyBorder="1" applyAlignment="1">
      <alignment horizontal="center"/>
    </xf>
    <xf numFmtId="0" fontId="22" fillId="3" borderId="36" xfId="3" applyFill="1" applyBorder="1" applyAlignment="1">
      <alignment horizontal="center"/>
    </xf>
    <xf numFmtId="0" fontId="25" fillId="3" borderId="39" xfId="3" applyFont="1" applyFill="1" applyBorder="1" applyAlignment="1">
      <alignment horizontal="center" wrapText="1"/>
    </xf>
    <xf numFmtId="0" fontId="25" fillId="3" borderId="0" xfId="3" applyFont="1" applyFill="1" applyAlignment="1">
      <alignment wrapText="1"/>
    </xf>
    <xf numFmtId="0" fontId="25" fillId="3" borderId="1" xfId="3" applyFont="1" applyFill="1" applyBorder="1" applyAlignment="1">
      <alignment wrapText="1"/>
    </xf>
    <xf numFmtId="1" fontId="26" fillId="3" borderId="30" xfId="3" applyNumberFormat="1" applyFont="1" applyFill="1" applyBorder="1" applyAlignment="1">
      <alignment horizontal="center"/>
    </xf>
    <xf numFmtId="0" fontId="22" fillId="0" borderId="16" xfId="3" applyBorder="1"/>
    <xf numFmtId="1" fontId="44" fillId="3" borderId="27" xfId="3" applyNumberFormat="1" applyFont="1" applyFill="1" applyBorder="1" applyAlignment="1">
      <alignment horizontal="center" vertical="top"/>
    </xf>
    <xf numFmtId="0" fontId="22" fillId="3" borderId="0" xfId="3" applyFill="1" applyAlignment="1">
      <alignment vertical="center"/>
    </xf>
    <xf numFmtId="0" fontId="22" fillId="0" borderId="22" xfId="3" quotePrefix="1" applyBorder="1" applyAlignment="1">
      <alignment horizontal="center"/>
    </xf>
    <xf numFmtId="0" fontId="26" fillId="0" borderId="0" xfId="3" applyFont="1"/>
    <xf numFmtId="2" fontId="22" fillId="0" borderId="43" xfId="3" applyNumberFormat="1" applyBorder="1" applyAlignment="1">
      <alignment horizontal="center"/>
    </xf>
    <xf numFmtId="2" fontId="22" fillId="0" borderId="32" xfId="3" applyNumberFormat="1" applyBorder="1" applyAlignment="1">
      <alignment horizontal="center"/>
    </xf>
    <xf numFmtId="0" fontId="22" fillId="0" borderId="32" xfId="3" applyBorder="1" applyAlignment="1">
      <alignment horizontal="right"/>
    </xf>
    <xf numFmtId="0" fontId="22" fillId="0" borderId="32" xfId="3" applyBorder="1"/>
    <xf numFmtId="0" fontId="22" fillId="0" borderId="32" xfId="3" applyBorder="1" applyAlignment="1">
      <alignment horizontal="center"/>
    </xf>
    <xf numFmtId="0" fontId="22" fillId="0" borderId="44" xfId="3" applyBorder="1"/>
    <xf numFmtId="0" fontId="22" fillId="0" borderId="45" xfId="3" applyBorder="1"/>
    <xf numFmtId="1" fontId="22" fillId="0" borderId="0" xfId="3" applyNumberFormat="1" applyAlignment="1">
      <alignment horizontal="center"/>
    </xf>
    <xf numFmtId="0" fontId="22" fillId="0" borderId="46" xfId="3" applyBorder="1"/>
    <xf numFmtId="0" fontId="22" fillId="0" borderId="47" xfId="3" applyBorder="1"/>
    <xf numFmtId="0" fontId="22" fillId="0" borderId="9" xfId="3" applyBorder="1"/>
    <xf numFmtId="0" fontId="26" fillId="0" borderId="46" xfId="3" applyFont="1" applyBorder="1" applyAlignment="1">
      <alignment horizontal="center"/>
    </xf>
    <xf numFmtId="166" fontId="22" fillId="0" borderId="6" xfId="3" applyNumberFormat="1" applyBorder="1" applyAlignment="1">
      <alignment horizontal="center"/>
    </xf>
    <xf numFmtId="166" fontId="29" fillId="0" borderId="6" xfId="3" applyNumberFormat="1" applyFont="1" applyBorder="1" applyAlignment="1">
      <alignment horizontal="center"/>
    </xf>
    <xf numFmtId="0" fontId="26" fillId="0" borderId="9" xfId="3" applyFont="1" applyBorder="1" applyAlignment="1">
      <alignment horizontal="left"/>
    </xf>
    <xf numFmtId="0" fontId="26" fillId="0" borderId="9" xfId="3" applyFont="1" applyBorder="1" applyAlignment="1">
      <alignment horizontal="right"/>
    </xf>
    <xf numFmtId="0" fontId="26" fillId="0" borderId="46" xfId="3" applyFont="1" applyBorder="1" applyAlignment="1">
      <alignment horizontal="left"/>
    </xf>
    <xf numFmtId="2" fontId="22" fillId="0" borderId="0" xfId="3" applyNumberFormat="1"/>
    <xf numFmtId="2" fontId="22" fillId="3" borderId="6" xfId="3" applyNumberFormat="1" applyFill="1" applyBorder="1" applyAlignment="1">
      <alignment horizontal="center"/>
    </xf>
    <xf numFmtId="0" fontId="22" fillId="28" borderId="6" xfId="3" applyFill="1" applyBorder="1" applyAlignment="1" applyProtection="1">
      <alignment horizontal="center"/>
      <protection locked="0"/>
    </xf>
    <xf numFmtId="0" fontId="22" fillId="28" borderId="48" xfId="3" applyFill="1" applyBorder="1" applyAlignment="1" applyProtection="1">
      <alignment horizontal="center"/>
      <protection locked="0"/>
    </xf>
    <xf numFmtId="0" fontId="25" fillId="0" borderId="5" xfId="3" applyFont="1" applyBorder="1" applyAlignment="1">
      <alignment horizontal="center" vertical="top" wrapText="1"/>
    </xf>
    <xf numFmtId="0" fontId="29" fillId="0" borderId="5" xfId="3" applyFont="1" applyBorder="1" applyAlignment="1">
      <alignment horizontal="center" vertical="top" wrapText="1"/>
    </xf>
    <xf numFmtId="0" fontId="25" fillId="0" borderId="0" xfId="3" applyFont="1" applyAlignment="1">
      <alignment horizontal="center" wrapText="1"/>
    </xf>
    <xf numFmtId="0" fontId="23" fillId="0" borderId="6" xfId="3" applyFont="1" applyBorder="1" applyAlignment="1">
      <alignment horizontal="center" wrapText="1"/>
    </xf>
    <xf numFmtId="0" fontId="25" fillId="0" borderId="13" xfId="3" applyFont="1" applyBorder="1" applyAlignment="1">
      <alignment horizontal="center" wrapText="1"/>
    </xf>
    <xf numFmtId="0" fontId="22" fillId="0" borderId="1" xfId="3" applyBorder="1" applyAlignment="1">
      <alignment horizontal="center" wrapText="1"/>
    </xf>
    <xf numFmtId="0" fontId="26" fillId="0" borderId="49" xfId="3" applyFont="1" applyBorder="1" applyAlignment="1">
      <alignment horizontal="center" wrapText="1"/>
    </xf>
    <xf numFmtId="0" fontId="47" fillId="0" borderId="3" xfId="3" applyFont="1" applyBorder="1" applyAlignment="1">
      <alignment horizontal="center"/>
    </xf>
    <xf numFmtId="0" fontId="29" fillId="0" borderId="3" xfId="3" applyFont="1" applyBorder="1" applyAlignment="1">
      <alignment horizontal="center"/>
    </xf>
    <xf numFmtId="0" fontId="9" fillId="30" borderId="6" xfId="22" applyFill="1" applyBorder="1" applyAlignment="1">
      <alignment horizontal="center"/>
    </xf>
    <xf numFmtId="0" fontId="24" fillId="31" borderId="1" xfId="3" applyFont="1" applyFill="1" applyBorder="1" applyAlignment="1" applyProtection="1">
      <alignment horizontal="center"/>
      <protection locked="0"/>
    </xf>
    <xf numFmtId="0" fontId="35" fillId="0" borderId="46" xfId="3" applyFont="1" applyBorder="1"/>
    <xf numFmtId="0" fontId="35" fillId="0" borderId="50" xfId="3" applyFont="1" applyBorder="1" applyAlignment="1">
      <alignment horizontal="center"/>
    </xf>
    <xf numFmtId="0" fontId="24" fillId="0" borderId="50" xfId="3" applyFont="1" applyBorder="1" applyAlignment="1">
      <alignment horizontal="center"/>
    </xf>
    <xf numFmtId="9" fontId="22" fillId="27" borderId="6" xfId="3" applyNumberFormat="1" applyFill="1" applyBorder="1" applyAlignment="1" applyProtection="1">
      <alignment horizontal="center" vertical="center"/>
      <protection locked="0"/>
    </xf>
    <xf numFmtId="0" fontId="25" fillId="29" borderId="7" xfId="3" applyFont="1" applyFill="1" applyBorder="1" applyAlignment="1">
      <alignment horizontal="center" vertical="center" wrapText="1"/>
    </xf>
    <xf numFmtId="0" fontId="22" fillId="3" borderId="41" xfId="3" applyFill="1" applyBorder="1" applyAlignment="1">
      <alignment horizontal="center"/>
    </xf>
    <xf numFmtId="0" fontId="22" fillId="0" borderId="41" xfId="3" applyBorder="1"/>
    <xf numFmtId="0" fontId="22" fillId="0" borderId="54" xfId="3" applyBorder="1" applyAlignment="1">
      <alignment horizontal="right"/>
    </xf>
    <xf numFmtId="14" fontId="22" fillId="0" borderId="0" xfId="3" applyNumberFormat="1"/>
    <xf numFmtId="0" fontId="9" fillId="0" borderId="0" xfId="22" applyAlignment="1">
      <alignment horizontal="left"/>
    </xf>
    <xf numFmtId="0" fontId="22" fillId="0" borderId="0" xfId="3" applyAlignment="1" applyProtection="1">
      <alignment horizontal="center"/>
      <protection locked="0"/>
    </xf>
    <xf numFmtId="0" fontId="22" fillId="19" borderId="11" xfId="3" applyFill="1" applyBorder="1"/>
    <xf numFmtId="0" fontId="22" fillId="0" borderId="14" xfId="3" applyBorder="1"/>
    <xf numFmtId="0" fontId="22" fillId="0" borderId="15" xfId="3" applyBorder="1"/>
    <xf numFmtId="0" fontId="22" fillId="3" borderId="14" xfId="3" applyFill="1" applyBorder="1"/>
    <xf numFmtId="9" fontId="0" fillId="0" borderId="6" xfId="0" applyNumberFormat="1" applyBorder="1" applyAlignment="1">
      <alignment horizontal="center" vertical="center"/>
    </xf>
    <xf numFmtId="0" fontId="22" fillId="19" borderId="14" xfId="3" applyFill="1" applyBorder="1"/>
    <xf numFmtId="0" fontId="22" fillId="0" borderId="15" xfId="3" applyBorder="1" applyAlignment="1">
      <alignment horizontal="center"/>
    </xf>
    <xf numFmtId="0" fontId="22" fillId="33" borderId="14" xfId="3" applyFill="1" applyBorder="1"/>
    <xf numFmtId="0" fontId="22" fillId="33" borderId="6" xfId="3" applyFill="1" applyBorder="1" applyAlignment="1">
      <alignment horizontal="center"/>
    </xf>
    <xf numFmtId="0" fontId="0" fillId="0" borderId="13" xfId="0" applyBorder="1"/>
    <xf numFmtId="0" fontId="0" fillId="0" borderId="10" xfId="0" applyBorder="1"/>
    <xf numFmtId="16" fontId="22" fillId="0" borderId="0" xfId="0" applyNumberFormat="1" applyFont="1"/>
    <xf numFmtId="0" fontId="22" fillId="0" borderId="6" xfId="0" applyFont="1" applyBorder="1" applyAlignment="1">
      <alignment horizontal="center"/>
    </xf>
    <xf numFmtId="0" fontId="0" fillId="0" borderId="6" xfId="0" applyBorder="1"/>
    <xf numFmtId="0" fontId="22" fillId="0" borderId="6" xfId="3" applyBorder="1" applyAlignment="1" applyProtection="1">
      <alignment horizontal="center"/>
      <protection locked="0"/>
    </xf>
    <xf numFmtId="0" fontId="9" fillId="20" borderId="6" xfId="20" applyFont="1" applyFill="1" applyBorder="1" applyAlignment="1" applyProtection="1">
      <alignment horizontal="center" vertical="center"/>
      <protection locked="0"/>
    </xf>
    <xf numFmtId="0" fontId="106" fillId="0" borderId="0" xfId="19" applyFont="1" applyAlignment="1">
      <alignment vertical="center"/>
    </xf>
    <xf numFmtId="164" fontId="25" fillId="0" borderId="1" xfId="3" applyNumberFormat="1" applyFont="1" applyBorder="1" applyAlignment="1">
      <alignment horizontal="center" vertical="top" wrapText="1"/>
    </xf>
    <xf numFmtId="0" fontId="0" fillId="0" borderId="0" xfId="0" applyAlignment="1" applyProtection="1">
      <alignment horizontal="center" vertical="center" wrapText="1"/>
      <protection locked="0"/>
    </xf>
    <xf numFmtId="164" fontId="62" fillId="3" borderId="0" xfId="3" applyNumberFormat="1" applyFont="1" applyFill="1" applyAlignment="1">
      <alignment horizontal="right"/>
    </xf>
    <xf numFmtId="166" fontId="30" fillId="3" borderId="6" xfId="3" applyNumberFormat="1" applyFont="1" applyFill="1" applyBorder="1" applyAlignment="1" applyProtection="1">
      <alignment horizontal="center" wrapText="1"/>
      <protection hidden="1"/>
    </xf>
    <xf numFmtId="0" fontId="22" fillId="0" borderId="11" xfId="3" applyBorder="1"/>
    <xf numFmtId="0" fontId="22" fillId="0" borderId="12" xfId="3" applyBorder="1"/>
    <xf numFmtId="0" fontId="22" fillId="0" borderId="14" xfId="3" applyBorder="1" applyProtection="1">
      <protection locked="0"/>
    </xf>
    <xf numFmtId="185" fontId="22" fillId="0" borderId="13" xfId="3" applyNumberFormat="1" applyBorder="1" applyProtection="1">
      <protection locked="0"/>
    </xf>
    <xf numFmtId="0" fontId="22" fillId="0" borderId="15" xfId="3" applyBorder="1" applyProtection="1">
      <protection locked="0"/>
    </xf>
    <xf numFmtId="0" fontId="22" fillId="0" borderId="1" xfId="3" applyBorder="1" applyProtection="1">
      <protection locked="0"/>
    </xf>
    <xf numFmtId="2" fontId="22" fillId="0" borderId="10" xfId="3" applyNumberFormat="1" applyBorder="1" applyProtection="1">
      <protection locked="0"/>
    </xf>
    <xf numFmtId="186" fontId="22" fillId="0" borderId="1" xfId="3" applyNumberFormat="1" applyBorder="1"/>
    <xf numFmtId="186" fontId="22" fillId="0" borderId="10" xfId="3" applyNumberFormat="1" applyBorder="1" applyProtection="1">
      <protection locked="0"/>
    </xf>
    <xf numFmtId="2" fontId="30" fillId="3" borderId="6" xfId="3" applyNumberFormat="1" applyFont="1" applyFill="1" applyBorder="1" applyAlignment="1" applyProtection="1">
      <alignment horizontal="center"/>
      <protection hidden="1"/>
    </xf>
    <xf numFmtId="0" fontId="140" fillId="8" borderId="2" xfId="3" applyFont="1" applyFill="1" applyBorder="1" applyAlignment="1" applyProtection="1">
      <alignment horizontal="left"/>
      <protection locked="0"/>
    </xf>
    <xf numFmtId="166" fontId="27" fillId="9" borderId="6" xfId="3" applyNumberFormat="1" applyFont="1" applyFill="1" applyBorder="1" applyAlignment="1" applyProtection="1">
      <alignment horizontal="center"/>
      <protection locked="0"/>
    </xf>
    <xf numFmtId="187" fontId="22" fillId="0" borderId="13" xfId="3" applyNumberFormat="1" applyBorder="1" applyProtection="1">
      <protection locked="0"/>
    </xf>
    <xf numFmtId="186" fontId="140" fillId="8" borderId="8" xfId="3" applyNumberFormat="1" applyFont="1" applyFill="1" applyBorder="1" applyAlignment="1" applyProtection="1">
      <alignment horizontal="right"/>
      <protection locked="0"/>
    </xf>
    <xf numFmtId="186" fontId="77" fillId="3" borderId="0" xfId="3" applyNumberFormat="1" applyFont="1" applyFill="1" applyAlignment="1">
      <alignment horizontal="right" vertical="center"/>
    </xf>
    <xf numFmtId="166" fontId="77" fillId="3" borderId="2" xfId="3" applyNumberFormat="1" applyFont="1" applyFill="1" applyBorder="1" applyAlignment="1">
      <alignment horizontal="left" vertical="center"/>
    </xf>
    <xf numFmtId="0" fontId="40" fillId="0" borderId="7" xfId="15" quotePrefix="1" applyFont="1" applyBorder="1"/>
    <xf numFmtId="0" fontId="40" fillId="0" borderId="2" xfId="15" applyFont="1" applyBorder="1"/>
    <xf numFmtId="0" fontId="22" fillId="0" borderId="9" xfId="0" applyFont="1" applyBorder="1" applyAlignment="1">
      <alignment horizontal="left" vertical="center"/>
    </xf>
    <xf numFmtId="0" fontId="0" fillId="0" borderId="9" xfId="0" applyBorder="1" applyAlignment="1">
      <alignment horizontal="left" vertical="center"/>
    </xf>
    <xf numFmtId="0" fontId="22" fillId="0" borderId="1" xfId="0" applyFont="1" applyBorder="1" applyAlignment="1">
      <alignment horizontal="left" vertical="center"/>
    </xf>
    <xf numFmtId="0" fontId="0" fillId="0" borderId="1" xfId="0" applyBorder="1" applyAlignment="1">
      <alignment horizontal="left" vertical="center"/>
    </xf>
    <xf numFmtId="2" fontId="0" fillId="0" borderId="24" xfId="0" applyNumberFormat="1" applyBorder="1"/>
    <xf numFmtId="0" fontId="0" fillId="0" borderId="25" xfId="0" applyBorder="1"/>
    <xf numFmtId="0" fontId="0" fillId="0" borderId="26" xfId="0" applyBorder="1"/>
    <xf numFmtId="2" fontId="0" fillId="0" borderId="16" xfId="0" applyNumberFormat="1" applyBorder="1"/>
    <xf numFmtId="0" fontId="0" fillId="0" borderId="27" xfId="0" applyBorder="1"/>
    <xf numFmtId="0" fontId="0" fillId="0" borderId="55" xfId="0" applyBorder="1" applyAlignment="1">
      <alignment horizontal="left" vertical="center"/>
    </xf>
    <xf numFmtId="165" fontId="22" fillId="0" borderId="56" xfId="0" applyNumberFormat="1" applyFont="1" applyBorder="1"/>
    <xf numFmtId="177" fontId="22" fillId="0" borderId="38" xfId="0" applyNumberFormat="1" applyFont="1" applyBorder="1" applyAlignment="1">
      <alignment horizontal="left" vertical="center"/>
    </xf>
    <xf numFmtId="0" fontId="0" fillId="0" borderId="39" xfId="0" applyBorder="1" applyAlignment="1">
      <alignment horizontal="left" vertical="center"/>
    </xf>
    <xf numFmtId="0" fontId="0" fillId="0" borderId="16" xfId="0" applyBorder="1" applyAlignment="1">
      <alignment horizontal="left" vertical="center"/>
    </xf>
    <xf numFmtId="165" fontId="22" fillId="0" borderId="27" xfId="0" applyNumberFormat="1" applyFont="1" applyBorder="1" applyAlignment="1">
      <alignment horizontal="left" vertical="center"/>
    </xf>
    <xf numFmtId="0" fontId="0" fillId="0" borderId="28" xfId="0" applyBorder="1"/>
    <xf numFmtId="0" fontId="0" fillId="0" borderId="29" xfId="0" applyBorder="1"/>
    <xf numFmtId="0" fontId="0" fillId="0" borderId="30" xfId="0" applyBorder="1"/>
    <xf numFmtId="2" fontId="22" fillId="0" borderId="16" xfId="0" applyNumberFormat="1" applyFont="1" applyBorder="1"/>
    <xf numFmtId="0" fontId="26" fillId="0" borderId="0" xfId="0" applyFont="1"/>
    <xf numFmtId="0" fontId="0" fillId="0" borderId="2" xfId="0" applyBorder="1"/>
    <xf numFmtId="0" fontId="41" fillId="0" borderId="24" xfId="15" applyFont="1" applyBorder="1" applyAlignment="1">
      <alignment horizontal="center"/>
    </xf>
    <xf numFmtId="0" fontId="41" fillId="0" borderId="25" xfId="15" applyFont="1" applyBorder="1" applyAlignment="1">
      <alignment horizontal="center"/>
    </xf>
    <xf numFmtId="0" fontId="40" fillId="0" borderId="25" xfId="15" applyFont="1" applyBorder="1" applyAlignment="1">
      <alignment horizontal="center"/>
    </xf>
    <xf numFmtId="0" fontId="41" fillId="0" borderId="25" xfId="15" applyFont="1" applyBorder="1"/>
    <xf numFmtId="0" fontId="40" fillId="0" borderId="25" xfId="15" applyFont="1" applyBorder="1"/>
    <xf numFmtId="0" fontId="40" fillId="0" borderId="26" xfId="15" applyFont="1" applyBorder="1"/>
    <xf numFmtId="0" fontId="40" fillId="0" borderId="33" xfId="15" applyFont="1" applyBorder="1"/>
    <xf numFmtId="0" fontId="41" fillId="0" borderId="0" xfId="15" applyFont="1" applyAlignment="1">
      <alignment horizontal="center"/>
    </xf>
    <xf numFmtId="0" fontId="37" fillId="0" borderId="0" xfId="17" applyFont="1" applyAlignment="1">
      <alignment horizontal="center"/>
    </xf>
    <xf numFmtId="0" fontId="40" fillId="0" borderId="0" xfId="15" applyFont="1" applyAlignment="1">
      <alignment horizontal="left"/>
    </xf>
    <xf numFmtId="0" fontId="40" fillId="0" borderId="27" xfId="15" applyFont="1" applyBorder="1"/>
    <xf numFmtId="0" fontId="40" fillId="0" borderId="16" xfId="15" applyFont="1" applyBorder="1" applyAlignment="1">
      <alignment horizontal="right"/>
    </xf>
    <xf numFmtId="0" fontId="40" fillId="0" borderId="0" xfId="15" applyFont="1" applyAlignment="1">
      <alignment horizontal="right"/>
    </xf>
    <xf numFmtId="169" fontId="40" fillId="0" borderId="27" xfId="16" applyNumberFormat="1" applyFont="1" applyFill="1" applyBorder="1"/>
    <xf numFmtId="0" fontId="39" fillId="0" borderId="0" xfId="15" applyFont="1" applyAlignment="1">
      <alignment horizontal="right"/>
    </xf>
    <xf numFmtId="0" fontId="39" fillId="0" borderId="0" xfId="15" applyFont="1" applyAlignment="1">
      <alignment horizontal="left"/>
    </xf>
    <xf numFmtId="0" fontId="40" fillId="0" borderId="16" xfId="15" applyFont="1" applyBorder="1"/>
    <xf numFmtId="0" fontId="41" fillId="0" borderId="28" xfId="15" applyFont="1" applyBorder="1"/>
    <xf numFmtId="0" fontId="41" fillId="0" borderId="29" xfId="15" applyFont="1" applyBorder="1"/>
    <xf numFmtId="0" fontId="40" fillId="0" borderId="29" xfId="15" applyFont="1" applyBorder="1"/>
    <xf numFmtId="0" fontId="40" fillId="0" borderId="29" xfId="15" applyFont="1" applyBorder="1" applyAlignment="1">
      <alignment horizontal="center"/>
    </xf>
    <xf numFmtId="0" fontId="30" fillId="3" borderId="13" xfId="3" applyFont="1" applyFill="1" applyBorder="1" applyAlignment="1">
      <alignment horizontal="left" wrapText="1"/>
    </xf>
    <xf numFmtId="169" fontId="40" fillId="3" borderId="0" xfId="16" applyNumberFormat="1" applyFont="1" applyFill="1" applyBorder="1" applyProtection="1"/>
    <xf numFmtId="169" fontId="38" fillId="0" borderId="17" xfId="16" applyNumberFormat="1" applyFont="1" applyBorder="1" applyAlignment="1" applyProtection="1">
      <alignment horizontal="center" vertical="center" wrapText="1"/>
    </xf>
    <xf numFmtId="0" fontId="39" fillId="0" borderId="6" xfId="15" applyFont="1" applyBorder="1"/>
    <xf numFmtId="44" fontId="37" fillId="0" borderId="6" xfId="11" applyFont="1" applyFill="1" applyBorder="1" applyProtection="1"/>
    <xf numFmtId="44" fontId="37" fillId="0" borderId="6" xfId="15" applyNumberFormat="1" applyFont="1" applyBorder="1"/>
    <xf numFmtId="44" fontId="40" fillId="0" borderId="6" xfId="15" applyNumberFormat="1" applyFont="1" applyBorder="1"/>
    <xf numFmtId="0" fontId="39" fillId="0" borderId="6" xfId="15" applyFont="1" applyBorder="1" applyAlignment="1">
      <alignment wrapText="1"/>
    </xf>
    <xf numFmtId="0" fontId="39" fillId="3" borderId="6" xfId="15" applyFont="1" applyFill="1" applyBorder="1" applyAlignment="1">
      <alignment wrapText="1"/>
    </xf>
    <xf numFmtId="0" fontId="39" fillId="0" borderId="3" xfId="15" applyFont="1" applyBorder="1"/>
    <xf numFmtId="0" fontId="39" fillId="7" borderId="6" xfId="15" applyFont="1" applyFill="1" applyBorder="1" applyAlignment="1">
      <alignment horizontal="left"/>
    </xf>
    <xf numFmtId="0" fontId="39" fillId="7" borderId="6" xfId="15" applyFont="1" applyFill="1" applyBorder="1" applyAlignment="1">
      <alignment horizontal="center"/>
    </xf>
    <xf numFmtId="0" fontId="40" fillId="7" borderId="6" xfId="15" applyFont="1" applyFill="1" applyBorder="1" applyAlignment="1">
      <alignment horizontal="center"/>
    </xf>
    <xf numFmtId="44" fontId="40" fillId="7" borderId="6" xfId="15" applyNumberFormat="1" applyFont="1" applyFill="1" applyBorder="1"/>
    <xf numFmtId="0" fontId="40" fillId="0" borderId="13" xfId="15" applyFont="1" applyBorder="1"/>
    <xf numFmtId="169" fontId="40" fillId="0" borderId="0" xfId="16" applyNumberFormat="1" applyFont="1" applyFill="1" applyBorder="1" applyProtection="1"/>
    <xf numFmtId="169" fontId="40" fillId="0" borderId="15" xfId="16" applyNumberFormat="1" applyFont="1" applyFill="1" applyBorder="1" applyProtection="1"/>
    <xf numFmtId="0" fontId="41" fillId="0" borderId="15" xfId="15" applyFont="1" applyBorder="1"/>
    <xf numFmtId="0" fontId="41" fillId="0" borderId="10" xfId="15" applyFont="1" applyBorder="1"/>
    <xf numFmtId="0" fontId="0" fillId="0" borderId="24" xfId="0" applyBorder="1"/>
    <xf numFmtId="0" fontId="102" fillId="0" borderId="0" xfId="0" applyFont="1"/>
    <xf numFmtId="165" fontId="22" fillId="0" borderId="9" xfId="3" applyNumberFormat="1" applyBorder="1" applyAlignment="1">
      <alignment horizontal="center"/>
    </xf>
    <xf numFmtId="0" fontId="37" fillId="0" borderId="11" xfId="0" applyFont="1" applyBorder="1"/>
    <xf numFmtId="0" fontId="0" fillId="0" borderId="12" xfId="0" applyBorder="1"/>
    <xf numFmtId="0" fontId="43" fillId="0" borderId="14" xfId="0" applyFont="1" applyBorder="1"/>
    <xf numFmtId="0" fontId="43" fillId="0" borderId="14" xfId="0" applyFont="1" applyBorder="1" applyAlignment="1">
      <alignment vertical="top"/>
    </xf>
    <xf numFmtId="0" fontId="0" fillId="0" borderId="15" xfId="0" applyBorder="1" applyAlignment="1">
      <alignment vertical="top"/>
    </xf>
    <xf numFmtId="0" fontId="0" fillId="0" borderId="1" xfId="0" applyBorder="1" applyAlignment="1">
      <alignment vertical="top"/>
    </xf>
    <xf numFmtId="0" fontId="0" fillId="0" borderId="10" xfId="0" applyBorder="1" applyAlignment="1">
      <alignment vertical="top"/>
    </xf>
    <xf numFmtId="0" fontId="0" fillId="0" borderId="28" xfId="0" applyBorder="1" applyAlignment="1">
      <alignment horizontal="left" vertical="center"/>
    </xf>
    <xf numFmtId="0" fontId="0" fillId="0" borderId="29" xfId="0" applyBorder="1" applyAlignment="1">
      <alignment horizontal="left" vertical="center"/>
    </xf>
    <xf numFmtId="165" fontId="22" fillId="0" borderId="30" xfId="0" applyNumberFormat="1" applyFont="1" applyBorder="1" applyAlignment="1">
      <alignment horizontal="left" vertical="center"/>
    </xf>
    <xf numFmtId="165" fontId="22" fillId="0" borderId="0" xfId="0" applyNumberFormat="1" applyFont="1" applyAlignment="1">
      <alignment horizontal="left" vertical="center"/>
    </xf>
    <xf numFmtId="0" fontId="22" fillId="0" borderId="3" xfId="0" applyFont="1" applyBorder="1"/>
    <xf numFmtId="0" fontId="22" fillId="0" borderId="4" xfId="0" applyFont="1" applyBorder="1"/>
    <xf numFmtId="0" fontId="25" fillId="0" borderId="4" xfId="0" applyFont="1" applyBorder="1"/>
    <xf numFmtId="0" fontId="0" fillId="0" borderId="5" xfId="0" applyBorder="1"/>
    <xf numFmtId="0" fontId="0" fillId="0" borderId="3" xfId="0" applyBorder="1"/>
    <xf numFmtId="0" fontId="22" fillId="0" borderId="5" xfId="0" applyFont="1" applyBorder="1"/>
    <xf numFmtId="0" fontId="22" fillId="0" borderId="0" xfId="0" applyFont="1" applyAlignment="1">
      <alignment horizontal="left"/>
    </xf>
    <xf numFmtId="0" fontId="0" fillId="0" borderId="58" xfId="0" applyBorder="1"/>
    <xf numFmtId="0" fontId="0" fillId="0" borderId="58" xfId="0" applyBorder="1" applyAlignment="1">
      <alignment horizontal="center"/>
    </xf>
    <xf numFmtId="0" fontId="38" fillId="0" borderId="6" xfId="15" applyFont="1" applyBorder="1" applyAlignment="1">
      <alignment horizontal="center"/>
    </xf>
    <xf numFmtId="0" fontId="20" fillId="0" borderId="14" xfId="4" applyBorder="1" applyAlignment="1">
      <alignment horizontal="left" wrapText="1"/>
    </xf>
    <xf numFmtId="0" fontId="128" fillId="0" borderId="0" xfId="4" applyFont="1" applyAlignment="1">
      <alignment horizontal="left"/>
    </xf>
    <xf numFmtId="0" fontId="49" fillId="0" borderId="15" xfId="4" applyFont="1" applyBorder="1"/>
    <xf numFmtId="0" fontId="20" fillId="0" borderId="11" xfId="4" applyBorder="1" applyAlignment="1">
      <alignment horizontal="left" wrapText="1"/>
    </xf>
    <xf numFmtId="0" fontId="20" fillId="0" borderId="9" xfId="4" applyBorder="1" applyAlignment="1">
      <alignment wrapText="1"/>
    </xf>
    <xf numFmtId="0" fontId="0" fillId="0" borderId="9" xfId="0" applyBorder="1" applyAlignment="1">
      <alignment wrapText="1"/>
    </xf>
    <xf numFmtId="0" fontId="49" fillId="0" borderId="12" xfId="4" applyFont="1" applyBorder="1"/>
    <xf numFmtId="0" fontId="20" fillId="0" borderId="13" xfId="4" applyBorder="1" applyAlignment="1">
      <alignment horizontal="left" wrapText="1"/>
    </xf>
    <xf numFmtId="0" fontId="20" fillId="0" borderId="1" xfId="4" applyBorder="1" applyAlignment="1">
      <alignment wrapText="1"/>
    </xf>
    <xf numFmtId="0" fontId="0" fillId="0" borderId="1" xfId="0" applyBorder="1" applyAlignment="1">
      <alignment wrapText="1"/>
    </xf>
    <xf numFmtId="0" fontId="49" fillId="0" borderId="10" xfId="4" applyFont="1" applyBorder="1"/>
    <xf numFmtId="0" fontId="115" fillId="0" borderId="14" xfId="4" applyFont="1" applyBorder="1" applyAlignment="1">
      <alignment horizontal="left" wrapText="1"/>
    </xf>
    <xf numFmtId="0" fontId="35" fillId="0" borderId="0" xfId="0" applyFont="1" applyAlignment="1">
      <alignment wrapText="1"/>
    </xf>
    <xf numFmtId="0" fontId="35" fillId="0" borderId="14" xfId="0" applyFont="1" applyBorder="1"/>
    <xf numFmtId="0" fontId="35" fillId="0" borderId="15" xfId="0" applyFont="1" applyBorder="1"/>
    <xf numFmtId="0" fontId="151" fillId="0" borderId="15" xfId="4" applyFont="1" applyBorder="1"/>
    <xf numFmtId="0" fontId="22" fillId="0" borderId="6" xfId="0" applyFont="1" applyBorder="1" applyAlignment="1">
      <alignment horizontal="center" vertical="center"/>
    </xf>
    <xf numFmtId="0" fontId="6" fillId="22" borderId="6" xfId="20" applyFont="1" applyFill="1" applyBorder="1" applyAlignment="1" applyProtection="1">
      <alignment horizontal="center" vertical="center"/>
      <protection locked="0"/>
    </xf>
    <xf numFmtId="14" fontId="11" fillId="0" borderId="0" xfId="20" applyNumberFormat="1" applyAlignment="1" applyProtection="1">
      <alignment horizontal="left" vertical="center"/>
      <protection locked="0"/>
    </xf>
    <xf numFmtId="0" fontId="11" fillId="0" borderId="0" xfId="20" applyAlignment="1">
      <alignment horizontal="left" vertical="center"/>
    </xf>
    <xf numFmtId="0" fontId="11" fillId="0" borderId="0" xfId="20" applyAlignment="1">
      <alignment horizontal="left" vertical="center" wrapText="1"/>
    </xf>
    <xf numFmtId="0" fontId="35" fillId="0" borderId="0" xfId="0" quotePrefix="1" applyFont="1" applyAlignment="1">
      <alignment horizontal="left" vertical="top" wrapText="1"/>
    </xf>
    <xf numFmtId="0" fontId="32" fillId="0" borderId="14" xfId="4" applyFont="1" applyBorder="1" applyAlignment="1">
      <alignment horizontal="left" wrapText="1"/>
    </xf>
    <xf numFmtId="3" fontId="39" fillId="0" borderId="6" xfId="15" applyNumberFormat="1" applyFont="1" applyBorder="1" applyAlignment="1">
      <alignment horizontal="center"/>
    </xf>
    <xf numFmtId="3" fontId="39" fillId="3" borderId="6" xfId="15" applyNumberFormat="1" applyFont="1" applyFill="1" applyBorder="1" applyAlignment="1">
      <alignment horizontal="center"/>
    </xf>
    <xf numFmtId="3" fontId="39" fillId="0" borderId="3" xfId="15" applyNumberFormat="1" applyFont="1" applyBorder="1" applyAlignment="1">
      <alignment horizontal="center"/>
    </xf>
    <xf numFmtId="0" fontId="37" fillId="0" borderId="5" xfId="15" applyFont="1" applyBorder="1" applyAlignment="1">
      <alignment horizontal="center" vertical="top" wrapText="1"/>
    </xf>
    <xf numFmtId="0" fontId="37" fillId="0" borderId="2" xfId="15" applyFont="1" applyBorder="1" applyAlignment="1">
      <alignment horizontal="center" vertical="top" wrapText="1"/>
    </xf>
    <xf numFmtId="169" fontId="38" fillId="0" borderId="17" xfId="16" applyNumberFormat="1" applyFont="1" applyBorder="1" applyAlignment="1">
      <alignment horizontal="center" vertical="top" wrapText="1"/>
    </xf>
    <xf numFmtId="0" fontId="37" fillId="7" borderId="6" xfId="15" applyFont="1" applyFill="1" applyBorder="1" applyAlignment="1">
      <alignment horizontal="center" vertical="top" wrapText="1"/>
    </xf>
    <xf numFmtId="0" fontId="37" fillId="0" borderId="6" xfId="15" applyFont="1" applyBorder="1" applyAlignment="1">
      <alignment horizontal="center" vertical="top" wrapText="1"/>
    </xf>
    <xf numFmtId="0" fontId="37" fillId="0" borderId="7" xfId="15" applyFont="1" applyBorder="1" applyAlignment="1">
      <alignment horizontal="center" vertical="top" wrapText="1"/>
    </xf>
    <xf numFmtId="0" fontId="38" fillId="7" borderId="6" xfId="15" applyFont="1" applyFill="1" applyBorder="1" applyAlignment="1">
      <alignment horizontal="center" vertical="top" wrapText="1"/>
    </xf>
    <xf numFmtId="0" fontId="37" fillId="0" borderId="6" xfId="15" applyFont="1" applyBorder="1" applyAlignment="1">
      <alignment vertical="top" wrapText="1"/>
    </xf>
    <xf numFmtId="0" fontId="38" fillId="0" borderId="6" xfId="15" applyFont="1" applyBorder="1" applyAlignment="1">
      <alignment horizontal="center" vertical="top"/>
    </xf>
    <xf numFmtId="0" fontId="38" fillId="7" borderId="6" xfId="15" applyFont="1" applyFill="1" applyBorder="1" applyAlignment="1">
      <alignment horizontal="center" vertical="top"/>
    </xf>
    <xf numFmtId="0" fontId="38" fillId="0" borderId="6" xfId="15" applyFont="1" applyBorder="1" applyAlignment="1">
      <alignment horizontal="center" vertical="top" wrapText="1"/>
    </xf>
    <xf numFmtId="0" fontId="38" fillId="0" borderId="5" xfId="15" applyFont="1" applyBorder="1" applyAlignment="1">
      <alignment horizontal="center" vertical="top"/>
    </xf>
    <xf numFmtId="0" fontId="38" fillId="0" borderId="7" xfId="15" quotePrefix="1" applyFont="1" applyBorder="1"/>
    <xf numFmtId="169" fontId="40" fillId="0" borderId="30" xfId="16" applyNumberFormat="1" applyFont="1" applyBorder="1"/>
    <xf numFmtId="14" fontId="11" fillId="0" borderId="0" xfId="20" applyNumberFormat="1" applyAlignment="1" applyProtection="1">
      <alignment horizontal="left" vertical="top"/>
      <protection locked="0"/>
    </xf>
    <xf numFmtId="0" fontId="11" fillId="0" borderId="0" xfId="20" applyAlignment="1" applyProtection="1">
      <alignment horizontal="left" vertical="top"/>
      <protection locked="0"/>
    </xf>
    <xf numFmtId="0" fontId="11" fillId="0" borderId="0" xfId="20" applyAlignment="1">
      <alignment horizontal="left" vertical="top"/>
    </xf>
    <xf numFmtId="14" fontId="11" fillId="0" borderId="0" xfId="20" applyNumberFormat="1" applyAlignment="1">
      <alignment horizontal="left" vertical="top"/>
    </xf>
    <xf numFmtId="166" fontId="11" fillId="0" borderId="0" xfId="20" applyNumberFormat="1" applyAlignment="1" applyProtection="1">
      <alignment horizontal="left" vertical="top"/>
      <protection locked="0"/>
    </xf>
    <xf numFmtId="0" fontId="11" fillId="0" borderId="0" xfId="20" applyAlignment="1" applyProtection="1">
      <alignment horizontal="left" vertical="top" wrapText="1"/>
      <protection locked="0"/>
    </xf>
    <xf numFmtId="0" fontId="10" fillId="0" borderId="0" xfId="20" applyFont="1" applyAlignment="1" applyProtection="1">
      <alignment horizontal="left" vertical="top" wrapText="1"/>
      <protection locked="0"/>
    </xf>
    <xf numFmtId="0" fontId="8" fillId="0" borderId="0" xfId="20" applyFont="1" applyAlignment="1" applyProtection="1">
      <alignment horizontal="left" vertical="top" wrapText="1"/>
      <protection locked="0"/>
    </xf>
    <xf numFmtId="0" fontId="11" fillId="0" borderId="0" xfId="20" applyAlignment="1">
      <alignment horizontal="left" vertical="top" wrapText="1"/>
    </xf>
    <xf numFmtId="0" fontId="7" fillId="0" borderId="0" xfId="20" applyFont="1" applyAlignment="1">
      <alignment horizontal="left" vertical="top" wrapText="1"/>
    </xf>
    <xf numFmtId="180" fontId="46" fillId="0" borderId="0" xfId="0" applyNumberFormat="1" applyFont="1" applyAlignment="1">
      <alignment wrapText="1"/>
    </xf>
    <xf numFmtId="0" fontId="0" fillId="16" borderId="13" xfId="0" applyFill="1" applyBorder="1"/>
    <xf numFmtId="0" fontId="25" fillId="16" borderId="1" xfId="0" applyFont="1" applyFill="1" applyBorder="1"/>
    <xf numFmtId="0" fontId="0" fillId="16" borderId="10" xfId="0" applyFill="1" applyBorder="1"/>
    <xf numFmtId="0" fontId="40" fillId="0" borderId="11" xfId="15" applyFont="1" applyBorder="1"/>
    <xf numFmtId="0" fontId="40" fillId="0" borderId="9" xfId="15" applyFont="1" applyBorder="1"/>
    <xf numFmtId="0" fontId="40" fillId="0" borderId="12" xfId="15" applyFont="1" applyBorder="1"/>
    <xf numFmtId="0" fontId="40" fillId="0" borderId="14" xfId="15" applyFont="1" applyBorder="1"/>
    <xf numFmtId="0" fontId="41" fillId="0" borderId="13" xfId="15" applyFont="1" applyBorder="1"/>
    <xf numFmtId="0" fontId="41" fillId="0" borderId="1" xfId="15" applyFont="1" applyBorder="1"/>
    <xf numFmtId="0" fontId="22" fillId="0" borderId="25" xfId="0" applyFont="1" applyBorder="1"/>
    <xf numFmtId="2" fontId="22" fillId="0" borderId="0" xfId="0" applyNumberFormat="1" applyFont="1"/>
    <xf numFmtId="2" fontId="22" fillId="0" borderId="11" xfId="0" applyNumberFormat="1" applyFont="1" applyBorder="1"/>
    <xf numFmtId="2" fontId="22" fillId="0" borderId="14" xfId="0" applyNumberFormat="1" applyFont="1" applyBorder="1"/>
    <xf numFmtId="2" fontId="22" fillId="0" borderId="13" xfId="0" applyNumberFormat="1" applyFont="1" applyBorder="1"/>
    <xf numFmtId="180" fontId="46" fillId="0" borderId="0" xfId="0" applyNumberFormat="1" applyFont="1" applyAlignment="1">
      <alignment horizontal="left" wrapText="1"/>
    </xf>
    <xf numFmtId="0" fontId="43" fillId="0" borderId="1" xfId="0" applyFont="1" applyBorder="1"/>
    <xf numFmtId="0" fontId="22" fillId="0" borderId="39" xfId="0" applyFont="1" applyBorder="1"/>
    <xf numFmtId="0" fontId="161" fillId="0" borderId="0" xfId="0" applyFont="1"/>
    <xf numFmtId="2" fontId="22" fillId="0" borderId="0" xfId="0" applyNumberFormat="1" applyFont="1" applyAlignment="1">
      <alignment vertical="top"/>
    </xf>
    <xf numFmtId="0" fontId="4" fillId="0" borderId="0" xfId="20" applyFont="1" applyAlignment="1">
      <alignment horizontal="left" vertical="top" wrapText="1"/>
    </xf>
    <xf numFmtId="0" fontId="4" fillId="0" borderId="0" xfId="20" applyFont="1" applyAlignment="1" applyProtection="1">
      <alignment horizontal="left" vertical="top" wrapText="1"/>
      <protection locked="0"/>
    </xf>
    <xf numFmtId="0" fontId="3" fillId="0" borderId="0" xfId="20" applyFont="1" applyAlignment="1">
      <alignment horizontal="left" vertical="top" wrapText="1"/>
    </xf>
    <xf numFmtId="0" fontId="2" fillId="0" borderId="0" xfId="20" applyFont="1" applyAlignment="1">
      <alignment horizontal="left" vertical="top" wrapText="1"/>
    </xf>
    <xf numFmtId="0" fontId="1" fillId="0" borderId="0" xfId="20" applyFont="1" applyAlignment="1">
      <alignment horizontal="left" vertical="top" wrapText="1"/>
    </xf>
    <xf numFmtId="0" fontId="47" fillId="0" borderId="0" xfId="0" applyFont="1"/>
    <xf numFmtId="165" fontId="114" fillId="21" borderId="0" xfId="20" applyNumberFormat="1" applyFont="1" applyFill="1" applyProtection="1">
      <protection locked="0"/>
    </xf>
    <xf numFmtId="165" fontId="11" fillId="21" borderId="0" xfId="20" applyNumberFormat="1" applyFill="1"/>
    <xf numFmtId="0" fontId="115" fillId="21" borderId="11" xfId="20" applyFont="1" applyFill="1" applyBorder="1" applyAlignment="1">
      <alignment horizontal="center" vertical="center" wrapText="1"/>
    </xf>
    <xf numFmtId="0" fontId="115" fillId="21" borderId="9" xfId="20" applyFont="1" applyFill="1" applyBorder="1" applyAlignment="1">
      <alignment horizontal="center" vertical="center" wrapText="1"/>
    </xf>
    <xf numFmtId="0" fontId="115" fillId="0" borderId="14" xfId="20" applyFont="1" applyBorder="1" applyAlignment="1">
      <alignment horizontal="center" vertical="center" wrapText="1"/>
    </xf>
    <xf numFmtId="0" fontId="115" fillId="0" borderId="0" xfId="20" applyFont="1" applyAlignment="1">
      <alignment horizontal="center" vertical="center" wrapText="1"/>
    </xf>
    <xf numFmtId="165" fontId="11" fillId="21" borderId="15" xfId="20" applyNumberFormat="1" applyFill="1" applyBorder="1"/>
    <xf numFmtId="0" fontId="11" fillId="3" borderId="0" xfId="20" applyFill="1"/>
    <xf numFmtId="0" fontId="11" fillId="0" borderId="0" xfId="20"/>
    <xf numFmtId="165" fontId="115" fillId="21" borderId="0" xfId="20" applyNumberFormat="1" applyFont="1" applyFill="1" applyProtection="1">
      <protection locked="0"/>
    </xf>
    <xf numFmtId="165" fontId="115" fillId="21" borderId="15" xfId="20" applyNumberFormat="1" applyFont="1" applyFill="1" applyBorder="1" applyProtection="1">
      <protection locked="0"/>
    </xf>
    <xf numFmtId="165" fontId="115" fillId="21" borderId="0" xfId="20" applyNumberFormat="1" applyFont="1" applyFill="1"/>
    <xf numFmtId="165" fontId="115" fillId="21" borderId="15" xfId="20" applyNumberFormat="1" applyFont="1" applyFill="1" applyBorder="1"/>
    <xf numFmtId="0" fontId="11" fillId="0" borderId="0" xfId="20" applyAlignment="1">
      <alignment horizontal="center" vertical="center" wrapText="1"/>
    </xf>
    <xf numFmtId="0" fontId="11" fillId="21" borderId="0" xfId="20" applyFill="1"/>
    <xf numFmtId="0" fontId="121" fillId="3" borderId="0" xfId="20" applyFont="1" applyFill="1" applyAlignment="1">
      <alignment horizontal="center" vertical="center"/>
    </xf>
    <xf numFmtId="0" fontId="121" fillId="0" borderId="0" xfId="20" applyFont="1" applyAlignment="1">
      <alignment horizontal="center" vertical="center"/>
    </xf>
    <xf numFmtId="0" fontId="118" fillId="3" borderId="0" xfId="20" applyFont="1" applyFill="1" applyAlignment="1">
      <alignment horizontal="left" wrapText="1"/>
    </xf>
    <xf numFmtId="0" fontId="118" fillId="0" borderId="0" xfId="20" applyFont="1" applyAlignment="1">
      <alignment horizontal="left" wrapText="1"/>
    </xf>
    <xf numFmtId="0" fontId="117" fillId="3" borderId="0" xfId="20" applyFont="1" applyFill="1" applyAlignment="1">
      <alignment horizontal="center" vertical="top"/>
    </xf>
    <xf numFmtId="0" fontId="117" fillId="0" borderId="0" xfId="20" applyFont="1" applyAlignment="1">
      <alignment horizontal="center" vertical="top"/>
    </xf>
    <xf numFmtId="0" fontId="116" fillId="21" borderId="0" xfId="20" applyFont="1" applyFill="1" applyAlignment="1">
      <alignment horizontal="left" vertical="center"/>
    </xf>
    <xf numFmtId="0" fontId="118" fillId="3" borderId="0" xfId="20" applyFont="1" applyFill="1" applyAlignment="1">
      <alignment horizontal="center" vertical="top" wrapText="1"/>
    </xf>
    <xf numFmtId="0" fontId="11" fillId="0" borderId="0" xfId="20" applyAlignment="1">
      <alignment horizontal="center" vertical="top" wrapText="1"/>
    </xf>
    <xf numFmtId="0" fontId="117" fillId="24" borderId="6" xfId="20" applyFont="1" applyFill="1" applyBorder="1" applyAlignment="1">
      <alignment horizontal="center" vertical="top"/>
    </xf>
    <xf numFmtId="164" fontId="25" fillId="9" borderId="1" xfId="3" applyNumberFormat="1" applyFont="1" applyFill="1" applyBorder="1" applyAlignment="1" applyProtection="1">
      <alignment horizontal="center"/>
      <protection locked="0"/>
    </xf>
    <xf numFmtId="164" fontId="28" fillId="0" borderId="0" xfId="3" applyNumberFormat="1" applyFont="1" applyAlignment="1">
      <alignment horizontal="center"/>
    </xf>
    <xf numFmtId="164" fontId="28" fillId="0" borderId="1" xfId="3" applyNumberFormat="1" applyFont="1" applyBorder="1" applyAlignment="1">
      <alignment horizontal="center"/>
    </xf>
    <xf numFmtId="0" fontId="30" fillId="0" borderId="11" xfId="3" applyFont="1" applyBorder="1" applyAlignment="1" applyProtection="1">
      <alignment horizontal="left" vertical="top" wrapText="1"/>
      <protection locked="0"/>
    </xf>
    <xf numFmtId="0" fontId="0" fillId="0" borderId="9" xfId="0" applyBorder="1" applyAlignment="1" applyProtection="1">
      <alignment horizontal="left" vertical="top" wrapText="1"/>
      <protection locked="0"/>
    </xf>
    <xf numFmtId="0" fontId="0" fillId="0" borderId="12" xfId="0"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0" fillId="0" borderId="15" xfId="0" applyBorder="1" applyAlignment="1" applyProtection="1">
      <alignment horizontal="left" vertical="top" wrapText="1"/>
      <protection locked="0"/>
    </xf>
    <xf numFmtId="0" fontId="0" fillId="0" borderId="13" xfId="0"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0" borderId="10" xfId="0" applyBorder="1" applyAlignment="1" applyProtection="1">
      <alignment horizontal="left" vertical="top" wrapText="1"/>
      <protection locked="0"/>
    </xf>
    <xf numFmtId="164" fontId="25" fillId="0" borderId="0" xfId="3" applyNumberFormat="1" applyFont="1" applyAlignment="1">
      <alignment horizontal="center"/>
    </xf>
    <xf numFmtId="180" fontId="25" fillId="9" borderId="1" xfId="3" applyNumberFormat="1" applyFont="1" applyFill="1" applyBorder="1" applyAlignment="1" applyProtection="1">
      <alignment horizontal="center"/>
      <protection locked="0"/>
    </xf>
    <xf numFmtId="0" fontId="25" fillId="0" borderId="0" xfId="3" applyFont="1" applyAlignment="1">
      <alignment horizontal="center"/>
    </xf>
    <xf numFmtId="164" fontId="23" fillId="0" borderId="0" xfId="3" applyNumberFormat="1" applyFont="1" applyAlignment="1">
      <alignment horizontal="right" wrapText="1"/>
    </xf>
    <xf numFmtId="0" fontId="0" fillId="0" borderId="0" xfId="0" applyAlignment="1">
      <alignment wrapText="1"/>
    </xf>
    <xf numFmtId="164" fontId="23" fillId="9" borderId="18" xfId="3" applyNumberFormat="1" applyFont="1" applyFill="1"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0" fillId="0" borderId="21" xfId="0" applyBorder="1" applyAlignment="1" applyProtection="1">
      <alignment horizontal="center" vertical="center" wrapText="1"/>
      <protection locked="0"/>
    </xf>
    <xf numFmtId="0" fontId="0" fillId="0" borderId="22"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164" fontId="25" fillId="0" borderId="7" xfId="3" applyNumberFormat="1" applyFont="1" applyBorder="1" applyAlignment="1">
      <alignment vertical="center" wrapText="1"/>
    </xf>
    <xf numFmtId="164" fontId="25" fillId="0" borderId="8" xfId="3" applyNumberFormat="1" applyFont="1" applyBorder="1" applyAlignment="1">
      <alignment vertical="center" wrapText="1"/>
    </xf>
    <xf numFmtId="165" fontId="25" fillId="9" borderId="6" xfId="3" applyNumberFormat="1" applyFont="1" applyFill="1" applyBorder="1" applyAlignment="1" applyProtection="1">
      <alignment horizontal="center" vertical="center" shrinkToFit="1"/>
      <protection locked="0"/>
    </xf>
    <xf numFmtId="0" fontId="25" fillId="9" borderId="7" xfId="3" applyFont="1" applyFill="1" applyBorder="1" applyAlignment="1" applyProtection="1">
      <alignment horizontal="center" vertical="center"/>
      <protection locked="0"/>
    </xf>
    <xf numFmtId="0" fontId="25" fillId="9" borderId="8" xfId="3" applyFont="1" applyFill="1" applyBorder="1" applyAlignment="1" applyProtection="1">
      <alignment horizontal="center" vertical="center"/>
      <protection locked="0"/>
    </xf>
    <xf numFmtId="0" fontId="25" fillId="9" borderId="2" xfId="3" applyFont="1" applyFill="1" applyBorder="1" applyAlignment="1" applyProtection="1">
      <alignment horizontal="center" vertical="center"/>
      <protection locked="0"/>
    </xf>
    <xf numFmtId="0" fontId="23" fillId="3" borderId="6" xfId="3" applyFont="1" applyFill="1" applyBorder="1" applyAlignment="1">
      <alignment horizontal="center" wrapText="1"/>
    </xf>
    <xf numFmtId="164" fontId="61" fillId="3" borderId="11" xfId="3" applyNumberFormat="1" applyFont="1" applyFill="1" applyBorder="1" applyAlignment="1" applyProtection="1">
      <alignment horizontal="center" vertical="top" wrapText="1"/>
      <protection locked="0"/>
    </xf>
    <xf numFmtId="0" fontId="61" fillId="3" borderId="9" xfId="0" applyFont="1" applyFill="1" applyBorder="1" applyAlignment="1" applyProtection="1">
      <alignment horizontal="center" vertical="top" wrapText="1"/>
      <protection locked="0"/>
    </xf>
    <xf numFmtId="0" fontId="61" fillId="3" borderId="12" xfId="0" applyFont="1" applyFill="1" applyBorder="1" applyAlignment="1" applyProtection="1">
      <alignment horizontal="center" vertical="top" wrapText="1"/>
      <protection locked="0"/>
    </xf>
    <xf numFmtId="0" fontId="61" fillId="3" borderId="14" xfId="0" applyFont="1" applyFill="1" applyBorder="1" applyAlignment="1" applyProtection="1">
      <alignment horizontal="center" vertical="top" wrapText="1"/>
      <protection locked="0"/>
    </xf>
    <xf numFmtId="0" fontId="61" fillId="3" borderId="0" xfId="0" applyFont="1" applyFill="1" applyAlignment="1" applyProtection="1">
      <alignment horizontal="center" vertical="top" wrapText="1"/>
      <protection locked="0"/>
    </xf>
    <xf numFmtId="0" fontId="61" fillId="3" borderId="15" xfId="0" applyFont="1" applyFill="1" applyBorder="1" applyAlignment="1" applyProtection="1">
      <alignment horizontal="center" vertical="top" wrapText="1"/>
      <protection locked="0"/>
    </xf>
    <xf numFmtId="2" fontId="25" fillId="3" borderId="7" xfId="3" applyNumberFormat="1" applyFont="1" applyFill="1" applyBorder="1" applyAlignment="1">
      <alignment horizontal="center" vertical="center"/>
    </xf>
    <xf numFmtId="2" fontId="25" fillId="3" borderId="8" xfId="3" applyNumberFormat="1" applyFont="1" applyFill="1" applyBorder="1" applyAlignment="1">
      <alignment horizontal="center" vertical="center"/>
    </xf>
    <xf numFmtId="2" fontId="25" fillId="3" borderId="2" xfId="3" applyNumberFormat="1" applyFont="1" applyFill="1" applyBorder="1" applyAlignment="1">
      <alignment horizontal="center" vertical="center"/>
    </xf>
    <xf numFmtId="164" fontId="25" fillId="0" borderId="7" xfId="3" applyNumberFormat="1" applyFont="1" applyBorder="1" applyAlignment="1">
      <alignment horizontal="left" vertical="center" wrapText="1"/>
    </xf>
    <xf numFmtId="164" fontId="25" fillId="0" borderId="8" xfId="3" applyNumberFormat="1" applyFont="1" applyBorder="1" applyAlignment="1">
      <alignment horizontal="left" vertical="center" wrapText="1"/>
    </xf>
    <xf numFmtId="164" fontId="25" fillId="0" borderId="2" xfId="3" applyNumberFormat="1" applyFont="1" applyBorder="1" applyAlignment="1">
      <alignment horizontal="left" vertical="center" wrapText="1"/>
    </xf>
    <xf numFmtId="168" fontId="23" fillId="0" borderId="7" xfId="3" applyNumberFormat="1" applyFont="1" applyBorder="1" applyAlignment="1">
      <alignment horizontal="center" vertical="center"/>
    </xf>
    <xf numFmtId="0" fontId="23" fillId="0" borderId="8" xfId="0" applyFont="1" applyBorder="1" applyAlignment="1">
      <alignment horizontal="center" vertical="center"/>
    </xf>
    <xf numFmtId="0" fontId="23" fillId="0" borderId="2" xfId="0" applyFont="1" applyBorder="1" applyAlignment="1">
      <alignment horizontal="center" vertical="center"/>
    </xf>
    <xf numFmtId="0" fontId="25" fillId="3" borderId="7" xfId="3" applyFont="1" applyFill="1" applyBorder="1" applyAlignment="1">
      <alignment horizontal="center" vertical="center"/>
    </xf>
    <xf numFmtId="0" fontId="25" fillId="3" borderId="8" xfId="3" applyFont="1" applyFill="1" applyBorder="1" applyAlignment="1">
      <alignment horizontal="center" vertical="center"/>
    </xf>
    <xf numFmtId="0" fontId="25" fillId="3" borderId="2" xfId="3" applyFont="1" applyFill="1" applyBorder="1" applyAlignment="1">
      <alignment horizontal="center" vertical="center"/>
    </xf>
    <xf numFmtId="164" fontId="25" fillId="3" borderId="6" xfId="3" applyNumberFormat="1" applyFont="1" applyFill="1" applyBorder="1" applyAlignment="1">
      <alignment horizontal="center" vertical="center" shrinkToFit="1"/>
    </xf>
    <xf numFmtId="0" fontId="61" fillId="8" borderId="7" xfId="3" applyFont="1" applyFill="1" applyBorder="1" applyAlignment="1">
      <alignment horizontal="center" wrapText="1"/>
    </xf>
    <xf numFmtId="0" fontId="61" fillId="0" borderId="8" xfId="0" applyFont="1" applyBorder="1" applyAlignment="1">
      <alignment horizontal="center" wrapText="1"/>
    </xf>
    <xf numFmtId="0" fontId="30" fillId="3" borderId="6" xfId="3" applyFont="1" applyFill="1" applyBorder="1" applyAlignment="1">
      <alignment horizontal="center" wrapText="1"/>
    </xf>
    <xf numFmtId="164" fontId="27" fillId="0" borderId="1" xfId="3" applyNumberFormat="1" applyFont="1" applyBorder="1" applyAlignment="1">
      <alignment horizontal="center"/>
    </xf>
    <xf numFmtId="0" fontId="0" fillId="0" borderId="1" xfId="0" applyBorder="1" applyAlignment="1">
      <alignment horizontal="center"/>
    </xf>
    <xf numFmtId="178" fontId="25" fillId="9" borderId="7" xfId="3" applyNumberFormat="1" applyFont="1" applyFill="1"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49" fontId="23" fillId="9" borderId="7" xfId="3" applyNumberFormat="1" applyFont="1" applyFill="1" applyBorder="1" applyAlignment="1" applyProtection="1">
      <alignment horizontal="center" vertical="center"/>
      <protection locked="0"/>
    </xf>
    <xf numFmtId="49" fontId="0" fillId="0" borderId="8" xfId="0" applyNumberFormat="1" applyBorder="1" applyAlignment="1" applyProtection="1">
      <alignment horizontal="center" vertical="center"/>
      <protection locked="0"/>
    </xf>
    <xf numFmtId="49" fontId="0" fillId="0" borderId="2" xfId="0" applyNumberFormat="1" applyBorder="1" applyAlignment="1" applyProtection="1">
      <alignment horizontal="center" vertical="center"/>
      <protection locked="0"/>
    </xf>
    <xf numFmtId="164" fontId="25" fillId="9" borderId="6" xfId="3" applyNumberFormat="1" applyFont="1" applyFill="1" applyBorder="1" applyAlignment="1" applyProtection="1">
      <alignment horizontal="center" vertical="center" wrapText="1"/>
      <protection locked="0"/>
    </xf>
    <xf numFmtId="0" fontId="0" fillId="0" borderId="8" xfId="0" applyBorder="1" applyAlignment="1">
      <alignment horizontal="left" vertical="center" wrapText="1"/>
    </xf>
    <xf numFmtId="0" fontId="0" fillId="0" borderId="2" xfId="0" applyBorder="1" applyAlignment="1">
      <alignment horizontal="left" vertical="center" wrapText="1"/>
    </xf>
    <xf numFmtId="186" fontId="22" fillId="34" borderId="7" xfId="3" applyNumberFormat="1" applyFill="1" applyBorder="1" applyAlignment="1" applyProtection="1">
      <alignment vertical="center"/>
      <protection locked="0"/>
    </xf>
    <xf numFmtId="186" fontId="0" fillId="34" borderId="8" xfId="0" applyNumberFormat="1" applyFill="1" applyBorder="1" applyAlignment="1" applyProtection="1">
      <alignment vertical="center"/>
      <protection locked="0"/>
    </xf>
    <xf numFmtId="0" fontId="30" fillId="9" borderId="7" xfId="3" applyFont="1" applyFill="1" applyBorder="1" applyAlignment="1" applyProtection="1">
      <alignment horizontal="center" wrapText="1"/>
      <protection locked="0"/>
    </xf>
    <xf numFmtId="0" fontId="30" fillId="9" borderId="8" xfId="3" applyFont="1" applyFill="1" applyBorder="1" applyAlignment="1" applyProtection="1">
      <alignment horizontal="center" wrapText="1"/>
      <protection locked="0"/>
    </xf>
    <xf numFmtId="0" fontId="30" fillId="9" borderId="2" xfId="3" applyFont="1" applyFill="1" applyBorder="1" applyAlignment="1" applyProtection="1">
      <alignment horizontal="center" wrapText="1"/>
      <protection locked="0"/>
    </xf>
    <xf numFmtId="164" fontId="30" fillId="0" borderId="6" xfId="3" applyNumberFormat="1" applyFont="1" applyBorder="1" applyAlignment="1">
      <alignment horizontal="center" vertical="center"/>
    </xf>
    <xf numFmtId="164" fontId="143" fillId="3" borderId="6" xfId="3" applyNumberFormat="1" applyFont="1" applyFill="1" applyBorder="1" applyAlignment="1">
      <alignment horizontal="left" vertical="center" wrapText="1"/>
    </xf>
    <xf numFmtId="164" fontId="30" fillId="9" borderId="11" xfId="3" applyNumberFormat="1" applyFont="1" applyFill="1" applyBorder="1" applyAlignment="1" applyProtection="1">
      <alignment horizontal="center" vertical="center" wrapText="1"/>
      <protection locked="0"/>
    </xf>
    <xf numFmtId="164" fontId="30" fillId="9" borderId="9" xfId="3" applyNumberFormat="1" applyFont="1" applyFill="1" applyBorder="1" applyAlignment="1" applyProtection="1">
      <alignment horizontal="center" vertical="center" wrapText="1"/>
      <protection locked="0"/>
    </xf>
    <xf numFmtId="164" fontId="30" fillId="9" borderId="12" xfId="3" applyNumberFormat="1" applyFont="1" applyFill="1" applyBorder="1" applyAlignment="1" applyProtection="1">
      <alignment horizontal="center" vertical="center" wrapText="1"/>
      <protection locked="0"/>
    </xf>
    <xf numFmtId="0" fontId="0" fillId="9" borderId="13" xfId="0" applyFill="1" applyBorder="1" applyAlignment="1" applyProtection="1">
      <alignment horizontal="center" vertical="center" wrapText="1"/>
      <protection locked="0"/>
    </xf>
    <xf numFmtId="0" fontId="0" fillId="9" borderId="1" xfId="0" applyFill="1" applyBorder="1" applyAlignment="1" applyProtection="1">
      <alignment horizontal="center" vertical="center" wrapText="1"/>
      <protection locked="0"/>
    </xf>
    <xf numFmtId="0" fontId="0" fillId="9" borderId="10" xfId="0" applyFill="1" applyBorder="1" applyAlignment="1" applyProtection="1">
      <alignment horizontal="center" vertical="center" wrapText="1"/>
      <protection locked="0"/>
    </xf>
    <xf numFmtId="164" fontId="67" fillId="0" borderId="9" xfId="3" applyNumberFormat="1" applyFont="1" applyBorder="1" applyAlignment="1">
      <alignment horizontal="left" vertical="center" wrapText="1"/>
    </xf>
    <xf numFmtId="0" fontId="0" fillId="0" borderId="9" xfId="0" applyBorder="1" applyAlignment="1">
      <alignment horizontal="left" vertical="center" wrapText="1"/>
    </xf>
    <xf numFmtId="0" fontId="23" fillId="3" borderId="3" xfId="3" applyFont="1" applyFill="1" applyBorder="1" applyAlignment="1">
      <alignment horizontal="center" wrapText="1"/>
    </xf>
    <xf numFmtId="0" fontId="23" fillId="3" borderId="4" xfId="3" applyFont="1" applyFill="1" applyBorder="1" applyAlignment="1">
      <alignment horizontal="center" wrapText="1"/>
    </xf>
    <xf numFmtId="0" fontId="23" fillId="3" borderId="5" xfId="3" applyFont="1" applyFill="1" applyBorder="1" applyAlignment="1">
      <alignment horizontal="center" wrapText="1"/>
    </xf>
    <xf numFmtId="0" fontId="25" fillId="3" borderId="7" xfId="3" applyFont="1" applyFill="1" applyBorder="1" applyAlignment="1">
      <alignment horizontal="left"/>
    </xf>
    <xf numFmtId="0" fontId="25" fillId="3" borderId="8" xfId="3" applyFont="1" applyFill="1" applyBorder="1" applyAlignment="1">
      <alignment horizontal="left"/>
    </xf>
    <xf numFmtId="0" fontId="25" fillId="3" borderId="2" xfId="3" applyFont="1" applyFill="1" applyBorder="1" applyAlignment="1">
      <alignment horizontal="left"/>
    </xf>
    <xf numFmtId="0" fontId="23" fillId="0" borderId="9" xfId="3" applyFont="1" applyBorder="1" applyAlignment="1">
      <alignment horizontal="center" wrapText="1"/>
    </xf>
    <xf numFmtId="0" fontId="22" fillId="0" borderId="9" xfId="0" applyFont="1" applyBorder="1" applyAlignment="1">
      <alignment horizontal="center" wrapText="1"/>
    </xf>
    <xf numFmtId="0" fontId="22" fillId="0" borderId="12" xfId="0" applyFont="1" applyBorder="1" applyAlignment="1">
      <alignment horizontal="center" wrapText="1"/>
    </xf>
    <xf numFmtId="0" fontId="144" fillId="0" borderId="11" xfId="3" applyFont="1" applyBorder="1" applyAlignment="1">
      <alignment vertical="justify" wrapText="1"/>
    </xf>
    <xf numFmtId="0" fontId="145" fillId="0" borderId="9" xfId="0" applyFont="1" applyBorder="1" applyAlignment="1">
      <alignment vertical="justify" wrapText="1"/>
    </xf>
    <xf numFmtId="0" fontId="145" fillId="0" borderId="12" xfId="0" applyFont="1" applyBorder="1" applyAlignment="1">
      <alignment vertical="justify" wrapText="1"/>
    </xf>
    <xf numFmtId="0" fontId="145" fillId="0" borderId="13" xfId="0" applyFont="1" applyBorder="1" applyAlignment="1">
      <alignment vertical="justify" wrapText="1"/>
    </xf>
    <xf numFmtId="0" fontId="145" fillId="0" borderId="1" xfId="0" applyFont="1" applyBorder="1" applyAlignment="1">
      <alignment vertical="justify" wrapText="1"/>
    </xf>
    <xf numFmtId="0" fontId="145" fillId="0" borderId="10" xfId="0" applyFont="1" applyBorder="1" applyAlignment="1">
      <alignment vertical="justify" wrapText="1"/>
    </xf>
    <xf numFmtId="0" fontId="63" fillId="0" borderId="0" xfId="3" applyFont="1" applyAlignment="1">
      <alignment horizontal="center" vertical="top" wrapText="1"/>
    </xf>
    <xf numFmtId="0" fontId="0" fillId="0" borderId="0" xfId="0" applyAlignment="1">
      <alignment horizontal="center" vertical="top" wrapText="1"/>
    </xf>
    <xf numFmtId="0" fontId="61" fillId="0" borderId="9" xfId="3" applyFont="1" applyBorder="1" applyAlignment="1">
      <alignment horizontal="center" wrapText="1"/>
    </xf>
    <xf numFmtId="0" fontId="22" fillId="0" borderId="0" xfId="0" applyFont="1" applyAlignment="1">
      <alignment horizontal="center" wrapText="1"/>
    </xf>
    <xf numFmtId="0" fontId="22" fillId="0" borderId="1" xfId="0" applyFont="1" applyBorder="1" applyAlignment="1">
      <alignment horizontal="center" wrapText="1"/>
    </xf>
    <xf numFmtId="0" fontId="67" fillId="0" borderId="9" xfId="3" applyFont="1" applyBorder="1" applyAlignment="1">
      <alignment horizontal="center" wrapText="1"/>
    </xf>
    <xf numFmtId="0" fontId="67" fillId="0" borderId="0" xfId="0" applyFont="1" applyAlignment="1">
      <alignment horizontal="center" wrapText="1"/>
    </xf>
    <xf numFmtId="0" fontId="67" fillId="0" borderId="1" xfId="0" applyFont="1" applyBorder="1" applyAlignment="1">
      <alignment horizontal="center" wrapText="1"/>
    </xf>
    <xf numFmtId="0" fontId="23" fillId="9" borderId="7" xfId="3" applyFont="1" applyFill="1" applyBorder="1" applyAlignment="1" applyProtection="1">
      <alignment horizontal="center" vertical="top" wrapText="1"/>
      <protection locked="0"/>
    </xf>
    <xf numFmtId="0" fontId="23" fillId="0" borderId="2" xfId="0" applyFont="1" applyBorder="1" applyAlignment="1" applyProtection="1">
      <alignment horizontal="center" vertical="top" wrapText="1"/>
      <protection locked="0"/>
    </xf>
    <xf numFmtId="0" fontId="23" fillId="9" borderId="1" xfId="3" applyFont="1" applyFill="1" applyBorder="1" applyAlignment="1" applyProtection="1">
      <alignment horizontal="center" vertical="top" wrapText="1"/>
      <protection locked="0"/>
    </xf>
    <xf numFmtId="0" fontId="0" fillId="0" borderId="0" xfId="0" applyAlignment="1" applyProtection="1">
      <alignment vertical="top" wrapText="1"/>
      <protection locked="0"/>
    </xf>
    <xf numFmtId="164" fontId="138" fillId="0" borderId="9" xfId="3" applyNumberFormat="1" applyFont="1" applyBorder="1" applyAlignment="1">
      <alignment horizontal="center" vertical="top" wrapText="1"/>
    </xf>
    <xf numFmtId="0" fontId="138" fillId="0" borderId="9" xfId="0" applyFont="1" applyBorder="1" applyAlignment="1">
      <alignment horizontal="center" vertical="top" wrapText="1"/>
    </xf>
    <xf numFmtId="0" fontId="29" fillId="0" borderId="0" xfId="3" applyFont="1" applyAlignment="1">
      <alignment horizontal="left"/>
    </xf>
    <xf numFmtId="0" fontId="47" fillId="0" borderId="0" xfId="0" applyFont="1" applyAlignment="1">
      <alignment horizontal="left"/>
    </xf>
    <xf numFmtId="0" fontId="71" fillId="0" borderId="0" xfId="19" applyAlignment="1">
      <alignment horizontal="center" vertical="center"/>
    </xf>
    <xf numFmtId="0" fontId="23" fillId="9" borderId="1" xfId="3" applyFont="1" applyFill="1" applyBorder="1" applyAlignment="1" applyProtection="1">
      <alignment horizontal="center"/>
      <protection locked="0"/>
    </xf>
    <xf numFmtId="0" fontId="23"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0" fontId="137" fillId="0" borderId="0" xfId="3" applyFont="1"/>
    <xf numFmtId="0" fontId="0" fillId="0" borderId="0" xfId="0"/>
    <xf numFmtId="0" fontId="23" fillId="0" borderId="1" xfId="0" applyFont="1" applyBorder="1" applyAlignment="1">
      <alignment horizontal="right" vertical="top" wrapText="1"/>
    </xf>
    <xf numFmtId="0" fontId="23" fillId="15" borderId="1" xfId="0" applyFont="1" applyFill="1" applyBorder="1" applyAlignment="1" applyProtection="1">
      <alignment horizontal="center"/>
      <protection locked="0"/>
    </xf>
    <xf numFmtId="0" fontId="25" fillId="9" borderId="1" xfId="3" applyFont="1" applyFill="1" applyBorder="1" applyAlignment="1" applyProtection="1">
      <alignment horizontal="center"/>
      <protection locked="0"/>
    </xf>
    <xf numFmtId="0" fontId="23" fillId="10" borderId="7" xfId="3" applyFont="1" applyFill="1" applyBorder="1" applyAlignment="1" applyProtection="1">
      <alignment horizontal="center" wrapText="1"/>
      <protection locked="0"/>
    </xf>
    <xf numFmtId="0" fontId="0" fillId="0" borderId="8" xfId="0" applyBorder="1" applyAlignment="1" applyProtection="1">
      <alignment wrapText="1"/>
      <protection locked="0"/>
    </xf>
    <xf numFmtId="0" fontId="0" fillId="0" borderId="2" xfId="0" applyBorder="1" applyAlignment="1" applyProtection="1">
      <alignment wrapText="1"/>
      <protection locked="0"/>
    </xf>
    <xf numFmtId="0" fontId="64" fillId="0" borderId="1" xfId="3" applyFont="1" applyBorder="1" applyAlignment="1">
      <alignment wrapText="1"/>
    </xf>
    <xf numFmtId="0" fontId="52" fillId="0" borderId="1" xfId="0" applyFont="1" applyBorder="1" applyAlignment="1">
      <alignment wrapText="1"/>
    </xf>
    <xf numFmtId="0" fontId="23" fillId="3" borderId="7" xfId="3" applyFont="1" applyFill="1" applyBorder="1" applyAlignment="1">
      <alignment horizontal="center" wrapText="1"/>
    </xf>
    <xf numFmtId="0" fontId="0" fillId="0" borderId="2" xfId="0" applyBorder="1" applyAlignment="1">
      <alignment horizontal="center" wrapText="1"/>
    </xf>
    <xf numFmtId="0" fontId="30" fillId="3" borderId="0" xfId="3" applyFont="1" applyFill="1" applyAlignment="1">
      <alignment horizontal="center" wrapText="1"/>
    </xf>
    <xf numFmtId="0" fontId="0" fillId="3" borderId="0" xfId="0" applyFill="1" applyAlignment="1">
      <alignment horizontal="center" wrapText="1"/>
    </xf>
    <xf numFmtId="0" fontId="30" fillId="9" borderId="1" xfId="3" applyFont="1" applyFill="1" applyBorder="1" applyAlignment="1" applyProtection="1">
      <alignment horizontal="center" wrapText="1"/>
      <protection locked="0"/>
    </xf>
    <xf numFmtId="0" fontId="0" fillId="0" borderId="1" xfId="0" applyBorder="1" applyAlignment="1" applyProtection="1">
      <alignment horizontal="center" wrapText="1"/>
      <protection locked="0"/>
    </xf>
    <xf numFmtId="49" fontId="30" fillId="0" borderId="7" xfId="3" applyNumberFormat="1" applyFont="1" applyBorder="1" applyAlignment="1" applyProtection="1">
      <alignment horizontal="left" wrapText="1"/>
      <protection locked="0"/>
    </xf>
    <xf numFmtId="49" fontId="30" fillId="0" borderId="8" xfId="3" applyNumberFormat="1" applyFont="1" applyBorder="1" applyAlignment="1" applyProtection="1">
      <alignment horizontal="left" wrapText="1"/>
      <protection locked="0"/>
    </xf>
    <xf numFmtId="49" fontId="30" fillId="0" borderId="2" xfId="3" applyNumberFormat="1" applyFont="1" applyBorder="1" applyAlignment="1" applyProtection="1">
      <alignment horizontal="left" wrapText="1"/>
      <protection locked="0"/>
    </xf>
    <xf numFmtId="165" fontId="30" fillId="0" borderId="7" xfId="3" applyNumberFormat="1" applyFont="1" applyBorder="1" applyAlignment="1" applyProtection="1">
      <alignment horizontal="left" wrapText="1"/>
      <protection locked="0"/>
    </xf>
    <xf numFmtId="165" fontId="30" fillId="0" borderId="8" xfId="3" applyNumberFormat="1" applyFont="1" applyBorder="1" applyAlignment="1" applyProtection="1">
      <alignment horizontal="left" wrapText="1"/>
      <protection locked="0"/>
    </xf>
    <xf numFmtId="165" fontId="30" fillId="0" borderId="2" xfId="3" applyNumberFormat="1" applyFont="1" applyBorder="1" applyAlignment="1" applyProtection="1">
      <alignment horizontal="left" wrapText="1"/>
      <protection locked="0"/>
    </xf>
    <xf numFmtId="0" fontId="30" fillId="0" borderId="7" xfId="3" applyFont="1" applyBorder="1" applyAlignment="1" applyProtection="1">
      <alignment horizontal="left" wrapText="1"/>
      <protection locked="0"/>
    </xf>
    <xf numFmtId="0" fontId="30" fillId="0" borderId="8" xfId="3" applyFont="1" applyBorder="1" applyAlignment="1" applyProtection="1">
      <alignment horizontal="left" wrapText="1"/>
      <protection locked="0"/>
    </xf>
    <xf numFmtId="0" fontId="30" fillId="0" borderId="2" xfId="3" applyFont="1" applyBorder="1" applyAlignment="1" applyProtection="1">
      <alignment horizontal="left" wrapText="1"/>
      <protection locked="0"/>
    </xf>
    <xf numFmtId="0" fontId="64" fillId="5" borderId="11" xfId="3" applyFont="1" applyFill="1" applyBorder="1" applyAlignment="1" applyProtection="1">
      <alignment horizontal="center" vertical="top" wrapText="1"/>
      <protection locked="0"/>
    </xf>
    <xf numFmtId="0" fontId="52" fillId="0" borderId="9" xfId="0" applyFont="1" applyBorder="1" applyAlignment="1" applyProtection="1">
      <alignment horizontal="center" vertical="top" wrapText="1"/>
      <protection locked="0"/>
    </xf>
    <xf numFmtId="0" fontId="52" fillId="0" borderId="12" xfId="0" applyFont="1" applyBorder="1" applyAlignment="1" applyProtection="1">
      <alignment horizontal="center" vertical="top" wrapText="1"/>
      <protection locked="0"/>
    </xf>
    <xf numFmtId="0" fontId="52" fillId="0" borderId="14" xfId="0" applyFont="1" applyBorder="1" applyAlignment="1" applyProtection="1">
      <alignment horizontal="center" vertical="top" wrapText="1"/>
      <protection locked="0"/>
    </xf>
    <xf numFmtId="0" fontId="52" fillId="0" borderId="0" xfId="0" applyFont="1" applyAlignment="1" applyProtection="1">
      <alignment horizontal="center" vertical="top" wrapText="1"/>
      <protection locked="0"/>
    </xf>
    <xf numFmtId="0" fontId="52" fillId="0" borderId="15" xfId="0" applyFont="1" applyBorder="1" applyAlignment="1" applyProtection="1">
      <alignment horizontal="center" vertical="top" wrapText="1"/>
      <protection locked="0"/>
    </xf>
    <xf numFmtId="0" fontId="30" fillId="0" borderId="6" xfId="3" applyFont="1" applyBorder="1" applyAlignment="1">
      <alignment horizontal="center" wrapText="1"/>
    </xf>
    <xf numFmtId="0" fontId="30" fillId="0" borderId="7" xfId="3" applyFont="1" applyBorder="1" applyAlignment="1" applyProtection="1">
      <alignment horizontal="left"/>
      <protection locked="0"/>
    </xf>
    <xf numFmtId="0" fontId="30" fillId="0" borderId="8" xfId="3" applyFont="1" applyBorder="1" applyAlignment="1" applyProtection="1">
      <alignment horizontal="left"/>
      <protection locked="0"/>
    </xf>
    <xf numFmtId="0" fontId="30" fillId="0" borderId="2" xfId="3" applyFont="1" applyBorder="1" applyAlignment="1" applyProtection="1">
      <alignment horizontal="left"/>
      <protection locked="0"/>
    </xf>
    <xf numFmtId="0" fontId="64" fillId="5" borderId="11" xfId="3" applyFont="1" applyFill="1" applyBorder="1" applyAlignment="1">
      <alignment horizontal="center" vertical="top" wrapText="1"/>
    </xf>
    <xf numFmtId="0" fontId="52" fillId="0" borderId="9" xfId="0" applyFont="1" applyBorder="1" applyAlignment="1">
      <alignment horizontal="center" vertical="top" wrapText="1"/>
    </xf>
    <xf numFmtId="0" fontId="52" fillId="0" borderId="12" xfId="0" applyFont="1" applyBorder="1" applyAlignment="1">
      <alignment horizontal="center" vertical="top" wrapText="1"/>
    </xf>
    <xf numFmtId="0" fontId="52" fillId="0" borderId="14" xfId="0" applyFont="1" applyBorder="1" applyAlignment="1">
      <alignment horizontal="center" vertical="top" wrapText="1"/>
    </xf>
    <xf numFmtId="0" fontId="52" fillId="0" borderId="0" xfId="0" applyFont="1" applyAlignment="1">
      <alignment horizontal="center" vertical="top" wrapText="1"/>
    </xf>
    <xf numFmtId="0" fontId="52" fillId="0" borderId="15" xfId="0" applyFont="1" applyBorder="1" applyAlignment="1">
      <alignment horizontal="center" vertical="top" wrapText="1"/>
    </xf>
    <xf numFmtId="49" fontId="30" fillId="5" borderId="7" xfId="3" applyNumberFormat="1" applyFont="1" applyFill="1" applyBorder="1" applyAlignment="1" applyProtection="1">
      <alignment horizontal="left" wrapText="1"/>
      <protection locked="0"/>
    </xf>
    <xf numFmtId="49" fontId="30" fillId="5" borderId="8" xfId="3" applyNumberFormat="1" applyFont="1" applyFill="1" applyBorder="1" applyAlignment="1" applyProtection="1">
      <alignment horizontal="left" wrapText="1"/>
      <protection locked="0"/>
    </xf>
    <xf numFmtId="49" fontId="30" fillId="5" borderId="2" xfId="3" applyNumberFormat="1" applyFont="1" applyFill="1" applyBorder="1" applyAlignment="1" applyProtection="1">
      <alignment horizontal="left" wrapText="1"/>
      <protection locked="0"/>
    </xf>
    <xf numFmtId="0" fontId="30" fillId="5" borderId="7" xfId="3" applyFont="1" applyFill="1" applyBorder="1" applyAlignment="1" applyProtection="1">
      <alignment horizontal="left" wrapText="1"/>
      <protection locked="0"/>
    </xf>
    <xf numFmtId="0" fontId="30" fillId="5" borderId="8" xfId="3" applyFont="1" applyFill="1" applyBorder="1" applyAlignment="1" applyProtection="1">
      <alignment horizontal="left" wrapText="1"/>
      <protection locked="0"/>
    </xf>
    <xf numFmtId="0" fontId="30" fillId="5" borderId="2" xfId="3" applyFont="1" applyFill="1" applyBorder="1" applyAlignment="1" applyProtection="1">
      <alignment horizontal="left" wrapText="1"/>
      <protection locked="0"/>
    </xf>
    <xf numFmtId="0" fontId="30" fillId="5" borderId="7" xfId="3" applyFont="1" applyFill="1" applyBorder="1" applyAlignment="1" applyProtection="1">
      <alignment horizontal="left"/>
      <protection locked="0"/>
    </xf>
    <xf numFmtId="0" fontId="30" fillId="5" borderId="8" xfId="3" applyFont="1" applyFill="1" applyBorder="1" applyAlignment="1" applyProtection="1">
      <alignment horizontal="left"/>
      <protection locked="0"/>
    </xf>
    <xf numFmtId="0" fontId="30" fillId="5" borderId="2" xfId="3" applyFont="1" applyFill="1" applyBorder="1" applyAlignment="1" applyProtection="1">
      <alignment horizontal="left"/>
      <protection locked="0"/>
    </xf>
    <xf numFmtId="0" fontId="30" fillId="5" borderId="7" xfId="3" applyFont="1" applyFill="1" applyBorder="1" applyAlignment="1" applyProtection="1">
      <alignment horizontal="left" vertical="center" wrapText="1"/>
      <protection locked="0"/>
    </xf>
    <xf numFmtId="0" fontId="30" fillId="5" borderId="8" xfId="3" applyFont="1" applyFill="1" applyBorder="1" applyAlignment="1" applyProtection="1">
      <alignment horizontal="left" vertical="center" wrapText="1"/>
      <protection locked="0"/>
    </xf>
    <xf numFmtId="0" fontId="30" fillId="5" borderId="2" xfId="3" applyFont="1" applyFill="1" applyBorder="1" applyAlignment="1" applyProtection="1">
      <alignment horizontal="left" vertical="center" wrapText="1"/>
      <protection locked="0"/>
    </xf>
    <xf numFmtId="0" fontId="154" fillId="11" borderId="24" xfId="0" applyFont="1" applyFill="1" applyBorder="1" applyAlignment="1">
      <alignment horizontal="center" vertical="center"/>
    </xf>
    <xf numFmtId="0" fontId="154" fillId="11" borderId="25" xfId="0" applyFont="1" applyFill="1" applyBorder="1" applyAlignment="1">
      <alignment horizontal="center" vertical="center"/>
    </xf>
    <xf numFmtId="0" fontId="154" fillId="11" borderId="26" xfId="0" applyFont="1" applyFill="1" applyBorder="1" applyAlignment="1">
      <alignment horizontal="center" vertical="center"/>
    </xf>
    <xf numFmtId="0" fontId="162" fillId="13" borderId="0" xfId="0" applyFont="1" applyFill="1" applyAlignment="1">
      <alignment horizontal="center" vertical="center"/>
    </xf>
    <xf numFmtId="0" fontId="153" fillId="11" borderId="28" xfId="0" applyFont="1" applyFill="1" applyBorder="1" applyAlignment="1">
      <alignment horizontal="center" vertical="top"/>
    </xf>
    <xf numFmtId="0" fontId="153" fillId="11" borderId="29" xfId="0" applyFont="1" applyFill="1" applyBorder="1" applyAlignment="1">
      <alignment horizontal="center" vertical="top"/>
    </xf>
    <xf numFmtId="0" fontId="153" fillId="11" borderId="30" xfId="0" applyFont="1" applyFill="1" applyBorder="1" applyAlignment="1">
      <alignment horizontal="center" vertical="top"/>
    </xf>
    <xf numFmtId="180" fontId="24" fillId="3" borderId="0" xfId="0" applyNumberFormat="1" applyFont="1" applyFill="1" applyAlignment="1">
      <alignment horizontal="center" vertical="center" wrapText="1"/>
    </xf>
    <xf numFmtId="180" fontId="0" fillId="0" borderId="0" xfId="0" applyNumberFormat="1" applyAlignment="1">
      <alignment horizontal="center" vertical="center" wrapText="1"/>
    </xf>
    <xf numFmtId="0" fontId="0" fillId="0" borderId="0" xfId="0" applyAlignment="1">
      <alignment horizontal="center" vertical="center" wrapText="1"/>
    </xf>
    <xf numFmtId="165" fontId="86" fillId="11" borderId="8" xfId="0" applyNumberFormat="1" applyFont="1" applyFill="1" applyBorder="1" applyAlignment="1">
      <alignment vertical="center" wrapText="1"/>
    </xf>
    <xf numFmtId="0" fontId="87" fillId="0" borderId="8" xfId="0" applyFont="1" applyBorder="1" applyAlignment="1">
      <alignment vertical="center" wrapText="1"/>
    </xf>
    <xf numFmtId="0" fontId="0" fillId="0" borderId="8" xfId="0" applyBorder="1" applyAlignment="1">
      <alignment vertical="center" wrapText="1"/>
    </xf>
    <xf numFmtId="0" fontId="0" fillId="0" borderId="15" xfId="0" applyBorder="1"/>
    <xf numFmtId="165" fontId="68" fillId="11" borderId="11" xfId="0" applyNumberFormat="1" applyFont="1" applyFill="1" applyBorder="1" applyAlignment="1">
      <alignment horizontal="center" vertical="center" wrapText="1"/>
    </xf>
    <xf numFmtId="165" fontId="68" fillId="11" borderId="9" xfId="0" applyNumberFormat="1" applyFont="1" applyFill="1" applyBorder="1" applyAlignment="1">
      <alignment horizontal="center" vertical="center" wrapText="1"/>
    </xf>
    <xf numFmtId="0" fontId="0" fillId="11" borderId="9" xfId="0" applyFill="1" applyBorder="1" applyAlignment="1">
      <alignment horizontal="center" vertical="center" wrapText="1"/>
    </xf>
    <xf numFmtId="0" fontId="0" fillId="0" borderId="12" xfId="0" applyBorder="1" applyAlignment="1">
      <alignment vertical="center" wrapText="1"/>
    </xf>
    <xf numFmtId="0" fontId="0" fillId="0" borderId="14" xfId="0" applyBorder="1" applyAlignment="1">
      <alignment vertical="center" wrapText="1"/>
    </xf>
    <xf numFmtId="0" fontId="0" fillId="0" borderId="0" xfId="0" applyAlignment="1">
      <alignment vertical="center" wrapText="1"/>
    </xf>
    <xf numFmtId="0" fontId="0" fillId="0" borderId="15" xfId="0" applyBorder="1" applyAlignment="1">
      <alignment vertical="center" wrapText="1"/>
    </xf>
    <xf numFmtId="178" fontId="86" fillId="11" borderId="8" xfId="0" applyNumberFormat="1" applyFont="1" applyFill="1" applyBorder="1" applyAlignment="1">
      <alignment horizontal="center" vertical="center" wrapText="1"/>
    </xf>
    <xf numFmtId="0" fontId="0" fillId="0" borderId="8" xfId="0" applyBorder="1" applyAlignment="1">
      <alignment horizontal="center" vertical="center" wrapText="1"/>
    </xf>
    <xf numFmtId="165" fontId="44" fillId="3" borderId="0" xfId="0" applyNumberFormat="1" applyFont="1" applyFill="1" applyAlignment="1">
      <alignment horizontal="center"/>
    </xf>
    <xf numFmtId="170" fontId="35" fillId="0" borderId="0" xfId="0" applyNumberFormat="1" applyFont="1" applyAlignment="1">
      <alignment horizontal="left" wrapText="1"/>
    </xf>
    <xf numFmtId="0" fontId="0" fillId="0" borderId="0" xfId="0" applyAlignment="1">
      <alignment horizontal="left" wrapText="1"/>
    </xf>
    <xf numFmtId="0" fontId="35" fillId="0" borderId="0" xfId="0" applyFont="1" applyAlignment="1">
      <alignment horizontal="right"/>
    </xf>
    <xf numFmtId="0" fontId="0" fillId="0" borderId="0" xfId="0" applyAlignment="1">
      <alignment horizontal="right"/>
    </xf>
    <xf numFmtId="165" fontId="24" fillId="3" borderId="0" xfId="0" applyNumberFormat="1" applyFont="1" applyFill="1" applyAlignment="1">
      <alignment horizontal="left" vertical="center" wrapText="1"/>
    </xf>
    <xf numFmtId="165" fontId="24" fillId="3" borderId="1" xfId="0" applyNumberFormat="1" applyFont="1" applyFill="1" applyBorder="1" applyAlignment="1">
      <alignment horizontal="left" vertical="center" wrapText="1"/>
    </xf>
    <xf numFmtId="165" fontId="47" fillId="0" borderId="1" xfId="0" applyNumberFormat="1" applyFont="1" applyBorder="1" applyAlignment="1">
      <alignment horizontal="left" vertical="center" wrapText="1"/>
    </xf>
    <xf numFmtId="0" fontId="47" fillId="0" borderId="1" xfId="0" applyFont="1" applyBorder="1" applyAlignment="1">
      <alignment horizontal="left" vertical="center" wrapText="1"/>
    </xf>
    <xf numFmtId="178" fontId="24" fillId="0" borderId="1" xfId="0" applyNumberFormat="1" applyFont="1" applyBorder="1" applyAlignment="1">
      <alignment horizontal="center" vertical="center" wrapText="1"/>
    </xf>
    <xf numFmtId="0" fontId="0" fillId="0" borderId="1" xfId="0" applyBorder="1" applyAlignment="1">
      <alignment horizontal="center" vertical="center" wrapText="1"/>
    </xf>
    <xf numFmtId="165" fontId="51" fillId="3" borderId="0" xfId="0" applyNumberFormat="1" applyFont="1" applyFill="1" applyAlignment="1">
      <alignment horizontal="left" vertical="center" wrapText="1"/>
    </xf>
    <xf numFmtId="0" fontId="0" fillId="0" borderId="0" xfId="0" applyAlignment="1">
      <alignment horizontal="left" vertical="center" wrapText="1"/>
    </xf>
    <xf numFmtId="0" fontId="0" fillId="0" borderId="10" xfId="0" applyBorder="1"/>
    <xf numFmtId="165" fontId="24" fillId="3" borderId="0" xfId="0" applyNumberFormat="1" applyFont="1" applyFill="1" applyAlignment="1">
      <alignment horizontal="left" vertical="center"/>
    </xf>
    <xf numFmtId="165" fontId="35" fillId="0" borderId="0" xfId="0" applyNumberFormat="1" applyFont="1" applyAlignment="1">
      <alignment horizontal="left" vertical="center" wrapText="1"/>
    </xf>
    <xf numFmtId="0" fontId="57" fillId="8" borderId="7" xfId="0" applyFont="1" applyFill="1" applyBorder="1" applyAlignment="1">
      <alignment horizontal="left" vertical="center" wrapText="1"/>
    </xf>
    <xf numFmtId="0" fontId="57" fillId="8" borderId="8" xfId="0" applyFont="1" applyFill="1" applyBorder="1" applyAlignment="1">
      <alignment horizontal="left" vertical="center" wrapText="1"/>
    </xf>
    <xf numFmtId="0" fontId="57" fillId="8" borderId="2" xfId="0" applyFont="1" applyFill="1" applyBorder="1" applyAlignment="1">
      <alignment horizontal="left" vertical="center" wrapText="1"/>
    </xf>
    <xf numFmtId="165" fontId="46" fillId="0" borderId="0" xfId="0" applyNumberFormat="1" applyFont="1" applyAlignment="1">
      <alignment horizontal="left"/>
    </xf>
    <xf numFmtId="165" fontId="44" fillId="3" borderId="9" xfId="0" applyNumberFormat="1" applyFont="1" applyFill="1" applyBorder="1" applyAlignment="1">
      <alignment horizontal="center"/>
    </xf>
    <xf numFmtId="165" fontId="55" fillId="8" borderId="7" xfId="0" applyNumberFormat="1" applyFont="1" applyFill="1" applyBorder="1" applyAlignment="1">
      <alignment horizontal="left" vertical="center" wrapText="1"/>
    </xf>
    <xf numFmtId="0" fontId="55" fillId="8" borderId="8" xfId="0" applyFont="1" applyFill="1" applyBorder="1" applyAlignment="1">
      <alignment horizontal="left" vertical="center" wrapText="1"/>
    </xf>
    <xf numFmtId="0" fontId="55" fillId="8" borderId="2" xfId="0" applyFont="1" applyFill="1" applyBorder="1" applyAlignment="1">
      <alignment horizontal="left" vertical="center" wrapText="1"/>
    </xf>
    <xf numFmtId="165" fontId="24" fillId="0" borderId="0" xfId="0" applyNumberFormat="1" applyFont="1" applyAlignment="1">
      <alignment horizontal="left"/>
    </xf>
    <xf numFmtId="165" fontId="22" fillId="0" borderId="0" xfId="0" applyNumberFormat="1" applyFont="1" applyAlignment="1">
      <alignment horizontal="left"/>
    </xf>
    <xf numFmtId="174" fontId="47" fillId="7" borderId="9" xfId="0" applyNumberFormat="1" applyFont="1" applyFill="1" applyBorder="1" applyAlignment="1">
      <alignment horizontal="center" wrapText="1"/>
    </xf>
    <xf numFmtId="0" fontId="0" fillId="0" borderId="0" xfId="0" applyAlignment="1">
      <alignment horizontal="center" wrapText="1"/>
    </xf>
    <xf numFmtId="0" fontId="0" fillId="0" borderId="1" xfId="0" applyBorder="1" applyAlignment="1">
      <alignment horizontal="center" wrapText="1"/>
    </xf>
    <xf numFmtId="164" fontId="47" fillId="7" borderId="9" xfId="0" applyNumberFormat="1" applyFont="1" applyFill="1" applyBorder="1" applyAlignment="1">
      <alignment horizontal="center" wrapText="1"/>
    </xf>
    <xf numFmtId="164" fontId="47" fillId="7" borderId="0" xfId="0" applyNumberFormat="1" applyFont="1" applyFill="1" applyAlignment="1">
      <alignment horizontal="center" wrapText="1"/>
    </xf>
    <xf numFmtId="164" fontId="47" fillId="7" borderId="1" xfId="0" applyNumberFormat="1" applyFont="1" applyFill="1" applyBorder="1" applyAlignment="1">
      <alignment horizontal="center" wrapText="1"/>
    </xf>
    <xf numFmtId="164" fontId="47" fillId="7" borderId="12" xfId="0" applyNumberFormat="1" applyFont="1" applyFill="1" applyBorder="1" applyAlignment="1">
      <alignment horizontal="center" wrapText="1"/>
    </xf>
    <xf numFmtId="164" fontId="47" fillId="7" borderId="15" xfId="0" applyNumberFormat="1" applyFont="1" applyFill="1" applyBorder="1" applyAlignment="1">
      <alignment horizontal="center" wrapText="1"/>
    </xf>
    <xf numFmtId="164" fontId="47" fillId="7" borderId="10" xfId="0" applyNumberFormat="1" applyFont="1" applyFill="1" applyBorder="1" applyAlignment="1">
      <alignment horizontal="center" wrapText="1"/>
    </xf>
    <xf numFmtId="167" fontId="35" fillId="0" borderId="7" xfId="0" applyNumberFormat="1" applyFont="1" applyBorder="1"/>
    <xf numFmtId="0" fontId="0" fillId="0" borderId="8" xfId="0" applyBorder="1"/>
    <xf numFmtId="165" fontId="47" fillId="7" borderId="9" xfId="0" applyNumberFormat="1" applyFont="1" applyFill="1" applyBorder="1" applyAlignment="1">
      <alignment horizontal="center" vertical="center" wrapText="1"/>
    </xf>
    <xf numFmtId="0" fontId="0" fillId="0" borderId="9" xfId="0" applyBorder="1" applyAlignment="1">
      <alignment horizontal="center" vertical="center" wrapText="1"/>
    </xf>
    <xf numFmtId="167" fontId="35" fillId="0" borderId="8" xfId="0" applyNumberFormat="1" applyFont="1" applyBorder="1"/>
    <xf numFmtId="175" fontId="22" fillId="0" borderId="8" xfId="0" applyNumberFormat="1" applyFont="1" applyBorder="1" applyAlignment="1">
      <alignment horizontal="center"/>
    </xf>
    <xf numFmtId="0" fontId="47" fillId="7" borderId="9" xfId="3" applyFont="1" applyFill="1" applyBorder="1" applyAlignment="1">
      <alignment horizontal="center" vertical="center" wrapText="1"/>
    </xf>
    <xf numFmtId="0" fontId="0" fillId="0" borderId="9" xfId="0" applyBorder="1" applyAlignment="1">
      <alignment vertical="center"/>
    </xf>
    <xf numFmtId="0" fontId="0" fillId="0" borderId="0" xfId="0" applyAlignment="1">
      <alignment vertical="center"/>
    </xf>
    <xf numFmtId="0" fontId="0" fillId="0" borderId="1" xfId="0" applyBorder="1" applyAlignment="1">
      <alignment vertical="center"/>
    </xf>
    <xf numFmtId="165" fontId="47" fillId="7" borderId="11" xfId="0" applyNumberFormat="1" applyFont="1" applyFill="1" applyBorder="1" applyAlignment="1">
      <alignment horizontal="center" vertical="center" wrapText="1"/>
    </xf>
    <xf numFmtId="0" fontId="0" fillId="0" borderId="14" xfId="0" applyBorder="1" applyAlignment="1">
      <alignment horizontal="center" vertical="center" wrapText="1"/>
    </xf>
    <xf numFmtId="175" fontId="53" fillId="7" borderId="13" xfId="0" applyNumberFormat="1" applyFont="1" applyFill="1" applyBorder="1" applyAlignment="1">
      <alignment horizontal="center"/>
    </xf>
    <xf numFmtId="175" fontId="0" fillId="0" borderId="10" xfId="0" applyNumberFormat="1" applyBorder="1" applyAlignment="1">
      <alignment horizontal="center"/>
    </xf>
    <xf numFmtId="179" fontId="53" fillId="7" borderId="11" xfId="0" applyNumberFormat="1" applyFont="1" applyFill="1" applyBorder="1" applyAlignment="1">
      <alignment horizontal="center"/>
    </xf>
    <xf numFmtId="0" fontId="0" fillId="0" borderId="12" xfId="0" applyBorder="1" applyAlignment="1">
      <alignment horizontal="center"/>
    </xf>
    <xf numFmtId="0" fontId="22" fillId="0" borderId="8" xfId="0" applyFont="1" applyBorder="1"/>
    <xf numFmtId="165" fontId="68" fillId="7" borderId="0" xfId="0" applyNumberFormat="1" applyFont="1" applyFill="1" applyAlignment="1">
      <alignment horizontal="left" vertical="center" wrapText="1"/>
    </xf>
    <xf numFmtId="165" fontId="86" fillId="7" borderId="8" xfId="0" applyNumberFormat="1" applyFont="1" applyFill="1" applyBorder="1" applyAlignment="1">
      <alignment vertical="center" wrapText="1"/>
    </xf>
    <xf numFmtId="178" fontId="86" fillId="7" borderId="8" xfId="0" applyNumberFormat="1" applyFont="1" applyFill="1" applyBorder="1" applyAlignment="1">
      <alignment horizontal="center" vertical="center" wrapText="1"/>
    </xf>
    <xf numFmtId="178" fontId="75" fillId="0" borderId="8" xfId="0" applyNumberFormat="1" applyFont="1" applyBorder="1" applyAlignment="1">
      <alignment horizontal="center" vertical="center" wrapText="1"/>
    </xf>
    <xf numFmtId="178" fontId="24" fillId="0" borderId="0" xfId="0" applyNumberFormat="1" applyFont="1" applyAlignment="1">
      <alignment horizontal="center" vertical="center" wrapText="1"/>
    </xf>
    <xf numFmtId="165" fontId="47" fillId="0" borderId="0" xfId="0" applyNumberFormat="1" applyFont="1" applyAlignment="1">
      <alignment horizontal="left" vertical="center" wrapText="1"/>
    </xf>
    <xf numFmtId="0" fontId="47" fillId="0" borderId="0" xfId="0" applyFont="1" applyAlignment="1">
      <alignment horizontal="left" vertical="center" wrapText="1"/>
    </xf>
    <xf numFmtId="0" fontId="38" fillId="0" borderId="57" xfId="15" applyFont="1" applyBorder="1" applyAlignment="1">
      <alignment horizontal="center"/>
    </xf>
    <xf numFmtId="0" fontId="38" fillId="0" borderId="6" xfId="15" applyFont="1" applyBorder="1" applyAlignment="1">
      <alignment horizontal="center"/>
    </xf>
    <xf numFmtId="0" fontId="40" fillId="0" borderId="16" xfId="15" applyFont="1" applyBorder="1" applyAlignment="1">
      <alignment horizontal="center"/>
    </xf>
    <xf numFmtId="0" fontId="40" fillId="0" borderId="0" xfId="15" applyFont="1" applyAlignment="1">
      <alignment horizontal="center"/>
    </xf>
    <xf numFmtId="0" fontId="32" fillId="0" borderId="7" xfId="15" applyFont="1" applyBorder="1" applyAlignment="1">
      <alignment horizontal="center"/>
    </xf>
    <xf numFmtId="0" fontId="32" fillId="0" borderId="8" xfId="15" applyFont="1" applyBorder="1" applyAlignment="1">
      <alignment horizontal="center"/>
    </xf>
    <xf numFmtId="0" fontId="32" fillId="0" borderId="2" xfId="15" applyFont="1" applyBorder="1" applyAlignment="1">
      <alignment horizontal="center"/>
    </xf>
    <xf numFmtId="0" fontId="38" fillId="0" borderId="6" xfId="15" applyFont="1" applyBorder="1" applyAlignment="1">
      <alignment horizontal="center" wrapText="1"/>
    </xf>
    <xf numFmtId="0" fontId="38" fillId="0" borderId="7" xfId="15" applyFont="1" applyBorder="1" applyAlignment="1">
      <alignment horizontal="center"/>
    </xf>
    <xf numFmtId="0" fontId="37" fillId="0" borderId="7" xfId="17" applyFont="1" applyBorder="1" applyAlignment="1">
      <alignment horizontal="center"/>
    </xf>
    <xf numFmtId="0" fontId="37" fillId="0" borderId="2" xfId="17" applyFont="1" applyBorder="1" applyAlignment="1">
      <alignment horizontal="center"/>
    </xf>
    <xf numFmtId="0" fontId="32" fillId="3" borderId="0" xfId="15" applyFont="1" applyFill="1" applyAlignment="1">
      <alignment horizontal="center" vertical="top" wrapText="1"/>
    </xf>
    <xf numFmtId="0" fontId="0" fillId="0" borderId="2" xfId="0" applyBorder="1"/>
    <xf numFmtId="0" fontId="38" fillId="0" borderId="7" xfId="15" applyFont="1" applyBorder="1" applyAlignment="1">
      <alignment horizontal="center" wrapText="1"/>
    </xf>
    <xf numFmtId="0" fontId="0" fillId="0" borderId="8" xfId="0" applyBorder="1" applyAlignment="1">
      <alignment horizontal="center" wrapText="1"/>
    </xf>
    <xf numFmtId="165" fontId="22" fillId="0" borderId="7" xfId="3" applyNumberFormat="1" applyBorder="1" applyAlignment="1">
      <alignment horizontal="center"/>
    </xf>
    <xf numFmtId="165" fontId="22" fillId="0" borderId="2" xfId="3" applyNumberFormat="1" applyBorder="1" applyAlignment="1">
      <alignment horizontal="center"/>
    </xf>
    <xf numFmtId="165" fontId="22" fillId="0" borderId="8" xfId="3" applyNumberFormat="1" applyBorder="1" applyAlignment="1">
      <alignment horizontal="center"/>
    </xf>
    <xf numFmtId="165" fontId="22" fillId="0" borderId="6" xfId="3" applyNumberFormat="1" applyBorder="1" applyAlignment="1">
      <alignment horizontal="center"/>
    </xf>
    <xf numFmtId="165" fontId="22" fillId="0" borderId="6" xfId="3" applyNumberFormat="1" applyBorder="1" applyAlignment="1">
      <alignment horizontal="center" wrapText="1"/>
    </xf>
    <xf numFmtId="0" fontId="29" fillId="0" borderId="7" xfId="3" applyFont="1" applyBorder="1" applyAlignment="1">
      <alignment horizontal="center"/>
    </xf>
    <xf numFmtId="0" fontId="0" fillId="0" borderId="8" xfId="0" applyBorder="1" applyAlignment="1">
      <alignment horizontal="center"/>
    </xf>
    <xf numFmtId="0" fontId="0" fillId="0" borderId="2" xfId="0" applyBorder="1" applyAlignment="1">
      <alignment horizontal="center"/>
    </xf>
    <xf numFmtId="165" fontId="22" fillId="0" borderId="9" xfId="3" applyNumberFormat="1" applyBorder="1" applyAlignment="1">
      <alignment horizontal="center"/>
    </xf>
    <xf numFmtId="0" fontId="24" fillId="0" borderId="0" xfId="3" applyFont="1" applyAlignment="1">
      <alignment horizontal="center"/>
    </xf>
    <xf numFmtId="0" fontId="26" fillId="0" borderId="7" xfId="3" applyFont="1" applyBorder="1" applyAlignment="1">
      <alignment horizontal="center"/>
    </xf>
    <xf numFmtId="0" fontId="26" fillId="0" borderId="2" xfId="3" applyFont="1" applyBorder="1" applyAlignment="1">
      <alignment horizontal="center"/>
    </xf>
    <xf numFmtId="0" fontId="26" fillId="0" borderId="6" xfId="3" applyFont="1" applyBorder="1" applyAlignment="1">
      <alignment horizontal="center"/>
    </xf>
    <xf numFmtId="0" fontId="13" fillId="0" borderId="6" xfId="4" applyFont="1" applyBorder="1" applyAlignment="1">
      <alignment horizontal="center"/>
    </xf>
    <xf numFmtId="0" fontId="20" fillId="0" borderId="6" xfId="4" applyBorder="1" applyAlignment="1">
      <alignment horizontal="center"/>
    </xf>
    <xf numFmtId="0" fontId="12" fillId="0" borderId="0" xfId="4" applyFont="1" applyAlignment="1">
      <alignment horizontal="left" wrapText="1"/>
    </xf>
    <xf numFmtId="0" fontId="20" fillId="0" borderId="0" xfId="4" applyAlignment="1">
      <alignment wrapText="1"/>
    </xf>
    <xf numFmtId="0" fontId="26" fillId="0" borderId="8" xfId="0" applyFont="1" applyBorder="1" applyAlignment="1">
      <alignment horizontal="center"/>
    </xf>
    <xf numFmtId="0" fontId="26" fillId="0" borderId="2" xfId="0" applyFont="1" applyBorder="1" applyAlignment="1">
      <alignment horizontal="center"/>
    </xf>
    <xf numFmtId="165" fontId="29" fillId="0" borderId="7" xfId="3" applyNumberFormat="1" applyFont="1" applyBorder="1" applyAlignment="1">
      <alignment horizontal="center"/>
    </xf>
    <xf numFmtId="0" fontId="12" fillId="0" borderId="9" xfId="4" applyFont="1" applyBorder="1" applyAlignment="1">
      <alignment horizontal="left" wrapText="1"/>
    </xf>
    <xf numFmtId="0" fontId="0" fillId="0" borderId="9" xfId="0" applyBorder="1" applyAlignment="1">
      <alignment horizontal="left" wrapText="1"/>
    </xf>
    <xf numFmtId="0" fontId="47" fillId="0" borderId="0" xfId="3" applyFont="1" applyAlignment="1">
      <alignment horizontal="left" wrapText="1"/>
    </xf>
    <xf numFmtId="0" fontId="44" fillId="0" borderId="0" xfId="3" applyFont="1" applyAlignment="1">
      <alignment horizontal="center" wrapText="1"/>
    </xf>
    <xf numFmtId="0" fontId="22" fillId="0" borderId="0" xfId="3" applyAlignment="1">
      <alignment wrapText="1"/>
    </xf>
    <xf numFmtId="0" fontId="24" fillId="0" borderId="0" xfId="3" applyFont="1" applyAlignment="1">
      <alignment horizontal="left" wrapText="1"/>
    </xf>
    <xf numFmtId="0" fontId="22" fillId="27" borderId="38" xfId="3" applyFill="1" applyBorder="1" applyAlignment="1" applyProtection="1">
      <alignment vertical="center"/>
      <protection locked="0"/>
    </xf>
    <xf numFmtId="0" fontId="22" fillId="27" borderId="1" xfId="3" applyFill="1" applyBorder="1" applyAlignment="1" applyProtection="1">
      <alignment vertical="center"/>
      <protection locked="0"/>
    </xf>
    <xf numFmtId="0" fontId="22" fillId="27" borderId="7" xfId="3" applyFill="1" applyBorder="1" applyAlignment="1" applyProtection="1">
      <alignment horizontal="center" vertical="center"/>
      <protection locked="0"/>
    </xf>
    <xf numFmtId="0" fontId="22" fillId="27" borderId="8" xfId="3" applyFill="1" applyBorder="1" applyAlignment="1" applyProtection="1">
      <alignment horizontal="center" vertical="center"/>
      <protection locked="0"/>
    </xf>
    <xf numFmtId="0" fontId="22" fillId="27" borderId="2" xfId="3" applyFill="1" applyBorder="1" applyAlignment="1" applyProtection="1">
      <alignment vertical="center"/>
      <protection locked="0"/>
    </xf>
    <xf numFmtId="0" fontId="22" fillId="3" borderId="7" xfId="3" applyFill="1" applyBorder="1" applyAlignment="1">
      <alignment horizontal="center"/>
    </xf>
    <xf numFmtId="0" fontId="22" fillId="3" borderId="8" xfId="3" applyFill="1" applyBorder="1" applyAlignment="1">
      <alignment horizontal="center"/>
    </xf>
    <xf numFmtId="0" fontId="22" fillId="3" borderId="8" xfId="3" applyFill="1" applyBorder="1"/>
    <xf numFmtId="0" fontId="22" fillId="3" borderId="2" xfId="3" applyFill="1" applyBorder="1"/>
    <xf numFmtId="0" fontId="46" fillId="3" borderId="24" xfId="3" applyFont="1" applyFill="1" applyBorder="1" applyAlignment="1">
      <alignment vertical="center" wrapText="1"/>
    </xf>
    <xf numFmtId="0" fontId="128" fillId="3" borderId="25" xfId="22" applyFont="1" applyFill="1" applyBorder="1" applyAlignment="1">
      <alignment vertical="center" wrapText="1"/>
    </xf>
    <xf numFmtId="0" fontId="128" fillId="3" borderId="26" xfId="22" applyFont="1" applyFill="1" applyBorder="1" applyAlignment="1">
      <alignment vertical="center" wrapText="1"/>
    </xf>
    <xf numFmtId="0" fontId="26" fillId="3" borderId="0" xfId="3" applyFont="1" applyFill="1" applyAlignment="1">
      <alignment vertical="center" wrapText="1"/>
    </xf>
    <xf numFmtId="0" fontId="9" fillId="0" borderId="0" xfId="22" applyAlignment="1">
      <alignment wrapText="1"/>
    </xf>
    <xf numFmtId="0" fontId="22" fillId="27" borderId="33" xfId="3" applyFill="1" applyBorder="1" applyAlignment="1" applyProtection="1">
      <alignment vertical="center"/>
      <protection locked="0"/>
    </xf>
    <xf numFmtId="0" fontId="22" fillId="27" borderId="8" xfId="3" applyFill="1" applyBorder="1" applyAlignment="1" applyProtection="1">
      <alignment vertical="center"/>
      <protection locked="0"/>
    </xf>
    <xf numFmtId="0" fontId="22" fillId="29" borderId="52" xfId="3" applyFill="1" applyBorder="1" applyAlignment="1">
      <alignment horizontal="center" vertical="top"/>
    </xf>
    <xf numFmtId="0" fontId="22" fillId="0" borderId="51" xfId="3" applyBorder="1" applyAlignment="1">
      <alignment horizontal="center" vertical="top"/>
    </xf>
    <xf numFmtId="0" fontId="22" fillId="30" borderId="52" xfId="3" applyFill="1" applyBorder="1" applyAlignment="1">
      <alignment horizontal="center"/>
    </xf>
    <xf numFmtId="0" fontId="22" fillId="0" borderId="53" xfId="3" applyBorder="1" applyAlignment="1">
      <alignment horizontal="center"/>
    </xf>
    <xf numFmtId="0" fontId="22" fillId="0" borderId="51" xfId="3" applyBorder="1" applyAlignment="1">
      <alignment horizontal="center"/>
    </xf>
    <xf numFmtId="0" fontId="9" fillId="30" borderId="7" xfId="22" applyFill="1" applyBorder="1" applyAlignment="1">
      <alignment horizontal="center"/>
    </xf>
    <xf numFmtId="0" fontId="22" fillId="30" borderId="2" xfId="3" applyFill="1" applyBorder="1"/>
    <xf numFmtId="0" fontId="22" fillId="29" borderId="7" xfId="3" applyFill="1" applyBorder="1" applyAlignment="1">
      <alignment horizontal="left"/>
    </xf>
    <xf numFmtId="0" fontId="9" fillId="0" borderId="2" xfId="22" applyBorder="1" applyAlignment="1">
      <alignment horizontal="left"/>
    </xf>
    <xf numFmtId="0" fontId="131" fillId="0" borderId="32" xfId="3" applyFont="1" applyBorder="1"/>
    <xf numFmtId="0" fontId="130" fillId="0" borderId="32" xfId="22" applyFont="1" applyBorder="1"/>
    <xf numFmtId="0" fontId="46" fillId="3" borderId="24" xfId="3" applyFont="1" applyFill="1" applyBorder="1" applyAlignment="1">
      <alignment vertical="center"/>
    </xf>
    <xf numFmtId="0" fontId="128" fillId="3" borderId="25" xfId="22" applyFont="1" applyFill="1" applyBorder="1" applyAlignment="1">
      <alignment vertical="center"/>
    </xf>
    <xf numFmtId="0" fontId="128" fillId="3" borderId="26" xfId="22" applyFont="1" applyFill="1" applyBorder="1" applyAlignment="1">
      <alignment vertical="center"/>
    </xf>
    <xf numFmtId="0" fontId="129" fillId="3" borderId="42" xfId="3" applyFont="1" applyFill="1" applyBorder="1"/>
    <xf numFmtId="0" fontId="25" fillId="3" borderId="41" xfId="3" applyFont="1" applyFill="1" applyBorder="1"/>
    <xf numFmtId="0" fontId="25" fillId="3" borderId="40" xfId="3" applyFont="1" applyFill="1" applyBorder="1"/>
    <xf numFmtId="0" fontId="47" fillId="3" borderId="38" xfId="3" applyFont="1" applyFill="1" applyBorder="1" applyAlignment="1">
      <alignment horizontal="center"/>
    </xf>
    <xf numFmtId="0" fontId="47" fillId="3" borderId="1" xfId="3" applyFont="1" applyFill="1" applyBorder="1"/>
    <xf numFmtId="0" fontId="25" fillId="3" borderId="1" xfId="3" applyFont="1" applyFill="1" applyBorder="1" applyAlignment="1">
      <alignment horizontal="center" wrapText="1"/>
    </xf>
    <xf numFmtId="0" fontId="22" fillId="3" borderId="1" xfId="3" applyFill="1" applyBorder="1" applyAlignment="1">
      <alignment wrapText="1"/>
    </xf>
    <xf numFmtId="0" fontId="22" fillId="8" borderId="0" xfId="3" applyFill="1" applyAlignment="1">
      <alignment horizontal="center"/>
    </xf>
    <xf numFmtId="0" fontId="22" fillId="32" borderId="1" xfId="3" applyFill="1" applyBorder="1" applyAlignment="1" applyProtection="1">
      <alignment horizontal="left"/>
      <protection locked="0"/>
    </xf>
    <xf numFmtId="0" fontId="9" fillId="32" borderId="1" xfId="22" applyFill="1" applyBorder="1" applyAlignment="1" applyProtection="1">
      <alignment horizontal="left"/>
      <protection locked="0"/>
    </xf>
    <xf numFmtId="0" fontId="101" fillId="0" borderId="0" xfId="3" applyFont="1" applyAlignment="1">
      <alignment horizontal="center"/>
    </xf>
    <xf numFmtId="0" fontId="22" fillId="0" borderId="0" xfId="3"/>
    <xf numFmtId="0" fontId="22" fillId="0" borderId="0" xfId="3" applyAlignment="1">
      <alignment horizontal="center"/>
    </xf>
    <xf numFmtId="0" fontId="9" fillId="0" borderId="0" xfId="22" applyAlignment="1">
      <alignment horizontal="center"/>
    </xf>
    <xf numFmtId="0" fontId="22" fillId="0" borderId="0" xfId="3" applyAlignment="1">
      <alignment horizontal="left"/>
    </xf>
    <xf numFmtId="14" fontId="22" fillId="32" borderId="1" xfId="3" applyNumberFormat="1" applyFill="1" applyBorder="1" applyAlignment="1" applyProtection="1">
      <alignment horizontal="left"/>
      <protection locked="0"/>
    </xf>
    <xf numFmtId="0" fontId="99" fillId="14" borderId="0" xfId="0" applyFont="1" applyFill="1" applyAlignment="1">
      <alignment wrapText="1"/>
    </xf>
    <xf numFmtId="0" fontId="46" fillId="13" borderId="0" xfId="0" applyFont="1" applyFill="1" applyAlignment="1">
      <alignment wrapText="1"/>
    </xf>
    <xf numFmtId="0" fontId="0" fillId="13" borderId="0" xfId="0" applyFill="1" applyAlignment="1">
      <alignment wrapText="1"/>
    </xf>
    <xf numFmtId="0" fontId="75" fillId="11" borderId="24" xfId="0" applyFont="1" applyFill="1" applyBorder="1" applyAlignment="1">
      <alignment wrapText="1"/>
    </xf>
    <xf numFmtId="0" fontId="0" fillId="0" borderId="25" xfId="0" applyBorder="1" applyAlignment="1">
      <alignment wrapText="1"/>
    </xf>
    <xf numFmtId="0" fontId="0" fillId="0" borderId="26" xfId="0" applyBorder="1" applyAlignment="1">
      <alignment wrapText="1"/>
    </xf>
    <xf numFmtId="0" fontId="75" fillId="11" borderId="16" xfId="0" applyFont="1" applyFill="1" applyBorder="1" applyAlignment="1">
      <alignment wrapText="1"/>
    </xf>
    <xf numFmtId="0" fontId="0" fillId="0" borderId="27" xfId="0" applyBorder="1" applyAlignment="1">
      <alignment wrapText="1"/>
    </xf>
    <xf numFmtId="0" fontId="75" fillId="11" borderId="28" xfId="0" applyFont="1" applyFill="1" applyBorder="1" applyAlignment="1">
      <alignment wrapText="1"/>
    </xf>
    <xf numFmtId="0" fontId="0" fillId="0" borderId="29" xfId="0" applyBorder="1" applyAlignment="1">
      <alignment wrapText="1"/>
    </xf>
    <xf numFmtId="0" fontId="0" fillId="0" borderId="30" xfId="0" applyBorder="1" applyAlignment="1">
      <alignment wrapText="1"/>
    </xf>
    <xf numFmtId="0" fontId="115" fillId="0" borderId="0" xfId="4" applyFont="1" applyAlignment="1">
      <alignment horizontal="left" vertical="top" wrapText="1"/>
    </xf>
    <xf numFmtId="0" fontId="22" fillId="0" borderId="0" xfId="0" applyFont="1" applyAlignment="1">
      <alignment wrapText="1"/>
    </xf>
    <xf numFmtId="0" fontId="32" fillId="0" borderId="0" xfId="4" applyFont="1" applyAlignment="1">
      <alignment horizontal="left" vertical="top" wrapText="1"/>
    </xf>
    <xf numFmtId="0" fontId="26" fillId="0" borderId="0" xfId="0" applyFont="1"/>
    <xf numFmtId="0" fontId="115" fillId="0" borderId="14" xfId="4" applyFont="1" applyBorder="1" applyAlignment="1">
      <alignment horizontal="left" wrapText="1"/>
    </xf>
    <xf numFmtId="0" fontId="35" fillId="0" borderId="0" xfId="0" applyFont="1" applyAlignment="1">
      <alignment wrapText="1"/>
    </xf>
    <xf numFmtId="0" fontId="35" fillId="0" borderId="15" xfId="0" applyFont="1" applyBorder="1" applyAlignment="1">
      <alignment wrapText="1"/>
    </xf>
    <xf numFmtId="0" fontId="35" fillId="0" borderId="0" xfId="0" applyFont="1" applyAlignment="1">
      <alignment horizontal="left" wrapText="1"/>
    </xf>
    <xf numFmtId="0" fontId="35" fillId="0" borderId="15" xfId="0" applyFont="1" applyBorder="1" applyAlignment="1">
      <alignment horizontal="left" wrapText="1"/>
    </xf>
    <xf numFmtId="0" fontId="115" fillId="0" borderId="0" xfId="4" applyFont="1" applyAlignment="1">
      <alignment horizontal="left" wrapText="1"/>
    </xf>
    <xf numFmtId="0" fontId="115" fillId="0" borderId="15" xfId="4" applyFont="1" applyBorder="1" applyAlignment="1">
      <alignment horizontal="left" wrapText="1"/>
    </xf>
    <xf numFmtId="0" fontId="152" fillId="0" borderId="14" xfId="4" applyFont="1" applyBorder="1" applyAlignment="1">
      <alignment horizontal="left" wrapText="1"/>
    </xf>
    <xf numFmtId="0" fontId="75" fillId="0" borderId="0" xfId="0" applyFont="1"/>
    <xf numFmtId="0" fontId="75" fillId="0" borderId="15" xfId="0" applyFont="1" applyBorder="1"/>
    <xf numFmtId="0" fontId="5" fillId="0" borderId="0" xfId="4" applyFont="1" applyAlignment="1">
      <alignment horizontal="left" wrapText="1"/>
    </xf>
    <xf numFmtId="0" fontId="128" fillId="0" borderId="7" xfId="4" applyFont="1" applyBorder="1" applyAlignment="1">
      <alignment horizontal="left" wrapText="1"/>
    </xf>
    <xf numFmtId="0" fontId="46" fillId="0" borderId="8" xfId="0" applyFont="1" applyBorder="1" applyAlignment="1">
      <alignment wrapText="1"/>
    </xf>
    <xf numFmtId="0" fontId="46" fillId="0" borderId="2" xfId="0" applyFont="1" applyBorder="1" applyAlignment="1">
      <alignment wrapText="1"/>
    </xf>
    <xf numFmtId="165" fontId="22" fillId="0" borderId="0" xfId="3" applyNumberFormat="1" applyAlignment="1">
      <alignment horizontal="center"/>
    </xf>
    <xf numFmtId="165" fontId="22" fillId="0" borderId="1" xfId="3" applyNumberFormat="1" applyBorder="1" applyAlignment="1">
      <alignment horizontal="center"/>
    </xf>
    <xf numFmtId="0" fontId="147" fillId="0" borderId="0" xfId="0" applyFont="1" applyAlignment="1">
      <alignment horizontal="center" vertical="center" wrapText="1"/>
    </xf>
    <xf numFmtId="0" fontId="148" fillId="0" borderId="0" xfId="0" applyFont="1" applyAlignment="1">
      <alignment horizontal="center" wrapText="1"/>
    </xf>
    <xf numFmtId="0" fontId="149" fillId="0" borderId="0" xfId="0" applyFont="1" applyAlignment="1">
      <alignment vertical="center" wrapText="1"/>
    </xf>
    <xf numFmtId="0" fontId="35" fillId="0" borderId="0" xfId="0" applyFont="1"/>
    <xf numFmtId="0" fontId="149" fillId="0" borderId="0" xfId="0" applyFont="1" applyAlignment="1">
      <alignment wrapText="1"/>
    </xf>
    <xf numFmtId="0" fontId="146" fillId="0" borderId="0" xfId="0" applyFont="1" applyAlignment="1">
      <alignment vertical="center" wrapText="1"/>
    </xf>
    <xf numFmtId="0" fontId="160" fillId="0" borderId="0" xfId="0" applyFont="1" applyAlignment="1">
      <alignment wrapText="1"/>
    </xf>
    <xf numFmtId="0" fontId="46" fillId="0" borderId="0" xfId="0" applyFont="1" applyAlignment="1">
      <alignment wrapText="1"/>
    </xf>
    <xf numFmtId="0" fontId="71" fillId="16" borderId="11" xfId="19" applyFill="1" applyBorder="1" applyAlignment="1">
      <alignment horizontal="center"/>
    </xf>
    <xf numFmtId="0" fontId="71" fillId="0" borderId="9" xfId="19" applyBorder="1" applyAlignment="1">
      <alignment horizontal="center"/>
    </xf>
    <xf numFmtId="0" fontId="71" fillId="0" borderId="12" xfId="19" applyBorder="1" applyAlignment="1">
      <alignment horizontal="center"/>
    </xf>
    <xf numFmtId="0" fontId="108" fillId="11" borderId="0" xfId="19" applyFont="1" applyFill="1" applyAlignment="1">
      <alignment vertical="center"/>
    </xf>
    <xf numFmtId="0" fontId="108" fillId="11" borderId="0" xfId="19" applyFont="1" applyFill="1"/>
    <xf numFmtId="0" fontId="108" fillId="0" borderId="0" xfId="19" applyFont="1" applyAlignment="1"/>
    <xf numFmtId="0" fontId="108" fillId="11" borderId="0" xfId="19" applyFont="1" applyFill="1" applyAlignment="1"/>
    <xf numFmtId="0" fontId="110" fillId="11" borderId="0" xfId="0" applyFont="1" applyFill="1" applyAlignment="1">
      <alignment vertical="center"/>
    </xf>
    <xf numFmtId="0" fontId="46" fillId="11" borderId="0" xfId="0" applyFont="1" applyFill="1"/>
    <xf numFmtId="0" fontId="109" fillId="11" borderId="0" xfId="0" applyFont="1" applyFill="1" applyAlignment="1">
      <alignment vertical="center"/>
    </xf>
    <xf numFmtId="0" fontId="30" fillId="0" borderId="7" xfId="3" applyFont="1" applyBorder="1" applyAlignment="1">
      <alignment horizontal="center" wrapText="1"/>
    </xf>
    <xf numFmtId="0" fontId="30" fillId="0" borderId="8" xfId="3" applyFont="1" applyBorder="1" applyAlignment="1">
      <alignment horizontal="center" wrapText="1"/>
    </xf>
    <xf numFmtId="0" fontId="30" fillId="0" borderId="2" xfId="3" applyFont="1" applyBorder="1" applyAlignment="1">
      <alignment horizontal="center" wrapText="1"/>
    </xf>
    <xf numFmtId="0" fontId="22" fillId="0" borderId="0" xfId="0" applyFont="1" applyAlignment="1">
      <alignment vertical="center" wrapText="1"/>
    </xf>
    <xf numFmtId="0" fontId="22" fillId="0" borderId="1" xfId="0" applyFont="1" applyBorder="1" applyAlignment="1">
      <alignment vertical="center" wrapText="1"/>
    </xf>
    <xf numFmtId="0" fontId="30" fillId="6" borderId="7" xfId="3" applyFont="1" applyFill="1" applyBorder="1" applyAlignment="1">
      <alignment horizontal="left" wrapText="1"/>
    </xf>
    <xf numFmtId="0" fontId="30" fillId="6" borderId="8" xfId="3" applyFont="1" applyFill="1" applyBorder="1" applyAlignment="1">
      <alignment horizontal="left" wrapText="1"/>
    </xf>
    <xf numFmtId="0" fontId="30" fillId="6" borderId="2" xfId="3" applyFont="1" applyFill="1" applyBorder="1" applyAlignment="1">
      <alignment horizontal="left" wrapText="1"/>
    </xf>
    <xf numFmtId="0" fontId="30" fillId="9" borderId="7" xfId="3" applyFont="1" applyFill="1" applyBorder="1" applyAlignment="1" applyProtection="1">
      <alignment horizontal="left"/>
      <protection locked="0"/>
    </xf>
    <xf numFmtId="0" fontId="30" fillId="9" borderId="8" xfId="3" applyFont="1" applyFill="1" applyBorder="1" applyAlignment="1" applyProtection="1">
      <alignment horizontal="left"/>
      <protection locked="0"/>
    </xf>
    <xf numFmtId="0" fontId="30" fillId="9" borderId="2" xfId="3" applyFont="1" applyFill="1" applyBorder="1" applyAlignment="1" applyProtection="1">
      <alignment horizontal="left"/>
      <protection locked="0"/>
    </xf>
  </cellXfs>
  <cellStyles count="23">
    <cellStyle name="Currency" xfId="11" builtinId="4"/>
    <cellStyle name="Currency 2" xfId="5" xr:uid="{C8F54326-6625-4747-9060-59761245E76C}"/>
    <cellStyle name="Currency 3" xfId="8" xr:uid="{6A878C78-CE42-4B9B-A150-381CB6C7E44E}"/>
    <cellStyle name="Currency 4" xfId="10" xr:uid="{165BBB59-1D47-44CF-AF33-59EEDD7D96F7}"/>
    <cellStyle name="Currency 5" xfId="14" xr:uid="{A8A4A3B0-2296-4FF7-AB35-93EA1CEB45EE}"/>
    <cellStyle name="Currency 6" xfId="16" xr:uid="{8CEFDAA0-7D22-49AE-AB9C-03D83BA99241}"/>
    <cellStyle name="Hyperlink" xfId="19" builtinId="8"/>
    <cellStyle name="Normal" xfId="0" builtinId="0"/>
    <cellStyle name="Normal 10" xfId="20" xr:uid="{AA9DA07B-18A7-4A21-BB76-B17B2902534B}"/>
    <cellStyle name="Normal 2" xfId="1" xr:uid="{00000000-0005-0000-0000-000001000000}"/>
    <cellStyle name="Normal 2 2" xfId="3" xr:uid="{00000000-0005-0000-0000-000002000000}"/>
    <cellStyle name="Normal 3" xfId="2" xr:uid="{00000000-0005-0000-0000-000003000000}"/>
    <cellStyle name="Normal 3 2" xfId="17" xr:uid="{4F6892C3-9CE8-42DE-871F-370EF387CA8E}"/>
    <cellStyle name="Normal 3 3" xfId="22" xr:uid="{04541D6F-EF9C-478D-AC46-7ACD1C7BE205}"/>
    <cellStyle name="Normal 4" xfId="4" xr:uid="{00000000-0005-0000-0000-000004000000}"/>
    <cellStyle name="Normal 4 2" xfId="21" xr:uid="{0EFCAB88-DAC5-40A5-90A7-723551C33D70}"/>
    <cellStyle name="Normal 5" xfId="6" xr:uid="{5DD6B1F0-5618-490D-ACB9-D28B7940B802}"/>
    <cellStyle name="Normal 6" xfId="7" xr:uid="{4DDB4969-C6CB-4451-9CAE-C092E7B3CF95}"/>
    <cellStyle name="Normal 7" xfId="9" xr:uid="{A4648D1E-C435-46A5-B000-1058C24B6184}"/>
    <cellStyle name="Normal 8" xfId="13" xr:uid="{436DF62F-8711-46B5-A8E7-BA0634674050}"/>
    <cellStyle name="Normal 9" xfId="15" xr:uid="{501072AA-8A11-4B22-BE74-A7635D8A47E0}"/>
    <cellStyle name="Percent" xfId="18" builtinId="5"/>
    <cellStyle name="Percent 2" xfId="12" xr:uid="{43088F00-933A-4FD5-AD56-C1667FA786D9}"/>
  </cellStyles>
  <dxfs count="18">
    <dxf>
      <fill>
        <patternFill>
          <bgColor theme="0" tint="-0.14996795556505021"/>
        </patternFill>
      </fill>
    </dxf>
    <dxf>
      <fill>
        <patternFill>
          <bgColor rgb="FFFF7C80"/>
        </patternFill>
      </fill>
    </dxf>
    <dxf>
      <fill>
        <patternFill>
          <bgColor theme="9" tint="0.39994506668294322"/>
        </patternFill>
      </fill>
    </dxf>
    <dxf>
      <fill>
        <patternFill>
          <bgColor rgb="FFDAA29E"/>
        </patternFill>
      </fill>
    </dxf>
    <dxf>
      <font>
        <condense val="0"/>
        <extend val="0"/>
        <color indexed="9"/>
      </font>
    </dxf>
    <dxf>
      <font>
        <condense val="0"/>
        <extend val="0"/>
        <color indexed="9"/>
      </font>
    </dxf>
    <dxf>
      <fill>
        <patternFill>
          <bgColor theme="0" tint="-0.14996795556505021"/>
        </patternFill>
      </fill>
    </dxf>
    <dxf>
      <fill>
        <patternFill>
          <bgColor theme="0" tint="-0.14996795556505021"/>
        </patternFill>
      </fill>
    </dxf>
    <dxf>
      <fill>
        <patternFill>
          <bgColor theme="3" tint="0.7999816888943144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3" tint="0.79998168889431442"/>
        </patternFill>
      </fill>
    </dxf>
    <dxf>
      <fill>
        <patternFill>
          <bgColor theme="0" tint="-0.14996795556505021"/>
        </patternFill>
      </fill>
    </dxf>
    <dxf>
      <numFmt numFmtId="185" formatCode="0.0000"/>
    </dxf>
    <dxf>
      <numFmt numFmtId="185" formatCode="0.0000"/>
    </dxf>
    <dxf>
      <numFmt numFmtId="185" formatCode="0.0000"/>
    </dxf>
    <dxf>
      <numFmt numFmtId="185" formatCode="0.0000"/>
    </dxf>
  </dxfs>
  <tableStyles count="0" defaultTableStyle="TableStyleMedium9" defaultPivotStyle="PivotStyleLight16"/>
  <colors>
    <mruColors>
      <color rgb="FF451BAD"/>
      <color rgb="FF764DDB"/>
      <color rgb="FFF1FFDF"/>
      <color rgb="FFF2FFE1"/>
      <color rgb="FF4D4D4D"/>
      <color rgb="FFF4FFE5"/>
      <color rgb="FFF1FFDE"/>
      <color rgb="FFF5FFF0"/>
      <color rgb="FFE6FFDE"/>
      <color rgb="FFE0FFB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eetMetadata" Target="metadata.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ctrlProps/ctrlProp1.xml><?xml version="1.0" encoding="utf-8"?>
<formControlPr xmlns="http://schemas.microsoft.com/office/spreadsheetml/2009/9/main" objectType="CheckBox" fmlaLink="Print!$AA$3" lockText="1" noThreeD="1"/>
</file>

<file path=xl/ctrlProps/ctrlProp2.xml><?xml version="1.0" encoding="utf-8"?>
<formControlPr xmlns="http://schemas.microsoft.com/office/spreadsheetml/2009/9/main" objectType="CheckBox" fmlaLink="Print!$AA$4" lockText="1" noThreeD="1"/>
</file>

<file path=xl/ctrlProps/ctrlProp3.xml><?xml version="1.0" encoding="utf-8"?>
<formControlPr xmlns="http://schemas.microsoft.com/office/spreadsheetml/2009/9/main" objectType="CheckBox" fmlaLink="Print!$AA$5"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CheckBox" fmlaLink="$AA$2" lockText="1" noThreeD="1"/>
</file>

<file path=xl/ctrlProps/ctrlProp6.xml><?xml version="1.0" encoding="utf-8"?>
<formControlPr xmlns="http://schemas.microsoft.com/office/spreadsheetml/2009/9/main" objectType="CheckBox" fmlaLink="Print!$AA$7" lockText="1" noThreeD="1"/>
</file>

<file path=xl/ctrlProps/ctrlProp7.xml><?xml version="1.0" encoding="utf-8"?>
<formControlPr xmlns="http://schemas.microsoft.com/office/spreadsheetml/2009/9/main" objectType="CheckBox" fmlaLink="Print!$AA$6"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CheckBox" fmlaLink="Print!$AA$9" lockText="1" noThreeD="1"/>
</file>

<file path=xl/ctrlProps/ctrlProp11.xml><?xml version="1.0" encoding="utf-8"?>
<formControlPr xmlns="http://schemas.microsoft.com/office/spreadsheetml/2009/9/main" objectType="CheckBox" fmlaLink="Print!$AA$10" lockText="1" noThreeD="1"/>
</file>

<file path=xl/ctrlProps/ctrlProp12.xml><?xml version="1.0" encoding="utf-8"?>
<formControlPr xmlns="http://schemas.microsoft.com/office/spreadsheetml/2009/9/main" objectType="CheckBox" fmlaLink="Print!$AA$11" lockText="1" noThreeD="1"/>
</file>

<file path=xl/ctrlProps/ctrlProp13.xml><?xml version="1.0" encoding="utf-8"?>
<formControlPr xmlns="http://schemas.microsoft.com/office/spreadsheetml/2009/9/main" objectType="CheckBox" fmlaLink="Print!$AA$8" lockText="1" noThreeD="1"/>
</file>

<file path=xl/ctrlProps/ctrlProp14.xml><?xml version="1.0" encoding="utf-8"?>
<formControlPr xmlns="http://schemas.microsoft.com/office/spreadsheetml/2009/9/main" objectType="CheckBox" fmlaLink="Print!$AA$12" lockText="1" noThreeD="1"/>
</file>

<file path=xl/ctrlProps/ctrlProp15.xml><?xml version="1.0" encoding="utf-8"?>
<formControlPr xmlns="http://schemas.microsoft.com/office/spreadsheetml/2009/9/main" objectType="CheckBox" fmlaLink="Print!$AA$13" lockText="1" noThreeD="1"/>
</file>

<file path=xl/ctrlProps/ctrlProp16.xml><?xml version="1.0" encoding="utf-8"?>
<formControlPr xmlns="http://schemas.microsoft.com/office/spreadsheetml/2009/9/main" objectType="CheckBox" fmlaLink="Print!$AA$14" lockText="1" noThreeD="1"/>
</file>

<file path=xl/ctrlProps/ctrlProp17.xml><?xml version="1.0" encoding="utf-8"?>
<formControlPr xmlns="http://schemas.microsoft.com/office/spreadsheetml/2009/9/main" objectType="CheckBox" fmlaLink="Print!$AA$15" lockText="1" noThreeD="1"/>
</file>

<file path=xl/ctrlProps/ctrlProp18.xml><?xml version="1.0" encoding="utf-8"?>
<formControlPr xmlns="http://schemas.microsoft.com/office/spreadsheetml/2009/9/main" objectType="CheckBox" fmlaLink="Print!$AA$16" lockText="1" noThreeD="1"/>
</file>

<file path=xl/ctrlProps/ctrlProp19.xml><?xml version="1.0" encoding="utf-8"?>
<formControlPr xmlns="http://schemas.microsoft.com/office/spreadsheetml/2009/9/main" objectType="CheckBox" fmlaLink="Print!$AA$17" lockText="1" noThreeD="1"/>
</file>

<file path=xl/ctrlProps/ctrlProp20.xml><?xml version="1.0" encoding="utf-8"?>
<formControlPr xmlns="http://schemas.microsoft.com/office/spreadsheetml/2009/9/main" objectType="CheckBox" fmlaLink="Print!$AA$18" lockText="1" noThreeD="1"/>
</file>

<file path=xl/ctrlProps/ctrlProp21.xml><?xml version="1.0" encoding="utf-8"?>
<formControlPr xmlns="http://schemas.microsoft.com/office/spreadsheetml/2009/9/main" objectType="CheckBox" fmlaLink="Print!$AA$19" lockText="1" noThreeD="1"/>
</file>

<file path=xl/ctrlProps/ctrlProp22.xml><?xml version="1.0" encoding="utf-8"?>
<formControlPr xmlns="http://schemas.microsoft.com/office/spreadsheetml/2009/9/main" objectType="CheckBox" fmlaLink="Print!$AA$20" lockText="1" noThreeD="1"/>
</file>

<file path=xl/ctrlProps/ctrlProp23.xml><?xml version="1.0" encoding="utf-8"?>
<formControlPr xmlns="http://schemas.microsoft.com/office/spreadsheetml/2009/9/main" objectType="CheckBox" fmlaLink="Print!$AA$21" lockText="1" noThreeD="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CheckBox" fmlaLink="Print!$AA$22" lockText="1" noThreeD="1"/>
</file>

<file path=xl/ctrlProps/ctrlProp26.xml><?xml version="1.0" encoding="utf-8"?>
<formControlPr xmlns="http://schemas.microsoft.com/office/spreadsheetml/2009/9/main" objectType="CheckBox" fmlaLink="Print!$AA$23" lockText="1" noThreeD="1"/>
</file>

<file path=xl/ctrlProps/ctrlProp27.xml><?xml version="1.0" encoding="utf-8"?>
<formControlPr xmlns="http://schemas.microsoft.com/office/spreadsheetml/2009/9/main" objectType="CheckBox" fmlaLink="Print!$AA$24" lockText="1" noThreeD="1"/>
</file>

<file path=xl/ctrlProps/ctrlProp28.xml><?xml version="1.0" encoding="utf-8"?>
<formControlPr xmlns="http://schemas.microsoft.com/office/spreadsheetml/2009/9/main" objectType="CheckBox" fmlaLink="Print!$AA$25" lockText="1" noThreeD="1"/>
</file>

<file path=xl/ctrlProps/ctrlProp29.xml><?xml version="1.0" encoding="utf-8"?>
<formControlPr xmlns="http://schemas.microsoft.com/office/spreadsheetml/2009/9/main" objectType="CheckBox" fmlaLink="Print!$AA$26" lockText="1" noThreeD="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CheckBox" fmlaLink="$N$76" lockText="1" noThreeD="1"/>
</file>

<file path=xl/ctrlProps/ctrlProp34.xml><?xml version="1.0" encoding="utf-8"?>
<formControlPr xmlns="http://schemas.microsoft.com/office/spreadsheetml/2009/9/main" objectType="CheckBox" fmlaLink="$M$76" lockText="1" noThreeD="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CheckBox" fmlaLink="Q31" lockText="1" noThreeD="1"/>
</file>

<file path=xl/ctrlProps/ctrlProp57.xml><?xml version="1.0" encoding="utf-8"?>
<formControlPr xmlns="http://schemas.microsoft.com/office/spreadsheetml/2009/9/main" objectType="CheckBox" fmlaLink="Q44" lockText="1" noThreeD="1"/>
</file>

<file path=xl/ctrlProps/ctrlProp58.xml><?xml version="1.0" encoding="utf-8"?>
<formControlPr xmlns="http://schemas.microsoft.com/office/spreadsheetml/2009/9/main" objectType="CheckBox" checked="Checked" fmlaLink="R9" lockText="1" noThreeD="1"/>
</file>

<file path=xl/ctrlProps/ctrlProp59.xml><?xml version="1.0" encoding="utf-8"?>
<formControlPr xmlns="http://schemas.microsoft.com/office/spreadsheetml/2009/9/main" objectType="CheckBox" fmlaLink="Q9" lockText="1" noThreeD="1"/>
</file>

<file path=xl/ctrlProps/ctrlProp60.xml><?xml version="1.0" encoding="utf-8"?>
<formControlPr xmlns="http://schemas.microsoft.com/office/spreadsheetml/2009/9/main" objectType="CheckBox" fmlaLink="P9" lockText="1" noThreeD="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1.png"/><Relationship Id="rId3" Type="http://schemas.openxmlformats.org/officeDocument/2006/relationships/image" Target="../media/image5.jpg"/><Relationship Id="rId7" Type="http://schemas.openxmlformats.org/officeDocument/2006/relationships/image" Target="cid:image007.jpg@01D6AE9A.546FAD90" TargetMode="External"/><Relationship Id="rId12" Type="http://schemas.openxmlformats.org/officeDocument/2006/relationships/image" Target="../media/image10.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7.jpeg"/><Relationship Id="rId11" Type="http://schemas.openxmlformats.org/officeDocument/2006/relationships/image" Target="../media/image9.png"/><Relationship Id="rId5" Type="http://schemas.openxmlformats.org/officeDocument/2006/relationships/image" Target="cid:image001.jpg@01D6AE9A.546FAD90" TargetMode="External"/><Relationship Id="rId15" Type="http://schemas.openxmlformats.org/officeDocument/2006/relationships/image" Target="../media/image13.png"/><Relationship Id="rId10" Type="http://schemas.openxmlformats.org/officeDocument/2006/relationships/image" Target="cid:image008.jpg@01D6AE9A.546FAD90" TargetMode="External"/><Relationship Id="rId4" Type="http://schemas.openxmlformats.org/officeDocument/2006/relationships/image" Target="../media/image6.jpeg"/><Relationship Id="rId9" Type="http://schemas.microsoft.com/office/2007/relationships/hdphoto" Target="../media/hdphoto1.wdp"/><Relationship Id="rId14" Type="http://schemas.openxmlformats.org/officeDocument/2006/relationships/image" Target="../media/image1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oneCellAnchor>
    <xdr:from>
      <xdr:col>19</xdr:col>
      <xdr:colOff>6657975</xdr:colOff>
      <xdr:row>11</xdr:row>
      <xdr:rowOff>128518</xdr:rowOff>
    </xdr:from>
    <xdr:ext cx="3267075" cy="3633857"/>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92000" y="2224018"/>
          <a:ext cx="3267075" cy="3633857"/>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2</xdr:col>
          <xdr:colOff>152400</xdr:colOff>
          <xdr:row>8</xdr:row>
          <xdr:rowOff>228600</xdr:rowOff>
        </xdr:from>
        <xdr:to>
          <xdr:col>3</xdr:col>
          <xdr:colOff>0</xdr:colOff>
          <xdr:row>10</xdr:row>
          <xdr:rowOff>19050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0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10</xdr:row>
          <xdr:rowOff>19050</xdr:rowOff>
        </xdr:from>
        <xdr:to>
          <xdr:col>2</xdr:col>
          <xdr:colOff>352425</xdr:colOff>
          <xdr:row>10</xdr:row>
          <xdr:rowOff>209550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0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11</xdr:row>
          <xdr:rowOff>9525</xdr:rowOff>
        </xdr:from>
        <xdr:to>
          <xdr:col>2</xdr:col>
          <xdr:colOff>352425</xdr:colOff>
          <xdr:row>11</xdr:row>
          <xdr:rowOff>219075</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00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590550</xdr:colOff>
          <xdr:row>21</xdr:row>
          <xdr:rowOff>133350</xdr:rowOff>
        </xdr:from>
        <xdr:to>
          <xdr:col>8</xdr:col>
          <xdr:colOff>609600</xdr:colOff>
          <xdr:row>23</xdr:row>
          <xdr:rowOff>19050</xdr:rowOff>
        </xdr:to>
        <xdr:sp macro="" textlink="">
          <xdr:nvSpPr>
            <xdr:cNvPr id="17413" name="Button 5" hidden="1">
              <a:extLst>
                <a:ext uri="{63B3BB69-23CF-44E3-9099-C40C66FF867C}">
                  <a14:compatExt spid="_x0000_s17413"/>
                </a:ext>
                <a:ext uri="{FF2B5EF4-FFF2-40B4-BE49-F238E27FC236}">
                  <a16:creationId xmlns:a16="http://schemas.microsoft.com/office/drawing/2014/main" id="{00000000-0008-0000-0000-000005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800" b="1" i="1" u="none" strike="noStrike" baseline="0">
                  <a:solidFill>
                    <a:srgbClr val="000000"/>
                  </a:solidFill>
                  <a:latin typeface="Calibri"/>
                  <a:ea typeface="Calibri"/>
                  <a:cs typeface="Calibri"/>
                </a:rPr>
                <a:t>Preview 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161925</xdr:colOff>
          <xdr:row>7</xdr:row>
          <xdr:rowOff>219075</xdr:rowOff>
        </xdr:from>
        <xdr:to>
          <xdr:col>3</xdr:col>
          <xdr:colOff>85725</xdr:colOff>
          <xdr:row>9</xdr:row>
          <xdr:rowOff>19050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00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13</xdr:row>
          <xdr:rowOff>0</xdr:rowOff>
        </xdr:from>
        <xdr:to>
          <xdr:col>2</xdr:col>
          <xdr:colOff>352425</xdr:colOff>
          <xdr:row>14</xdr:row>
          <xdr:rowOff>47625</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00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142875</xdr:colOff>
          <xdr:row>12</xdr:row>
          <xdr:rowOff>19050</xdr:rowOff>
        </xdr:from>
        <xdr:to>
          <xdr:col>2</xdr:col>
          <xdr:colOff>342900</xdr:colOff>
          <xdr:row>13</xdr:row>
          <xdr:rowOff>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00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28575</xdr:colOff>
          <xdr:row>0</xdr:row>
          <xdr:rowOff>57150</xdr:rowOff>
        </xdr:from>
        <xdr:to>
          <xdr:col>0</xdr:col>
          <xdr:colOff>1171575</xdr:colOff>
          <xdr:row>0</xdr:row>
          <xdr:rowOff>466725</xdr:rowOff>
        </xdr:to>
        <xdr:sp macro="" textlink="">
          <xdr:nvSpPr>
            <xdr:cNvPr id="17417" name="Button 9" hidden="1">
              <a:extLst>
                <a:ext uri="{63B3BB69-23CF-44E3-9099-C40C66FF867C}">
                  <a14:compatExt spid="_x0000_s17417"/>
                </a:ext>
                <a:ext uri="{FF2B5EF4-FFF2-40B4-BE49-F238E27FC236}">
                  <a16:creationId xmlns:a16="http://schemas.microsoft.com/office/drawing/2014/main" id="{00000000-0008-0000-0000-000009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Go To Cover Crop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38100</xdr:colOff>
          <xdr:row>0</xdr:row>
          <xdr:rowOff>142875</xdr:rowOff>
        </xdr:from>
        <xdr:to>
          <xdr:col>27</xdr:col>
          <xdr:colOff>962025</xdr:colOff>
          <xdr:row>0</xdr:row>
          <xdr:rowOff>390525</xdr:rowOff>
        </xdr:to>
        <xdr:sp macro="" textlink="">
          <xdr:nvSpPr>
            <xdr:cNvPr id="17418" name="Button 10" hidden="1">
              <a:extLst>
                <a:ext uri="{63B3BB69-23CF-44E3-9099-C40C66FF867C}">
                  <a14:compatExt spid="_x0000_s17418"/>
                </a:ext>
                <a:ext uri="{FF2B5EF4-FFF2-40B4-BE49-F238E27FC236}">
                  <a16:creationId xmlns:a16="http://schemas.microsoft.com/office/drawing/2014/main" id="{00000000-0008-0000-0000-00000A4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List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15</xdr:row>
          <xdr:rowOff>9525</xdr:rowOff>
        </xdr:from>
        <xdr:to>
          <xdr:col>3</xdr:col>
          <xdr:colOff>57150</xdr:colOff>
          <xdr:row>16</xdr:row>
          <xdr:rowOff>38100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00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16</xdr:row>
          <xdr:rowOff>0</xdr:rowOff>
        </xdr:from>
        <xdr:to>
          <xdr:col>3</xdr:col>
          <xdr:colOff>57150</xdr:colOff>
          <xdr:row>17</xdr:row>
          <xdr:rowOff>28575</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00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17</xdr:row>
          <xdr:rowOff>0</xdr:rowOff>
        </xdr:from>
        <xdr:to>
          <xdr:col>3</xdr:col>
          <xdr:colOff>47625</xdr:colOff>
          <xdr:row>18</xdr:row>
          <xdr:rowOff>28575</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00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14</xdr:row>
          <xdr:rowOff>9525</xdr:rowOff>
        </xdr:from>
        <xdr:to>
          <xdr:col>3</xdr:col>
          <xdr:colOff>57150</xdr:colOff>
          <xdr:row>15</xdr:row>
          <xdr:rowOff>38100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00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123825</xdr:colOff>
          <xdr:row>18</xdr:row>
          <xdr:rowOff>0</xdr:rowOff>
        </xdr:from>
        <xdr:to>
          <xdr:col>3</xdr:col>
          <xdr:colOff>47625</xdr:colOff>
          <xdr:row>19</xdr:row>
          <xdr:rowOff>28575</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00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114300</xdr:colOff>
          <xdr:row>18</xdr:row>
          <xdr:rowOff>219075</xdr:rowOff>
        </xdr:from>
        <xdr:to>
          <xdr:col>3</xdr:col>
          <xdr:colOff>38100</xdr:colOff>
          <xdr:row>20</xdr:row>
          <xdr:rowOff>19050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00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7</xdr:row>
          <xdr:rowOff>219075</xdr:rowOff>
        </xdr:from>
        <xdr:to>
          <xdr:col>5</xdr:col>
          <xdr:colOff>523875</xdr:colOff>
          <xdr:row>9</xdr:row>
          <xdr:rowOff>19050</xdr:rowOff>
        </xdr:to>
        <xdr:sp macro="" textlink="">
          <xdr:nvSpPr>
            <xdr:cNvPr id="17425" name="Check Box 17" hidden="1">
              <a:extLst>
                <a:ext uri="{63B3BB69-23CF-44E3-9099-C40C66FF867C}">
                  <a14:compatExt spid="_x0000_s17425"/>
                </a:ext>
                <a:ext uri="{FF2B5EF4-FFF2-40B4-BE49-F238E27FC236}">
                  <a16:creationId xmlns:a16="http://schemas.microsoft.com/office/drawing/2014/main" id="{00000000-0008-0000-0000-00001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8</xdr:row>
          <xdr:rowOff>209550</xdr:rowOff>
        </xdr:from>
        <xdr:to>
          <xdr:col>5</xdr:col>
          <xdr:colOff>523875</xdr:colOff>
          <xdr:row>10</xdr:row>
          <xdr:rowOff>9525</xdr:rowOff>
        </xdr:to>
        <xdr:sp macro="" textlink="">
          <xdr:nvSpPr>
            <xdr:cNvPr id="17426" name="Check Box 18" hidden="1">
              <a:extLst>
                <a:ext uri="{63B3BB69-23CF-44E3-9099-C40C66FF867C}">
                  <a14:compatExt spid="_x0000_s17426"/>
                </a:ext>
                <a:ext uri="{FF2B5EF4-FFF2-40B4-BE49-F238E27FC236}">
                  <a16:creationId xmlns:a16="http://schemas.microsoft.com/office/drawing/2014/main" id="{00000000-0008-0000-0000-00001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9</xdr:row>
          <xdr:rowOff>209550</xdr:rowOff>
        </xdr:from>
        <xdr:to>
          <xdr:col>5</xdr:col>
          <xdr:colOff>523875</xdr:colOff>
          <xdr:row>11</xdr:row>
          <xdr:rowOff>9525</xdr:rowOff>
        </xdr:to>
        <xdr:sp macro="" textlink="">
          <xdr:nvSpPr>
            <xdr:cNvPr id="17427" name="Check Box 19" hidden="1">
              <a:extLst>
                <a:ext uri="{63B3BB69-23CF-44E3-9099-C40C66FF867C}">
                  <a14:compatExt spid="_x0000_s17427"/>
                </a:ext>
                <a:ext uri="{FF2B5EF4-FFF2-40B4-BE49-F238E27FC236}">
                  <a16:creationId xmlns:a16="http://schemas.microsoft.com/office/drawing/2014/main" id="{00000000-0008-0000-0000-00001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10</xdr:row>
          <xdr:rowOff>190500</xdr:rowOff>
        </xdr:from>
        <xdr:to>
          <xdr:col>5</xdr:col>
          <xdr:colOff>523875</xdr:colOff>
          <xdr:row>11</xdr:row>
          <xdr:rowOff>219075</xdr:rowOff>
        </xdr:to>
        <xdr:sp macro="" textlink="">
          <xdr:nvSpPr>
            <xdr:cNvPr id="17428" name="Check Box 20" hidden="1">
              <a:extLst>
                <a:ext uri="{63B3BB69-23CF-44E3-9099-C40C66FF867C}">
                  <a14:compatExt spid="_x0000_s17428"/>
                </a:ext>
                <a:ext uri="{FF2B5EF4-FFF2-40B4-BE49-F238E27FC236}">
                  <a16:creationId xmlns:a16="http://schemas.microsoft.com/office/drawing/2014/main" id="{00000000-0008-0000-0000-00001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11</xdr:row>
          <xdr:rowOff>200025</xdr:rowOff>
        </xdr:from>
        <xdr:to>
          <xdr:col>5</xdr:col>
          <xdr:colOff>523875</xdr:colOff>
          <xdr:row>13</xdr:row>
          <xdr:rowOff>0</xdr:rowOff>
        </xdr:to>
        <xdr:sp macro="" textlink="">
          <xdr:nvSpPr>
            <xdr:cNvPr id="17429" name="Check Box 21" hidden="1">
              <a:extLst>
                <a:ext uri="{63B3BB69-23CF-44E3-9099-C40C66FF867C}">
                  <a14:compatExt spid="_x0000_s17429"/>
                </a:ext>
                <a:ext uri="{FF2B5EF4-FFF2-40B4-BE49-F238E27FC236}">
                  <a16:creationId xmlns:a16="http://schemas.microsoft.com/office/drawing/2014/main" id="{00000000-0008-0000-0000-00001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12</xdr:row>
          <xdr:rowOff>200025</xdr:rowOff>
        </xdr:from>
        <xdr:to>
          <xdr:col>5</xdr:col>
          <xdr:colOff>523875</xdr:colOff>
          <xdr:row>14</xdr:row>
          <xdr:rowOff>0</xdr:rowOff>
        </xdr:to>
        <xdr:sp macro="" textlink="">
          <xdr:nvSpPr>
            <xdr:cNvPr id="17430" name="Check Box 22" hidden="1">
              <a:extLst>
                <a:ext uri="{63B3BB69-23CF-44E3-9099-C40C66FF867C}">
                  <a14:compatExt spid="_x0000_s17430"/>
                </a:ext>
                <a:ext uri="{FF2B5EF4-FFF2-40B4-BE49-F238E27FC236}">
                  <a16:creationId xmlns:a16="http://schemas.microsoft.com/office/drawing/2014/main" id="{00000000-0008-0000-0000-00001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13</xdr:row>
          <xdr:rowOff>209550</xdr:rowOff>
        </xdr:from>
        <xdr:to>
          <xdr:col>5</xdr:col>
          <xdr:colOff>523875</xdr:colOff>
          <xdr:row>15</xdr:row>
          <xdr:rowOff>0</xdr:rowOff>
        </xdr:to>
        <xdr:sp macro="" textlink="">
          <xdr:nvSpPr>
            <xdr:cNvPr id="17431" name="Check Box 23" hidden="1">
              <a:extLst>
                <a:ext uri="{63B3BB69-23CF-44E3-9099-C40C66FF867C}">
                  <a14:compatExt spid="_x0000_s17431"/>
                </a:ext>
                <a:ext uri="{FF2B5EF4-FFF2-40B4-BE49-F238E27FC236}">
                  <a16:creationId xmlns:a16="http://schemas.microsoft.com/office/drawing/2014/main" id="{00000000-0008-0000-0000-00001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14</xdr:row>
          <xdr:rowOff>219075</xdr:rowOff>
        </xdr:from>
        <xdr:to>
          <xdr:col>5</xdr:col>
          <xdr:colOff>523875</xdr:colOff>
          <xdr:row>16</xdr:row>
          <xdr:rowOff>19050</xdr:rowOff>
        </xdr:to>
        <xdr:sp macro="" textlink="">
          <xdr:nvSpPr>
            <xdr:cNvPr id="17432" name="Check Box 24" hidden="1">
              <a:extLst>
                <a:ext uri="{63B3BB69-23CF-44E3-9099-C40C66FF867C}">
                  <a14:compatExt spid="_x0000_s17432"/>
                </a:ext>
                <a:ext uri="{FF2B5EF4-FFF2-40B4-BE49-F238E27FC236}">
                  <a16:creationId xmlns:a16="http://schemas.microsoft.com/office/drawing/2014/main" id="{00000000-0008-0000-0000-00001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23</xdr:row>
          <xdr:rowOff>171450</xdr:rowOff>
        </xdr:from>
        <xdr:to>
          <xdr:col>8</xdr:col>
          <xdr:colOff>600075</xdr:colOff>
          <xdr:row>25</xdr:row>
          <xdr:rowOff>123825</xdr:rowOff>
        </xdr:to>
        <xdr:sp macro="" textlink="">
          <xdr:nvSpPr>
            <xdr:cNvPr id="17433" name="Button 25" hidden="1">
              <a:extLst>
                <a:ext uri="{63B3BB69-23CF-44E3-9099-C40C66FF867C}">
                  <a14:compatExt spid="_x0000_s17433"/>
                </a:ext>
                <a:ext uri="{FF2B5EF4-FFF2-40B4-BE49-F238E27FC236}">
                  <a16:creationId xmlns:a16="http://schemas.microsoft.com/office/drawing/2014/main" id="{00000000-0008-0000-0000-0000194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800" b="1" i="1" u="none" strike="noStrike" baseline="0">
                  <a:solidFill>
                    <a:srgbClr val="000000"/>
                  </a:solidFill>
                  <a:latin typeface="Calibri"/>
                  <a:ea typeface="Calibri"/>
                  <a:cs typeface="Calibri"/>
                </a:rPr>
                <a:t>Preview PDF</a:t>
              </a:r>
            </a:p>
          </xdr:txBody>
        </xdr:sp>
        <xdr:clientData fPrintsWithSheet="0"/>
      </xdr:twoCellAnchor>
    </mc:Choice>
    <mc:Fallback/>
  </mc:AlternateContent>
  <xdr:twoCellAnchor>
    <xdr:from>
      <xdr:col>20</xdr:col>
      <xdr:colOff>323850</xdr:colOff>
      <xdr:row>17</xdr:row>
      <xdr:rowOff>190500</xdr:rowOff>
    </xdr:from>
    <xdr:to>
      <xdr:col>21</xdr:col>
      <xdr:colOff>47625</xdr:colOff>
      <xdr:row>23</xdr:row>
      <xdr:rowOff>114300</xdr:rowOff>
    </xdr:to>
    <xdr:cxnSp macro="">
      <xdr:nvCxnSpPr>
        <xdr:cNvPr id="3" name="Straight Arrow Connector 2">
          <a:extLst>
            <a:ext uri="{FF2B5EF4-FFF2-40B4-BE49-F238E27FC236}">
              <a16:creationId xmlns:a16="http://schemas.microsoft.com/office/drawing/2014/main" id="{00000000-0008-0000-0000-000003000000}"/>
            </a:ext>
          </a:extLst>
        </xdr:cNvPr>
        <xdr:cNvCxnSpPr/>
      </xdr:nvCxnSpPr>
      <xdr:spPr>
        <a:xfrm flipH="1">
          <a:off x="12515850" y="3429000"/>
          <a:ext cx="333375" cy="1066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1724025</xdr:colOff>
      <xdr:row>18</xdr:row>
      <xdr:rowOff>147204</xdr:rowOff>
    </xdr:from>
    <xdr:to>
      <xdr:col>21</xdr:col>
      <xdr:colOff>60613</xdr:colOff>
      <xdr:row>21</xdr:row>
      <xdr:rowOff>123825</xdr:rowOff>
    </xdr:to>
    <xdr:cxnSp macro="">
      <xdr:nvCxnSpPr>
        <xdr:cNvPr id="4" name="Straight Arrow Connector 3">
          <a:extLst>
            <a:ext uri="{FF2B5EF4-FFF2-40B4-BE49-F238E27FC236}">
              <a16:creationId xmlns:a16="http://schemas.microsoft.com/office/drawing/2014/main" id="{00000000-0008-0000-0000-000004000000}"/>
            </a:ext>
          </a:extLst>
        </xdr:cNvPr>
        <xdr:cNvCxnSpPr/>
      </xdr:nvCxnSpPr>
      <xdr:spPr>
        <a:xfrm flipH="1">
          <a:off x="12801600" y="3576204"/>
          <a:ext cx="60613" cy="548121"/>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133350</xdr:colOff>
      <xdr:row>16</xdr:row>
      <xdr:rowOff>8657</xdr:rowOff>
    </xdr:from>
    <xdr:to>
      <xdr:col>23</xdr:col>
      <xdr:colOff>147205</xdr:colOff>
      <xdr:row>30</xdr:row>
      <xdr:rowOff>66675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H="1">
          <a:off x="14154150" y="3056657"/>
          <a:ext cx="13855" cy="272501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857250</xdr:colOff>
      <xdr:row>16</xdr:row>
      <xdr:rowOff>8657</xdr:rowOff>
    </xdr:from>
    <xdr:to>
      <xdr:col>23</xdr:col>
      <xdr:colOff>121227</xdr:colOff>
      <xdr:row>16</xdr:row>
      <xdr:rowOff>17316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H="1">
          <a:off x="13411200" y="3056657"/>
          <a:ext cx="730827" cy="865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4485408</xdr:colOff>
      <xdr:row>20</xdr:row>
      <xdr:rowOff>129886</xdr:rowOff>
    </xdr:from>
    <xdr:to>
      <xdr:col>23</xdr:col>
      <xdr:colOff>164523</xdr:colOff>
      <xdr:row>20</xdr:row>
      <xdr:rowOff>138545</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flipH="1">
          <a:off x="13410333" y="3939886"/>
          <a:ext cx="774990" cy="865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4459431</xdr:colOff>
      <xdr:row>23</xdr:row>
      <xdr:rowOff>95249</xdr:rowOff>
    </xdr:from>
    <xdr:to>
      <xdr:col>23</xdr:col>
      <xdr:colOff>138546</xdr:colOff>
      <xdr:row>23</xdr:row>
      <xdr:rowOff>103908</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flipH="1">
          <a:off x="13412931" y="4476749"/>
          <a:ext cx="746415" cy="865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1704975</xdr:colOff>
      <xdr:row>14</xdr:row>
      <xdr:rowOff>47625</xdr:rowOff>
    </xdr:from>
    <xdr:to>
      <xdr:col>21</xdr:col>
      <xdr:colOff>104775</xdr:colOff>
      <xdr:row>16</xdr:row>
      <xdr:rowOff>28575</xdr:rowOff>
    </xdr:to>
    <xdr:cxnSp macro="">
      <xdr:nvCxnSpPr>
        <xdr:cNvPr id="9" name="Straight Arrow Connector 8">
          <a:extLst>
            <a:ext uri="{FF2B5EF4-FFF2-40B4-BE49-F238E27FC236}">
              <a16:creationId xmlns:a16="http://schemas.microsoft.com/office/drawing/2014/main" id="{00000000-0008-0000-0000-000009000000}"/>
            </a:ext>
          </a:extLst>
        </xdr:cNvPr>
        <xdr:cNvCxnSpPr>
          <a:cxnSpLocks/>
        </xdr:cNvCxnSpPr>
      </xdr:nvCxnSpPr>
      <xdr:spPr>
        <a:xfrm flipH="1">
          <a:off x="12801600" y="2714625"/>
          <a:ext cx="104775" cy="3619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xdr:colOff>
      <xdr:row>11</xdr:row>
      <xdr:rowOff>209550</xdr:rowOff>
    </xdr:from>
    <xdr:to>
      <xdr:col>3</xdr:col>
      <xdr:colOff>728229</xdr:colOff>
      <xdr:row>21</xdr:row>
      <xdr:rowOff>19050</xdr:rowOff>
    </xdr:to>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1866901" y="3095625"/>
          <a:ext cx="1109228" cy="2095500"/>
        </a:xfrm>
        <a:prstGeom prst="rect">
          <a:avLst/>
        </a:prstGeom>
        <a:solidFill>
          <a:srgbClr val="99FF99"/>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21</xdr:col>
      <xdr:colOff>2142073</xdr:colOff>
      <xdr:row>30</xdr:row>
      <xdr:rowOff>104788</xdr:rowOff>
    </xdr:from>
    <xdr:to>
      <xdr:col>23</xdr:col>
      <xdr:colOff>107672</xdr:colOff>
      <xdr:row>31</xdr:row>
      <xdr:rowOff>57789</xdr:rowOff>
    </xdr:to>
    <xdr:grpSp>
      <xdr:nvGrpSpPr>
        <xdr:cNvPr id="11" name="Group 10">
          <a:extLst>
            <a:ext uri="{FF2B5EF4-FFF2-40B4-BE49-F238E27FC236}">
              <a16:creationId xmlns:a16="http://schemas.microsoft.com/office/drawing/2014/main" id="{00000000-0008-0000-0000-00000B000000}"/>
            </a:ext>
          </a:extLst>
        </xdr:cNvPr>
        <xdr:cNvGrpSpPr/>
      </xdr:nvGrpSpPr>
      <xdr:grpSpPr>
        <a:xfrm>
          <a:off x="25125898" y="7096138"/>
          <a:ext cx="3509149" cy="143501"/>
          <a:chOff x="31096409" y="14400888"/>
          <a:chExt cx="3364154" cy="121259"/>
        </a:xfrm>
      </xdr:grpSpPr>
      <xdr:sp macro="" textlink="">
        <xdr:nvSpPr>
          <xdr:cNvPr id="12" name="Arrow: Down 11">
            <a:extLst>
              <a:ext uri="{FF2B5EF4-FFF2-40B4-BE49-F238E27FC236}">
                <a16:creationId xmlns:a16="http://schemas.microsoft.com/office/drawing/2014/main" id="{00000000-0008-0000-0000-00000C000000}"/>
              </a:ext>
            </a:extLst>
          </xdr:cNvPr>
          <xdr:cNvSpPr/>
        </xdr:nvSpPr>
        <xdr:spPr>
          <a:xfrm>
            <a:off x="31096409" y="14400934"/>
            <a:ext cx="56649" cy="103909"/>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xnSp macro="">
        <xdr:nvCxnSpPr>
          <xdr:cNvPr id="13" name="Straight Connector 12">
            <a:extLst>
              <a:ext uri="{FF2B5EF4-FFF2-40B4-BE49-F238E27FC236}">
                <a16:creationId xmlns:a16="http://schemas.microsoft.com/office/drawing/2014/main" id="{00000000-0008-0000-0000-00000D000000}"/>
              </a:ext>
            </a:extLst>
          </xdr:cNvPr>
          <xdr:cNvCxnSpPr>
            <a:endCxn id="12" idx="0"/>
          </xdr:cNvCxnSpPr>
        </xdr:nvCxnSpPr>
        <xdr:spPr>
          <a:xfrm flipH="1">
            <a:off x="31124734" y="14400934"/>
            <a:ext cx="3335829" cy="0"/>
          </a:xfrm>
          <a:prstGeom prst="line">
            <a:avLst/>
          </a:prstGeom>
        </xdr:spPr>
        <xdr:style>
          <a:lnRef idx="1">
            <a:schemeClr val="accent1"/>
          </a:lnRef>
          <a:fillRef idx="0">
            <a:schemeClr val="accent1"/>
          </a:fillRef>
          <a:effectRef idx="0">
            <a:schemeClr val="accent1"/>
          </a:effectRef>
          <a:fontRef idx="minor">
            <a:schemeClr val="tx1"/>
          </a:fontRef>
        </xdr:style>
      </xdr:cxnSp>
      <xdr:sp macro="" textlink="">
        <xdr:nvSpPr>
          <xdr:cNvPr id="14" name="Arrow: Down 13">
            <a:extLst>
              <a:ext uri="{FF2B5EF4-FFF2-40B4-BE49-F238E27FC236}">
                <a16:creationId xmlns:a16="http://schemas.microsoft.com/office/drawing/2014/main" id="{00000000-0008-0000-0000-00000E000000}"/>
              </a:ext>
            </a:extLst>
          </xdr:cNvPr>
          <xdr:cNvSpPr/>
        </xdr:nvSpPr>
        <xdr:spPr>
          <a:xfrm>
            <a:off x="32012987" y="14400888"/>
            <a:ext cx="43830" cy="120774"/>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5" name="Arrow: Down 14">
            <a:extLst>
              <a:ext uri="{FF2B5EF4-FFF2-40B4-BE49-F238E27FC236}">
                <a16:creationId xmlns:a16="http://schemas.microsoft.com/office/drawing/2014/main" id="{00000000-0008-0000-0000-00000F000000}"/>
              </a:ext>
            </a:extLst>
          </xdr:cNvPr>
          <xdr:cNvSpPr/>
        </xdr:nvSpPr>
        <xdr:spPr>
          <a:xfrm>
            <a:off x="32805263" y="14408506"/>
            <a:ext cx="43407" cy="113641"/>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21</xdr:col>
      <xdr:colOff>2038761</xdr:colOff>
      <xdr:row>30</xdr:row>
      <xdr:rowOff>123434</xdr:rowOff>
    </xdr:from>
    <xdr:to>
      <xdr:col>23</xdr:col>
      <xdr:colOff>306313</xdr:colOff>
      <xdr:row>32</xdr:row>
      <xdr:rowOff>174732</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25022586" y="7114784"/>
          <a:ext cx="3811102" cy="432298"/>
          <a:chOff x="17562828" y="3091339"/>
          <a:chExt cx="3848192" cy="428704"/>
        </a:xfrm>
      </xdr:grpSpPr>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17562828" y="3243739"/>
            <a:ext cx="371475"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AB</a:t>
            </a:r>
          </a:p>
        </xdr:txBody>
      </xdr:sp>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20201346" y="3262869"/>
            <a:ext cx="371475"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AE</a:t>
            </a:r>
          </a:p>
        </xdr:txBody>
      </xdr:sp>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18467240" y="3234214"/>
            <a:ext cx="371475"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AC</a:t>
            </a:r>
          </a:p>
        </xdr:txBody>
      </xdr:sp>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9295543" y="3272393"/>
            <a:ext cx="371475"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AD</a:t>
            </a:r>
          </a:p>
        </xdr:txBody>
      </xdr:sp>
      <xdr:sp macro="" textlink="">
        <xdr:nvSpPr>
          <xdr:cNvPr id="21" name="TextBox 20">
            <a:extLst>
              <a:ext uri="{FF2B5EF4-FFF2-40B4-BE49-F238E27FC236}">
                <a16:creationId xmlns:a16="http://schemas.microsoft.com/office/drawing/2014/main" id="{00000000-0008-0000-0000-000015000000}"/>
              </a:ext>
            </a:extLst>
          </xdr:cNvPr>
          <xdr:cNvSpPr txBox="1"/>
        </xdr:nvSpPr>
        <xdr:spPr>
          <a:xfrm>
            <a:off x="21039545" y="3234135"/>
            <a:ext cx="371475" cy="24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AF</a:t>
            </a:r>
          </a:p>
        </xdr:txBody>
      </xdr:sp>
      <xdr:sp macro="" textlink="">
        <xdr:nvSpPr>
          <xdr:cNvPr id="22" name="Arrow: Down 21">
            <a:extLst>
              <a:ext uri="{FF2B5EF4-FFF2-40B4-BE49-F238E27FC236}">
                <a16:creationId xmlns:a16="http://schemas.microsoft.com/office/drawing/2014/main" id="{00000000-0008-0000-0000-000016000000}"/>
              </a:ext>
            </a:extLst>
          </xdr:cNvPr>
          <xdr:cNvSpPr/>
        </xdr:nvSpPr>
        <xdr:spPr>
          <a:xfrm flipH="1">
            <a:off x="21130576" y="3091339"/>
            <a:ext cx="46164" cy="123182"/>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20</xdr:col>
      <xdr:colOff>447675</xdr:colOff>
      <xdr:row>13</xdr:row>
      <xdr:rowOff>123825</xdr:rowOff>
    </xdr:from>
    <xdr:to>
      <xdr:col>20</xdr:col>
      <xdr:colOff>3162300</xdr:colOff>
      <xdr:row>16</xdr:row>
      <xdr:rowOff>152400</xdr:rowOff>
    </xdr:to>
    <xdr:cxnSp macro="">
      <xdr:nvCxnSpPr>
        <xdr:cNvPr id="23" name="Straight Arrow Connector 22">
          <a:extLst>
            <a:ext uri="{FF2B5EF4-FFF2-40B4-BE49-F238E27FC236}">
              <a16:creationId xmlns:a16="http://schemas.microsoft.com/office/drawing/2014/main" id="{00000000-0008-0000-0000-000017000000}"/>
            </a:ext>
          </a:extLst>
        </xdr:cNvPr>
        <xdr:cNvCxnSpPr>
          <a:cxnSpLocks/>
        </xdr:cNvCxnSpPr>
      </xdr:nvCxnSpPr>
      <xdr:spPr>
        <a:xfrm flipH="1">
          <a:off x="12639675" y="2600325"/>
          <a:ext cx="161925" cy="6000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5</xdr:col>
          <xdr:colOff>219075</xdr:colOff>
          <xdr:row>15</xdr:row>
          <xdr:rowOff>219075</xdr:rowOff>
        </xdr:from>
        <xdr:to>
          <xdr:col>5</xdr:col>
          <xdr:colOff>523875</xdr:colOff>
          <xdr:row>17</xdr:row>
          <xdr:rowOff>19050</xdr:rowOff>
        </xdr:to>
        <xdr:sp macro="" textlink="">
          <xdr:nvSpPr>
            <xdr:cNvPr id="17434" name="Check Box 26" hidden="1">
              <a:extLst>
                <a:ext uri="{63B3BB69-23CF-44E3-9099-C40C66FF867C}">
                  <a14:compatExt spid="_x0000_s17434"/>
                </a:ext>
                <a:ext uri="{FF2B5EF4-FFF2-40B4-BE49-F238E27FC236}">
                  <a16:creationId xmlns:a16="http://schemas.microsoft.com/office/drawing/2014/main" id="{00000000-0008-0000-0000-00001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17</xdr:row>
          <xdr:rowOff>0</xdr:rowOff>
        </xdr:from>
        <xdr:to>
          <xdr:col>5</xdr:col>
          <xdr:colOff>523875</xdr:colOff>
          <xdr:row>18</xdr:row>
          <xdr:rowOff>28575</xdr:rowOff>
        </xdr:to>
        <xdr:sp macro="" textlink="">
          <xdr:nvSpPr>
            <xdr:cNvPr id="17435" name="Check Box 27" hidden="1">
              <a:extLst>
                <a:ext uri="{63B3BB69-23CF-44E3-9099-C40C66FF867C}">
                  <a14:compatExt spid="_x0000_s17435"/>
                </a:ext>
                <a:ext uri="{FF2B5EF4-FFF2-40B4-BE49-F238E27FC236}">
                  <a16:creationId xmlns:a16="http://schemas.microsoft.com/office/drawing/2014/main" id="{00000000-0008-0000-0000-00001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18</xdr:row>
          <xdr:rowOff>0</xdr:rowOff>
        </xdr:from>
        <xdr:to>
          <xdr:col>5</xdr:col>
          <xdr:colOff>523875</xdr:colOff>
          <xdr:row>19</xdr:row>
          <xdr:rowOff>28575</xdr:rowOff>
        </xdr:to>
        <xdr:sp macro="" textlink="">
          <xdr:nvSpPr>
            <xdr:cNvPr id="17436" name="Check Box 28" hidden="1">
              <a:extLst>
                <a:ext uri="{63B3BB69-23CF-44E3-9099-C40C66FF867C}">
                  <a14:compatExt spid="_x0000_s17436"/>
                </a:ext>
                <a:ext uri="{FF2B5EF4-FFF2-40B4-BE49-F238E27FC236}">
                  <a16:creationId xmlns:a16="http://schemas.microsoft.com/office/drawing/2014/main" id="{00000000-0008-0000-0000-00001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19</xdr:row>
          <xdr:rowOff>0</xdr:rowOff>
        </xdr:from>
        <xdr:to>
          <xdr:col>5</xdr:col>
          <xdr:colOff>523875</xdr:colOff>
          <xdr:row>20</xdr:row>
          <xdr:rowOff>28575</xdr:rowOff>
        </xdr:to>
        <xdr:sp macro="" textlink="">
          <xdr:nvSpPr>
            <xdr:cNvPr id="17437" name="Check Box 29" hidden="1">
              <a:extLst>
                <a:ext uri="{63B3BB69-23CF-44E3-9099-C40C66FF867C}">
                  <a14:compatExt spid="_x0000_s17437"/>
                </a:ext>
                <a:ext uri="{FF2B5EF4-FFF2-40B4-BE49-F238E27FC236}">
                  <a16:creationId xmlns:a16="http://schemas.microsoft.com/office/drawing/2014/main" id="{00000000-0008-0000-0000-00001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20</xdr:row>
          <xdr:rowOff>0</xdr:rowOff>
        </xdr:from>
        <xdr:to>
          <xdr:col>5</xdr:col>
          <xdr:colOff>523875</xdr:colOff>
          <xdr:row>21</xdr:row>
          <xdr:rowOff>28575</xdr:rowOff>
        </xdr:to>
        <xdr:sp macro="" textlink="">
          <xdr:nvSpPr>
            <xdr:cNvPr id="17438" name="Check Box 30" hidden="1">
              <a:extLst>
                <a:ext uri="{63B3BB69-23CF-44E3-9099-C40C66FF867C}">
                  <a14:compatExt spid="_x0000_s17438"/>
                </a:ext>
                <a:ext uri="{FF2B5EF4-FFF2-40B4-BE49-F238E27FC236}">
                  <a16:creationId xmlns:a16="http://schemas.microsoft.com/office/drawing/2014/main" id="{00000000-0008-0000-0000-00001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21</xdr:col>
      <xdr:colOff>95251</xdr:colOff>
      <xdr:row>32</xdr:row>
      <xdr:rowOff>161925</xdr:rowOff>
    </xdr:from>
    <xdr:ext cx="6129538" cy="5029200"/>
    <xdr:pic>
      <xdr:nvPicPr>
        <xdr:cNvPr id="24" name="Picture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896851" y="6257925"/>
          <a:ext cx="6129538" cy="5029200"/>
        </a:xfrm>
        <a:prstGeom prst="rect">
          <a:avLst/>
        </a:prstGeom>
      </xdr:spPr>
    </xdr:pic>
    <xdr:clientData/>
  </xdr:oneCellAnchor>
  <xdr:twoCellAnchor>
    <xdr:from>
      <xdr:col>5</xdr:col>
      <xdr:colOff>142876</xdr:colOff>
      <xdr:row>14</xdr:row>
      <xdr:rowOff>219074</xdr:rowOff>
    </xdr:from>
    <xdr:to>
      <xdr:col>7</xdr:col>
      <xdr:colOff>238126</xdr:colOff>
      <xdr:row>20</xdr:row>
      <xdr:rowOff>200025</xdr:rowOff>
    </xdr:to>
    <xdr:sp macro="" textlink="">
      <xdr:nvSpPr>
        <xdr:cNvPr id="25" name="TextBox 24">
          <a:extLst>
            <a:ext uri="{FF2B5EF4-FFF2-40B4-BE49-F238E27FC236}">
              <a16:creationId xmlns:a16="http://schemas.microsoft.com/office/drawing/2014/main" id="{00000000-0008-0000-0000-000019000000}"/>
            </a:ext>
          </a:extLst>
        </xdr:cNvPr>
        <xdr:cNvSpPr txBox="1"/>
      </xdr:nvSpPr>
      <xdr:spPr>
        <a:xfrm>
          <a:off x="4638676" y="3790949"/>
          <a:ext cx="1390650" cy="1352551"/>
        </a:xfrm>
        <a:prstGeom prst="rect">
          <a:avLst/>
        </a:prstGeom>
        <a:solidFill>
          <a:srgbClr val="99FF99"/>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21</xdr:col>
      <xdr:colOff>4857750</xdr:colOff>
      <xdr:row>30</xdr:row>
      <xdr:rowOff>114300</xdr:rowOff>
    </xdr:from>
    <xdr:to>
      <xdr:col>21</xdr:col>
      <xdr:colOff>4903028</xdr:colOff>
      <xdr:row>31</xdr:row>
      <xdr:rowOff>58286</xdr:rowOff>
    </xdr:to>
    <xdr:sp macro="" textlink="">
      <xdr:nvSpPr>
        <xdr:cNvPr id="26" name="Arrow: Down 25">
          <a:extLst>
            <a:ext uri="{FF2B5EF4-FFF2-40B4-BE49-F238E27FC236}">
              <a16:creationId xmlns:a16="http://schemas.microsoft.com/office/drawing/2014/main" id="{00000000-0008-0000-0000-00001A000000}"/>
            </a:ext>
          </a:extLst>
        </xdr:cNvPr>
        <xdr:cNvSpPr/>
      </xdr:nvSpPr>
      <xdr:spPr>
        <a:xfrm>
          <a:off x="13411200" y="5829300"/>
          <a:ext cx="0" cy="134486"/>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127000</xdr:colOff>
      <xdr:row>54</xdr:row>
      <xdr:rowOff>69850</xdr:rowOff>
    </xdr:from>
    <xdr:to>
      <xdr:col>4</xdr:col>
      <xdr:colOff>38100</xdr:colOff>
      <xdr:row>54</xdr:row>
      <xdr:rowOff>298450</xdr:rowOff>
    </xdr:to>
    <xdr:sp macro="" textlink="">
      <xdr:nvSpPr>
        <xdr:cNvPr id="16385" name="Button 1" hidden="1">
          <a:extLst>
            <a:ext uri="{63B3BB69-23CF-44E3-9099-C40C66FF867C}">
              <a14:compatExt xmlns:a14="http://schemas.microsoft.com/office/drawing/2010/main" spid="_x0000_s16385"/>
            </a:ext>
            <a:ext uri="{FF2B5EF4-FFF2-40B4-BE49-F238E27FC236}">
              <a16:creationId xmlns:a16="http://schemas.microsoft.com/office/drawing/2014/main" id="{00000000-0008-0000-0100-000001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Copy Planned</a:t>
          </a:r>
        </a:p>
      </xdr:txBody>
    </xdr:sp>
    <xdr:clientData fPrintsWithSheet="0"/>
  </xdr:twoCellAnchor>
  <mc:AlternateContent xmlns:mc="http://schemas.openxmlformats.org/markup-compatibility/2006">
    <mc:Choice xmlns:a14="http://schemas.microsoft.com/office/drawing/2010/main" Requires="a14">
      <xdr:twoCellAnchor editAs="oneCell">
        <xdr:from>
          <xdr:col>1</xdr:col>
          <xdr:colOff>771525</xdr:colOff>
          <xdr:row>54</xdr:row>
          <xdr:rowOff>38100</xdr:rowOff>
        </xdr:from>
        <xdr:to>
          <xdr:col>4</xdr:col>
          <xdr:colOff>101600</xdr:colOff>
          <xdr:row>54</xdr:row>
          <xdr:rowOff>266700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0" i="0" u="none" strike="noStrike" baseline="0">
                  <a:solidFill>
                    <a:srgbClr val="000000"/>
                  </a:solidFill>
                  <a:latin typeface="Arial"/>
                  <a:cs typeface="Arial"/>
                </a:rPr>
                <a:t>Copy Species from Planned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8</xdr:row>
          <xdr:rowOff>76200</xdr:rowOff>
        </xdr:from>
        <xdr:to>
          <xdr:col>11</xdr:col>
          <xdr:colOff>133350</xdr:colOff>
          <xdr:row>8</xdr:row>
          <xdr:rowOff>219075</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800" b="0" i="1" u="none" strike="noStrike" baseline="0">
                  <a:solidFill>
                    <a:srgbClr val="3366FF"/>
                  </a:solidFill>
                  <a:latin typeface="Arial"/>
                  <a:cs typeface="Arial"/>
                </a:rPr>
                <a:t>Edit or Add Prepared Mixes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104775</xdr:colOff>
          <xdr:row>28</xdr:row>
          <xdr:rowOff>28575</xdr:rowOff>
        </xdr:from>
        <xdr:to>
          <xdr:col>13</xdr:col>
          <xdr:colOff>762000</xdr:colOff>
          <xdr:row>28</xdr:row>
          <xdr:rowOff>209550</xdr:rowOff>
        </xdr:to>
        <xdr:sp macro="" textlink="">
          <xdr:nvSpPr>
            <xdr:cNvPr id="1065" name="Button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800" b="1" i="1" u="none" strike="noStrike" baseline="0">
                  <a:solidFill>
                    <a:srgbClr val="808000"/>
                  </a:solidFill>
                  <a:latin typeface="Arial"/>
                  <a:cs typeface="Arial"/>
                </a:rPr>
                <a:t>View Recommended Mixes</a:t>
              </a:r>
            </a:p>
          </xdr:txBody>
        </xdr:sp>
        <xdr:clientData fPrintsWithSheet="0"/>
      </xdr:twoCellAnchor>
    </mc:Choice>
    <mc:Fallback/>
  </mc:AlternateContent>
  <xdr:twoCellAnchor>
    <xdr:from>
      <xdr:col>9</xdr:col>
      <xdr:colOff>791482</xdr:colOff>
      <xdr:row>50</xdr:row>
      <xdr:rowOff>104321</xdr:rowOff>
    </xdr:from>
    <xdr:to>
      <xdr:col>9</xdr:col>
      <xdr:colOff>791482</xdr:colOff>
      <xdr:row>52</xdr:row>
      <xdr:rowOff>117929</xdr:rowOff>
    </xdr:to>
    <xdr:cxnSp macro="">
      <xdr:nvCxnSpPr>
        <xdr:cNvPr id="5" name="Straight Arrow Connector 4">
          <a:extLst>
            <a:ext uri="{FF2B5EF4-FFF2-40B4-BE49-F238E27FC236}">
              <a16:creationId xmlns:a16="http://schemas.microsoft.com/office/drawing/2014/main" id="{00000000-0008-0000-0100-000005000000}"/>
            </a:ext>
          </a:extLst>
        </xdr:cNvPr>
        <xdr:cNvCxnSpPr/>
      </xdr:nvCxnSpPr>
      <xdr:spPr>
        <a:xfrm>
          <a:off x="5093607" y="7764009"/>
          <a:ext cx="0" cy="29935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801688</xdr:colOff>
      <xdr:row>54</xdr:row>
      <xdr:rowOff>166687</xdr:rowOff>
    </xdr:from>
    <xdr:to>
      <xdr:col>9</xdr:col>
      <xdr:colOff>801689</xdr:colOff>
      <xdr:row>54</xdr:row>
      <xdr:rowOff>515937</xdr:rowOff>
    </xdr:to>
    <xdr:cxnSp macro="">
      <xdr:nvCxnSpPr>
        <xdr:cNvPr id="14" name="Straight Arrow Connector 13">
          <a:extLst>
            <a:ext uri="{FF2B5EF4-FFF2-40B4-BE49-F238E27FC236}">
              <a16:creationId xmlns:a16="http://schemas.microsoft.com/office/drawing/2014/main" id="{00000000-0008-0000-0100-00000E000000}"/>
            </a:ext>
          </a:extLst>
        </xdr:cNvPr>
        <xdr:cNvCxnSpPr/>
      </xdr:nvCxnSpPr>
      <xdr:spPr>
        <a:xfrm>
          <a:off x="5103813" y="8397875"/>
          <a:ext cx="1" cy="34925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13</xdr:col>
          <xdr:colOff>295275</xdr:colOff>
          <xdr:row>72</xdr:row>
          <xdr:rowOff>228600</xdr:rowOff>
        </xdr:from>
        <xdr:to>
          <xdr:col>13</xdr:col>
          <xdr:colOff>590550</xdr:colOff>
          <xdr:row>74</xdr:row>
          <xdr:rowOff>9525</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295275</xdr:colOff>
          <xdr:row>72</xdr:row>
          <xdr:rowOff>228600</xdr:rowOff>
        </xdr:from>
        <xdr:to>
          <xdr:col>12</xdr:col>
          <xdr:colOff>590550</xdr:colOff>
          <xdr:row>74</xdr:row>
          <xdr:rowOff>9525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1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819150</xdr:colOff>
          <xdr:row>31</xdr:row>
          <xdr:rowOff>19050</xdr:rowOff>
        </xdr:from>
        <xdr:to>
          <xdr:col>4</xdr:col>
          <xdr:colOff>133350</xdr:colOff>
          <xdr:row>31</xdr:row>
          <xdr:rowOff>161925</xdr:rowOff>
        </xdr:to>
        <xdr:sp macro="" textlink="">
          <xdr:nvSpPr>
            <xdr:cNvPr id="1095" name="Button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600" b="0" i="0" u="none" strike="noStrike" baseline="0">
                  <a:solidFill>
                    <a:srgbClr val="0000FF"/>
                  </a:solidFill>
                  <a:latin typeface="Arial"/>
                  <a:cs typeface="Arial"/>
                </a:rPr>
                <a:t>Add a Species to the dropdown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47625</xdr:colOff>
          <xdr:row>0</xdr:row>
          <xdr:rowOff>38100</xdr:rowOff>
        </xdr:from>
        <xdr:to>
          <xdr:col>54</xdr:col>
          <xdr:colOff>104775</xdr:colOff>
          <xdr:row>1</xdr:row>
          <xdr:rowOff>28575</xdr:rowOff>
        </xdr:to>
        <xdr:sp macro="" textlink="">
          <xdr:nvSpPr>
            <xdr:cNvPr id="1096" name="Button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Protect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66675</xdr:colOff>
          <xdr:row>2</xdr:row>
          <xdr:rowOff>57150</xdr:rowOff>
        </xdr:from>
        <xdr:to>
          <xdr:col>54</xdr:col>
          <xdr:colOff>95250</xdr:colOff>
          <xdr:row>3</xdr:row>
          <xdr:rowOff>133350</xdr:rowOff>
        </xdr:to>
        <xdr:sp macro="" textlink="">
          <xdr:nvSpPr>
            <xdr:cNvPr id="1097" name="Button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Unprotect all sheets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504825</xdr:colOff>
          <xdr:row>0</xdr:row>
          <xdr:rowOff>47625</xdr:rowOff>
        </xdr:from>
        <xdr:to>
          <xdr:col>13</xdr:col>
          <xdr:colOff>533400</xdr:colOff>
          <xdr:row>0</xdr:row>
          <xdr:rowOff>238125</xdr:rowOff>
        </xdr:to>
        <xdr:sp macro="" textlink="">
          <xdr:nvSpPr>
            <xdr:cNvPr id="1099" name="Button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800" b="1" i="1" u="none" strike="noStrike" baseline="0">
                  <a:solidFill>
                    <a:srgbClr val="0000FF"/>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9525</xdr:colOff>
          <xdr:row>52</xdr:row>
          <xdr:rowOff>28575</xdr:rowOff>
        </xdr:from>
        <xdr:to>
          <xdr:col>8</xdr:col>
          <xdr:colOff>0</xdr:colOff>
          <xdr:row>53</xdr:row>
          <xdr:rowOff>114300</xdr:rowOff>
        </xdr:to>
        <xdr:sp macro="" textlink="">
          <xdr:nvSpPr>
            <xdr:cNvPr id="1111" name="Button 87" hidden="1">
              <a:extLst>
                <a:ext uri="{63B3BB69-23CF-44E3-9099-C40C66FF867C}">
                  <a14:compatExt spid="_x0000_s1111"/>
                </a:ext>
                <a:ext uri="{FF2B5EF4-FFF2-40B4-BE49-F238E27FC236}">
                  <a16:creationId xmlns:a16="http://schemas.microsoft.com/office/drawing/2014/main" id="{00000000-0008-0000-0100-000057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600" b="0" i="1" u="none" strike="noStrike" baseline="0">
                  <a:solidFill>
                    <a:srgbClr val="0000FF"/>
                  </a:solidFill>
                  <a:latin typeface="Arial"/>
                  <a:cs typeface="Arial"/>
                </a:rPr>
                <a:t>Seed  Tag   Examples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561975</xdr:colOff>
          <xdr:row>77</xdr:row>
          <xdr:rowOff>114300</xdr:rowOff>
        </xdr:from>
        <xdr:to>
          <xdr:col>1</xdr:col>
          <xdr:colOff>914400</xdr:colOff>
          <xdr:row>78</xdr:row>
          <xdr:rowOff>133350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1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9525</xdr:colOff>
          <xdr:row>16</xdr:row>
          <xdr:rowOff>28575</xdr:rowOff>
        </xdr:from>
        <xdr:to>
          <xdr:col>5</xdr:col>
          <xdr:colOff>371475</xdr:colOff>
          <xdr:row>16</xdr:row>
          <xdr:rowOff>161925</xdr:rowOff>
        </xdr:to>
        <xdr:sp macro="" textlink="">
          <xdr:nvSpPr>
            <xdr:cNvPr id="1119" name="Button 95" hidden="1">
              <a:extLst>
                <a:ext uri="{63B3BB69-23CF-44E3-9099-C40C66FF867C}">
                  <a14:compatExt spid="_x0000_s1119"/>
                </a:ext>
                <a:ext uri="{FF2B5EF4-FFF2-40B4-BE49-F238E27FC236}">
                  <a16:creationId xmlns:a16="http://schemas.microsoft.com/office/drawing/2014/main" id="{00000000-0008-0000-0100-00005F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600" b="0" i="0" u="none" strike="noStrike" baseline="0">
                  <a:solidFill>
                    <a:srgbClr val="3366FF"/>
                  </a:solidFill>
                  <a:latin typeface="Arial"/>
                  <a:cs typeface="Arial"/>
                </a:rPr>
                <a:t>Small Plot Planned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628650</xdr:colOff>
          <xdr:row>49</xdr:row>
          <xdr:rowOff>38100</xdr:rowOff>
        </xdr:from>
        <xdr:to>
          <xdr:col>11</xdr:col>
          <xdr:colOff>609600</xdr:colOff>
          <xdr:row>49</xdr:row>
          <xdr:rowOff>209550</xdr:rowOff>
        </xdr:to>
        <xdr:sp macro="" textlink="">
          <xdr:nvSpPr>
            <xdr:cNvPr id="1120" name="Button 96" hidden="1">
              <a:extLst>
                <a:ext uri="{63B3BB69-23CF-44E3-9099-C40C66FF867C}">
                  <a14:compatExt spid="_x0000_s1120"/>
                </a:ext>
                <a:ext uri="{FF2B5EF4-FFF2-40B4-BE49-F238E27FC236}">
                  <a16:creationId xmlns:a16="http://schemas.microsoft.com/office/drawing/2014/main" id="{00000000-0008-0000-0100-000060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en-US" sz="600" b="0" i="0" u="none" strike="noStrike" baseline="0">
                  <a:solidFill>
                    <a:srgbClr val="3366FF"/>
                  </a:solidFill>
                  <a:latin typeface="Arial"/>
                  <a:cs typeface="Arial"/>
                </a:rPr>
                <a:t>Small Plot Planted</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3</xdr:row>
          <xdr:rowOff>171450</xdr:rowOff>
        </xdr:from>
        <xdr:to>
          <xdr:col>9</xdr:col>
          <xdr:colOff>28575</xdr:colOff>
          <xdr:row>4</xdr:row>
          <xdr:rowOff>66675</xdr:rowOff>
        </xdr:to>
        <xdr:sp macro="" textlink="">
          <xdr:nvSpPr>
            <xdr:cNvPr id="8196" name="Button 4" hidden="1">
              <a:extLst>
                <a:ext uri="{63B3BB69-23CF-44E3-9099-C40C66FF867C}">
                  <a14:compatExt spid="_x0000_s8196"/>
                </a:ext>
                <a:ext uri="{FF2B5EF4-FFF2-40B4-BE49-F238E27FC236}">
                  <a16:creationId xmlns:a16="http://schemas.microsoft.com/office/drawing/2014/main" id="{00000000-0008-0000-0200-0000042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FF"/>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142875</xdr:colOff>
          <xdr:row>3</xdr:row>
          <xdr:rowOff>161925</xdr:rowOff>
        </xdr:from>
        <xdr:to>
          <xdr:col>0</xdr:col>
          <xdr:colOff>428625</xdr:colOff>
          <xdr:row>317</xdr:row>
          <xdr:rowOff>19050</xdr:rowOff>
        </xdr:to>
        <xdr:sp macro="" textlink="">
          <xdr:nvSpPr>
            <xdr:cNvPr id="8200" name="Button 8" hidden="1">
              <a:extLst>
                <a:ext uri="{63B3BB69-23CF-44E3-9099-C40C66FF867C}">
                  <a14:compatExt spid="_x0000_s8200"/>
                </a:ext>
                <a:ext uri="{FF2B5EF4-FFF2-40B4-BE49-F238E27FC236}">
                  <a16:creationId xmlns:a16="http://schemas.microsoft.com/office/drawing/2014/main" id="{00000000-0008-0000-0200-000008200000}"/>
                </a:ext>
              </a:extLst>
            </xdr:cNvPr>
            <xdr:cNvSpPr/>
          </xdr:nvSpPr>
          <xdr:spPr bwMode="auto">
            <a:xfrm>
              <a:off x="0" y="0"/>
              <a:ext cx="0" cy="0"/>
            </a:xfrm>
            <a:prstGeom prst="rect">
              <a:avLst/>
            </a:prstGeom>
            <a:noFill/>
            <a:ln w="9525">
              <a:miter lim="800000"/>
              <a:headEnd/>
              <a:tailEnd/>
            </a:ln>
          </xdr:spPr>
          <xdr:txBody>
            <a:bodyPr vertOverflow="clip" wrap="square" lIns="182880" tIns="45720" rIns="274320" bIns="45720" anchor="ctr" upright="1"/>
            <a:lstStyle/>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r>
                <a:rPr lang="en-US" sz="1000" b="1" i="0" u="none" strike="noStrike" baseline="0">
                  <a:solidFill>
                    <a:srgbClr val="0000FF"/>
                  </a:solidFill>
                  <a:latin typeface="Arial"/>
                  <a:cs typeface="Arial"/>
                </a:rPr>
                <a:t>Return</a:t>
              </a: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a:p>
              <a:pPr algn="l" rtl="0">
                <a:defRPr sz="1000"/>
              </a:pPr>
              <a:endParaRPr lang="en-US" sz="1000" b="1" i="0" u="none" strike="noStrike" baseline="0">
                <a:solidFill>
                  <a:srgbClr val="0000FF"/>
                </a:solidFill>
                <a:latin typeface="Arial"/>
                <a:cs typeface="Arial"/>
              </a:endParaRP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628650</xdr:colOff>
          <xdr:row>0</xdr:row>
          <xdr:rowOff>38100</xdr:rowOff>
        </xdr:from>
        <xdr:to>
          <xdr:col>0</xdr:col>
          <xdr:colOff>1581150</xdr:colOff>
          <xdr:row>1</xdr:row>
          <xdr:rowOff>66675</xdr:rowOff>
        </xdr:to>
        <xdr:sp macro="" textlink="">
          <xdr:nvSpPr>
            <xdr:cNvPr id="5122" name="Button 2"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Table 1</a:t>
              </a:r>
            </a:p>
            <a:p>
              <a:pPr algn="ctr" rtl="0">
                <a:defRPr sz="1000"/>
              </a:pPr>
              <a:r>
                <a:rPr lang="en-US" sz="1000" b="0" i="0" u="none" strike="noStrike" baseline="0">
                  <a:solidFill>
                    <a:srgbClr val="000000"/>
                  </a:solidFill>
                  <a:latin typeface="Arial"/>
                  <a:cs typeface="Arial"/>
                </a:rPr>
                <a:t>Button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9525</xdr:colOff>
          <xdr:row>0</xdr:row>
          <xdr:rowOff>38100</xdr:rowOff>
        </xdr:from>
        <xdr:to>
          <xdr:col>31</xdr:col>
          <xdr:colOff>1819275</xdr:colOff>
          <xdr:row>1</xdr:row>
          <xdr:rowOff>123825</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Table 2</a:t>
              </a:r>
            </a:p>
            <a:p>
              <a:pPr algn="ctr" rtl="0">
                <a:defRPr sz="1000"/>
              </a:pPr>
              <a:r>
                <a:rPr lang="en-US" sz="1000" b="0" i="0" u="none" strike="noStrike" baseline="0">
                  <a:solidFill>
                    <a:srgbClr val="000000"/>
                  </a:solidFill>
                  <a:latin typeface="Arial"/>
                  <a:cs typeface="Arial"/>
                </a:rPr>
                <a:t>Button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619125</xdr:colOff>
          <xdr:row>2</xdr:row>
          <xdr:rowOff>57150</xdr:rowOff>
        </xdr:from>
        <xdr:to>
          <xdr:col>0</xdr:col>
          <xdr:colOff>1571625</xdr:colOff>
          <xdr:row>2</xdr:row>
          <xdr:rowOff>247650</xdr:rowOff>
        </xdr:to>
        <xdr:sp macro="" textlink="">
          <xdr:nvSpPr>
            <xdr:cNvPr id="5126" name="Button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600075</xdr:colOff>
          <xdr:row>2</xdr:row>
          <xdr:rowOff>323850</xdr:rowOff>
        </xdr:from>
        <xdr:to>
          <xdr:col>0</xdr:col>
          <xdr:colOff>1581150</xdr:colOff>
          <xdr:row>2</xdr:row>
          <xdr:rowOff>476250</xdr:rowOff>
        </xdr:to>
        <xdr:sp macro="" textlink="">
          <xdr:nvSpPr>
            <xdr:cNvPr id="5136" name="Button 16" hidden="1">
              <a:extLst>
                <a:ext uri="{63B3BB69-23CF-44E3-9099-C40C66FF867C}">
                  <a14:compatExt spid="_x0000_s5136"/>
                </a:ext>
                <a:ext uri="{FF2B5EF4-FFF2-40B4-BE49-F238E27FC236}">
                  <a16:creationId xmlns:a16="http://schemas.microsoft.com/office/drawing/2014/main" id="{00000000-0008-0000-0500-000010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Clear all filters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628650</xdr:colOff>
          <xdr:row>0</xdr:row>
          <xdr:rowOff>38100</xdr:rowOff>
        </xdr:from>
        <xdr:to>
          <xdr:col>0</xdr:col>
          <xdr:colOff>1581150</xdr:colOff>
          <xdr:row>1</xdr:row>
          <xdr:rowOff>66675</xdr:rowOff>
        </xdr:to>
        <xdr:sp macro="" textlink="">
          <xdr:nvSpPr>
            <xdr:cNvPr id="35846" name="Button 6" hidden="1">
              <a:extLst>
                <a:ext uri="{63B3BB69-23CF-44E3-9099-C40C66FF867C}">
                  <a14:compatExt spid="_x0000_s35846"/>
                </a:ext>
                <a:ext uri="{FF2B5EF4-FFF2-40B4-BE49-F238E27FC236}">
                  <a16:creationId xmlns:a16="http://schemas.microsoft.com/office/drawing/2014/main" id="{00000000-0008-0000-0600-0000068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Table 1</a:t>
              </a:r>
            </a:p>
            <a:p>
              <a:pPr algn="ctr" rtl="0">
                <a:defRPr sz="1000"/>
              </a:pPr>
              <a:r>
                <a:rPr lang="en-US" sz="1000" b="0" i="0" u="none" strike="noStrike" baseline="0">
                  <a:solidFill>
                    <a:srgbClr val="000000"/>
                  </a:solidFill>
                  <a:latin typeface="Arial"/>
                  <a:cs typeface="Arial"/>
                </a:rPr>
                <a:t>Button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31</xdr:col>
          <xdr:colOff>9525</xdr:colOff>
          <xdr:row>0</xdr:row>
          <xdr:rowOff>38100</xdr:rowOff>
        </xdr:from>
        <xdr:to>
          <xdr:col>31</xdr:col>
          <xdr:colOff>1819275</xdr:colOff>
          <xdr:row>1</xdr:row>
          <xdr:rowOff>123825</xdr:rowOff>
        </xdr:to>
        <xdr:sp macro="" textlink="">
          <xdr:nvSpPr>
            <xdr:cNvPr id="35847" name="Button 7" hidden="1">
              <a:extLst>
                <a:ext uri="{63B3BB69-23CF-44E3-9099-C40C66FF867C}">
                  <a14:compatExt spid="_x0000_s35847"/>
                </a:ext>
                <a:ext uri="{FF2B5EF4-FFF2-40B4-BE49-F238E27FC236}">
                  <a16:creationId xmlns:a16="http://schemas.microsoft.com/office/drawing/2014/main" id="{00000000-0008-0000-0600-0000078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Print Table 2</a:t>
              </a:r>
            </a:p>
            <a:p>
              <a:pPr algn="ctr" rtl="0">
                <a:defRPr sz="1000"/>
              </a:pPr>
              <a:r>
                <a:rPr lang="en-US" sz="1000" b="0" i="0" u="none" strike="noStrike" baseline="0">
                  <a:solidFill>
                    <a:srgbClr val="000000"/>
                  </a:solidFill>
                  <a:latin typeface="Arial"/>
                  <a:cs typeface="Arial"/>
                </a:rPr>
                <a:t>Button 3</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619125</xdr:colOff>
          <xdr:row>2</xdr:row>
          <xdr:rowOff>57150</xdr:rowOff>
        </xdr:from>
        <xdr:to>
          <xdr:col>0</xdr:col>
          <xdr:colOff>1571625</xdr:colOff>
          <xdr:row>2</xdr:row>
          <xdr:rowOff>247650</xdr:rowOff>
        </xdr:to>
        <xdr:sp macro="" textlink="">
          <xdr:nvSpPr>
            <xdr:cNvPr id="35848" name="Button 8" hidden="1">
              <a:extLst>
                <a:ext uri="{63B3BB69-23CF-44E3-9099-C40C66FF867C}">
                  <a14:compatExt spid="_x0000_s35848"/>
                </a:ext>
                <a:ext uri="{FF2B5EF4-FFF2-40B4-BE49-F238E27FC236}">
                  <a16:creationId xmlns:a16="http://schemas.microsoft.com/office/drawing/2014/main" id="{00000000-0008-0000-0600-0000088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600075</xdr:colOff>
          <xdr:row>2</xdr:row>
          <xdr:rowOff>323850</xdr:rowOff>
        </xdr:from>
        <xdr:to>
          <xdr:col>0</xdr:col>
          <xdr:colOff>1581150</xdr:colOff>
          <xdr:row>2</xdr:row>
          <xdr:rowOff>476250</xdr:rowOff>
        </xdr:to>
        <xdr:sp macro="" textlink="">
          <xdr:nvSpPr>
            <xdr:cNvPr id="35849" name="Button 9" hidden="1">
              <a:extLst>
                <a:ext uri="{63B3BB69-23CF-44E3-9099-C40C66FF867C}">
                  <a14:compatExt spid="_x0000_s35849"/>
                </a:ext>
                <a:ext uri="{FF2B5EF4-FFF2-40B4-BE49-F238E27FC236}">
                  <a16:creationId xmlns:a16="http://schemas.microsoft.com/office/drawing/2014/main" id="{00000000-0008-0000-0600-0000098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Clear all filters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371475</xdr:colOff>
          <xdr:row>1</xdr:row>
          <xdr:rowOff>76200</xdr:rowOff>
        </xdr:from>
        <xdr:to>
          <xdr:col>3</xdr:col>
          <xdr:colOff>409575</xdr:colOff>
          <xdr:row>1</xdr:row>
          <xdr:rowOff>390525</xdr:rowOff>
        </xdr:to>
        <xdr:sp macro="" textlink="">
          <xdr:nvSpPr>
            <xdr:cNvPr id="14337" name="Button 1" hidden="1">
              <a:extLst>
                <a:ext uri="{63B3BB69-23CF-44E3-9099-C40C66FF867C}">
                  <a14:compatExt spid="_x0000_s14337"/>
                </a:ext>
                <a:ext uri="{FF2B5EF4-FFF2-40B4-BE49-F238E27FC236}">
                  <a16:creationId xmlns:a16="http://schemas.microsoft.com/office/drawing/2014/main" id="{00000000-0008-0000-0700-000001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Return</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1</xdr:row>
          <xdr:rowOff>238125</xdr:rowOff>
        </xdr:from>
        <xdr:to>
          <xdr:col>1</xdr:col>
          <xdr:colOff>361950</xdr:colOff>
          <xdr:row>2</xdr:row>
          <xdr:rowOff>142875</xdr:rowOff>
        </xdr:to>
        <xdr:sp macro="" textlink="">
          <xdr:nvSpPr>
            <xdr:cNvPr id="28677" name="Button 5" hidden="1">
              <a:extLst>
                <a:ext uri="{63B3BB69-23CF-44E3-9099-C40C66FF867C}">
                  <a14:compatExt spid="_x0000_s28677"/>
                </a:ext>
                <a:ext uri="{FF2B5EF4-FFF2-40B4-BE49-F238E27FC236}">
                  <a16:creationId xmlns:a16="http://schemas.microsoft.com/office/drawing/2014/main" id="{00000000-0008-0000-0800-0000057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Clear 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28575</xdr:colOff>
          <xdr:row>9</xdr:row>
          <xdr:rowOff>47625</xdr:rowOff>
        </xdr:from>
        <xdr:to>
          <xdr:col>8</xdr:col>
          <xdr:colOff>238125</xdr:colOff>
          <xdr:row>9</xdr:row>
          <xdr:rowOff>228600</xdr:rowOff>
        </xdr:to>
        <xdr:sp macro="" textlink="">
          <xdr:nvSpPr>
            <xdr:cNvPr id="28678" name="Button 6" hidden="1">
              <a:extLst>
                <a:ext uri="{63B3BB69-23CF-44E3-9099-C40C66FF867C}">
                  <a14:compatExt spid="_x0000_s28678"/>
                </a:ext>
                <a:ext uri="{FF2B5EF4-FFF2-40B4-BE49-F238E27FC236}">
                  <a16:creationId xmlns:a16="http://schemas.microsoft.com/office/drawing/2014/main" id="{00000000-0008-0000-0800-0000067000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000000"/>
                    </a:outerShdw>
                  </a:effectLst>
                </a14:hiddenEffects>
              </a:ext>
              <a:ext uri="{53640926-AAD7-44D8-BBD7-CCE9431645EC}">
                <a14:shadowObscured val="1"/>
              </a:ext>
            </a:extLst>
          </xdr:spPr>
          <xdr:txBody>
            <a:bodyPr vertOverflow="clip" wrap="square" lIns="0" tIns="45720" rIns="0" bIns="45720" anchor="ctr" upright="1"/>
            <a:lstStyle/>
            <a:p>
              <a:pPr algn="ctr" rtl="0">
                <a:defRPr sz="1000"/>
              </a:pPr>
              <a:r>
                <a:rPr lang="en-US" sz="700" b="0" i="0" u="none" strike="noStrike" baseline="0">
                  <a:solidFill>
                    <a:srgbClr val="339966"/>
                  </a:solidFill>
                  <a:latin typeface="Arial"/>
                  <a:cs typeface="Arial"/>
                </a:rPr>
                <a:t>Help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29</xdr:row>
          <xdr:rowOff>95250</xdr:rowOff>
        </xdr:from>
        <xdr:to>
          <xdr:col>2</xdr:col>
          <xdr:colOff>428625</xdr:colOff>
          <xdr:row>29</xdr:row>
          <xdr:rowOff>371475</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0800-000007700000}"/>
                </a:ext>
              </a:extLst>
            </xdr:cNvPr>
            <xdr:cNvSpPr/>
          </xdr:nvSpPr>
          <xdr:spPr bwMode="auto">
            <a:xfrm>
              <a:off x="0" y="0"/>
              <a:ext cx="0" cy="0"/>
            </a:xfrm>
            <a:prstGeom prst="rect">
              <a:avLst/>
            </a:prstGeom>
            <a:solidFill>
              <a:srgbClr val="FF8080" mc:Ignorable="a14" a14:legacySpreadsheetColorIndex="29"/>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  Option 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42</xdr:row>
          <xdr:rowOff>76200</xdr:rowOff>
        </xdr:from>
        <xdr:to>
          <xdr:col>2</xdr:col>
          <xdr:colOff>485775</xdr:colOff>
          <xdr:row>42</xdr:row>
          <xdr:rowOff>381000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0800-0000087000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  Option B</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714375</xdr:colOff>
          <xdr:row>8</xdr:row>
          <xdr:rowOff>114300</xdr:rowOff>
        </xdr:from>
        <xdr:to>
          <xdr:col>8</xdr:col>
          <xdr:colOff>552450</xdr:colOff>
          <xdr:row>9</xdr:row>
          <xdr:rowOff>9525</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08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Mixed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457200</xdr:colOff>
          <xdr:row>8</xdr:row>
          <xdr:rowOff>114300</xdr:rowOff>
        </xdr:from>
        <xdr:to>
          <xdr:col>9</xdr:col>
          <xdr:colOff>323850</xdr:colOff>
          <xdr:row>9</xdr:row>
          <xdr:rowOff>9525</xdr:rowOff>
        </xdr:to>
        <xdr:sp macro="" textlink="">
          <xdr:nvSpPr>
            <xdr:cNvPr id="28682" name="Check Box 10" hidden="1">
              <a:extLst>
                <a:ext uri="{63B3BB69-23CF-44E3-9099-C40C66FF867C}">
                  <a14:compatExt spid="_x0000_s28682"/>
                </a:ext>
                <a:ext uri="{FF2B5EF4-FFF2-40B4-BE49-F238E27FC236}">
                  <a16:creationId xmlns:a16="http://schemas.microsoft.com/office/drawing/2014/main" id="{00000000-0008-0000-08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Warm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323850</xdr:colOff>
          <xdr:row>8</xdr:row>
          <xdr:rowOff>114300</xdr:rowOff>
        </xdr:from>
        <xdr:to>
          <xdr:col>10</xdr:col>
          <xdr:colOff>38100</xdr:colOff>
          <xdr:row>9</xdr:row>
          <xdr:rowOff>9525</xdr:rowOff>
        </xdr:to>
        <xdr:sp macro="" textlink="">
          <xdr:nvSpPr>
            <xdr:cNvPr id="28683" name="Check Box 11" hidden="1">
              <a:extLst>
                <a:ext uri="{63B3BB69-23CF-44E3-9099-C40C66FF867C}">
                  <a14:compatExt spid="_x0000_s28683"/>
                </a:ext>
                <a:ext uri="{FF2B5EF4-FFF2-40B4-BE49-F238E27FC236}">
                  <a16:creationId xmlns:a16="http://schemas.microsoft.com/office/drawing/2014/main" id="{00000000-0008-0000-08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Cool</a:t>
              </a:r>
            </a:p>
          </xdr:txBody>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6</xdr:col>
      <xdr:colOff>322406</xdr:colOff>
      <xdr:row>129</xdr:row>
      <xdr:rowOff>-1</xdr:rowOff>
    </xdr:from>
    <xdr:to>
      <xdr:col>24</xdr:col>
      <xdr:colOff>65674</xdr:colOff>
      <xdr:row>160</xdr:row>
      <xdr:rowOff>154779</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3965719" y="24264937"/>
          <a:ext cx="10982768" cy="5322093"/>
        </a:xfrm>
        <a:prstGeom prst="rect">
          <a:avLst/>
        </a:prstGeom>
      </xdr:spPr>
    </xdr:pic>
    <xdr:clientData/>
  </xdr:twoCellAnchor>
  <xdr:twoCellAnchor editAs="oneCell">
    <xdr:from>
      <xdr:col>12</xdr:col>
      <xdr:colOff>305741</xdr:colOff>
      <xdr:row>69</xdr:row>
      <xdr:rowOff>141111</xdr:rowOff>
    </xdr:from>
    <xdr:to>
      <xdr:col>31</xdr:col>
      <xdr:colOff>539836</xdr:colOff>
      <xdr:row>107</xdr:row>
      <xdr:rowOff>129352</xdr:rowOff>
    </xdr:to>
    <xdr:pic>
      <xdr:nvPicPr>
        <xdr:cNvPr id="93" name="Picture 92">
          <a:extLst>
            <a:ext uri="{FF2B5EF4-FFF2-40B4-BE49-F238E27FC236}">
              <a16:creationId xmlns:a16="http://schemas.microsoft.com/office/drawing/2014/main" id="{00000000-0008-0000-0800-00005D000000}"/>
            </a:ext>
          </a:extLst>
        </xdr:cNvPr>
        <xdr:cNvPicPr>
          <a:picLocks noChangeAspect="1"/>
        </xdr:cNvPicPr>
      </xdr:nvPicPr>
      <xdr:blipFill>
        <a:blip xmlns:r="http://schemas.openxmlformats.org/officeDocument/2006/relationships" r:embed="rId2"/>
        <a:stretch>
          <a:fillRect/>
        </a:stretch>
      </xdr:blipFill>
      <xdr:spPr>
        <a:xfrm>
          <a:off x="7643519" y="13758333"/>
          <a:ext cx="12451818" cy="6244167"/>
        </a:xfrm>
        <a:prstGeom prst="rect">
          <a:avLst/>
        </a:prstGeom>
      </xdr:spPr>
    </xdr:pic>
    <xdr:clientData/>
  </xdr:twoCellAnchor>
  <xdr:twoCellAnchor editAs="oneCell">
    <xdr:from>
      <xdr:col>0</xdr:col>
      <xdr:colOff>79000</xdr:colOff>
      <xdr:row>128</xdr:row>
      <xdr:rowOff>0</xdr:rowOff>
    </xdr:from>
    <xdr:to>
      <xdr:col>6</xdr:col>
      <xdr:colOff>123825</xdr:colOff>
      <xdr:row>158</xdr:row>
      <xdr:rowOff>76300</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9000" y="3914775"/>
          <a:ext cx="3702425" cy="4934049"/>
        </a:xfrm>
        <a:prstGeom prst="rect">
          <a:avLst/>
        </a:prstGeom>
      </xdr:spPr>
    </xdr:pic>
    <xdr:clientData/>
  </xdr:twoCellAnchor>
  <xdr:twoCellAnchor>
    <xdr:from>
      <xdr:col>13</xdr:col>
      <xdr:colOff>214312</xdr:colOff>
      <xdr:row>123</xdr:row>
      <xdr:rowOff>202406</xdr:rowOff>
    </xdr:from>
    <xdr:to>
      <xdr:col>16</xdr:col>
      <xdr:colOff>154781</xdr:colOff>
      <xdr:row>140</xdr:row>
      <xdr:rowOff>59531</xdr:rowOff>
    </xdr:to>
    <xdr:cxnSp macro="">
      <xdr:nvCxnSpPr>
        <xdr:cNvPr id="6" name="Straight Arrow Connector 5">
          <a:extLst>
            <a:ext uri="{FF2B5EF4-FFF2-40B4-BE49-F238E27FC236}">
              <a16:creationId xmlns:a16="http://schemas.microsoft.com/office/drawing/2014/main" id="{00000000-0008-0000-0800-000006000000}"/>
            </a:ext>
          </a:extLst>
        </xdr:cNvPr>
        <xdr:cNvCxnSpPr/>
      </xdr:nvCxnSpPr>
      <xdr:spPr>
        <a:xfrm>
          <a:off x="8108156" y="23407687"/>
          <a:ext cx="1762125" cy="280987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507206</xdr:colOff>
      <xdr:row>123</xdr:row>
      <xdr:rowOff>0</xdr:rowOff>
    </xdr:from>
    <xdr:to>
      <xdr:col>4</xdr:col>
      <xdr:colOff>261937</xdr:colOff>
      <xdr:row>129</xdr:row>
      <xdr:rowOff>109537</xdr:rowOff>
    </xdr:to>
    <xdr:cxnSp macro="">
      <xdr:nvCxnSpPr>
        <xdr:cNvPr id="11" name="Straight Arrow Connector 10">
          <a:extLst>
            <a:ext uri="{FF2B5EF4-FFF2-40B4-BE49-F238E27FC236}">
              <a16:creationId xmlns:a16="http://schemas.microsoft.com/office/drawing/2014/main" id="{00000000-0008-0000-0800-00000B000000}"/>
            </a:ext>
          </a:extLst>
        </xdr:cNvPr>
        <xdr:cNvCxnSpPr/>
      </xdr:nvCxnSpPr>
      <xdr:spPr>
        <a:xfrm flipH="1">
          <a:off x="1721644" y="23205281"/>
          <a:ext cx="969168" cy="122872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304800</xdr:colOff>
      <xdr:row>124</xdr:row>
      <xdr:rowOff>85725</xdr:rowOff>
    </xdr:from>
    <xdr:to>
      <xdr:col>2</xdr:col>
      <xdr:colOff>60960</xdr:colOff>
      <xdr:row>144</xdr:row>
      <xdr:rowOff>152400</xdr:rowOff>
    </xdr:to>
    <xdr:cxnSp macro="">
      <xdr:nvCxnSpPr>
        <xdr:cNvPr id="24" name="Straight Arrow Connector 23">
          <a:extLst>
            <a:ext uri="{FF2B5EF4-FFF2-40B4-BE49-F238E27FC236}">
              <a16:creationId xmlns:a16="http://schemas.microsoft.com/office/drawing/2014/main" id="{00000000-0008-0000-0800-000018000000}"/>
            </a:ext>
          </a:extLst>
        </xdr:cNvPr>
        <xdr:cNvCxnSpPr/>
      </xdr:nvCxnSpPr>
      <xdr:spPr>
        <a:xfrm>
          <a:off x="914400" y="3352800"/>
          <a:ext cx="365760" cy="330517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76200</xdr:colOff>
      <xdr:row>134</xdr:row>
      <xdr:rowOff>152400</xdr:rowOff>
    </xdr:from>
    <xdr:to>
      <xdr:col>6</xdr:col>
      <xdr:colOff>447675</xdr:colOff>
      <xdr:row>143</xdr:row>
      <xdr:rowOff>152400</xdr:rowOff>
    </xdr:to>
    <xdr:cxnSp macro="">
      <xdr:nvCxnSpPr>
        <xdr:cNvPr id="5" name="Straight Arrow Connector 4">
          <a:extLst>
            <a:ext uri="{FF2B5EF4-FFF2-40B4-BE49-F238E27FC236}">
              <a16:creationId xmlns:a16="http://schemas.microsoft.com/office/drawing/2014/main" id="{00000000-0008-0000-0800-000005000000}"/>
            </a:ext>
          </a:extLst>
        </xdr:cNvPr>
        <xdr:cNvCxnSpPr/>
      </xdr:nvCxnSpPr>
      <xdr:spPr>
        <a:xfrm>
          <a:off x="1295400" y="6257925"/>
          <a:ext cx="2809875" cy="145732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314325</xdr:colOff>
      <xdr:row>144</xdr:row>
      <xdr:rowOff>71438</xdr:rowOff>
    </xdr:from>
    <xdr:to>
      <xdr:col>14</xdr:col>
      <xdr:colOff>392906</xdr:colOff>
      <xdr:row>154</xdr:row>
      <xdr:rowOff>114300</xdr:rowOff>
    </xdr:to>
    <xdr:cxnSp macro="">
      <xdr:nvCxnSpPr>
        <xdr:cNvPr id="31" name="Straight Arrow Connector 30">
          <a:extLst>
            <a:ext uri="{FF2B5EF4-FFF2-40B4-BE49-F238E27FC236}">
              <a16:creationId xmlns:a16="http://schemas.microsoft.com/office/drawing/2014/main" id="{00000000-0008-0000-0800-00001F000000}"/>
            </a:ext>
          </a:extLst>
        </xdr:cNvPr>
        <xdr:cNvCxnSpPr/>
      </xdr:nvCxnSpPr>
      <xdr:spPr>
        <a:xfrm flipV="1">
          <a:off x="2743200" y="26896219"/>
          <a:ext cx="6150769" cy="1709737"/>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345281</xdr:colOff>
      <xdr:row>144</xdr:row>
      <xdr:rowOff>47625</xdr:rowOff>
    </xdr:from>
    <xdr:to>
      <xdr:col>13</xdr:col>
      <xdr:colOff>130968</xdr:colOff>
      <xdr:row>152</xdr:row>
      <xdr:rowOff>0</xdr:rowOff>
    </xdr:to>
    <xdr:cxnSp macro="">
      <xdr:nvCxnSpPr>
        <xdr:cNvPr id="22" name="Straight Arrow Connector 21">
          <a:extLst>
            <a:ext uri="{FF2B5EF4-FFF2-40B4-BE49-F238E27FC236}">
              <a16:creationId xmlns:a16="http://schemas.microsoft.com/office/drawing/2014/main" id="{00000000-0008-0000-0800-000016000000}"/>
            </a:ext>
          </a:extLst>
        </xdr:cNvPr>
        <xdr:cNvCxnSpPr/>
      </xdr:nvCxnSpPr>
      <xdr:spPr>
        <a:xfrm flipV="1">
          <a:off x="2774156" y="26872406"/>
          <a:ext cx="5250656" cy="128587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66675</xdr:colOff>
          <xdr:row>2</xdr:row>
          <xdr:rowOff>0</xdr:rowOff>
        </xdr:from>
        <xdr:to>
          <xdr:col>0</xdr:col>
          <xdr:colOff>485775</xdr:colOff>
          <xdr:row>5</xdr:row>
          <xdr:rowOff>19050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900-000002080000}"/>
                </a:ext>
              </a:extLst>
            </xdr:cNvPr>
            <xdr:cNvSpPr/>
          </xdr:nvSpPr>
          <xdr:spPr bwMode="auto">
            <a:xfrm>
              <a:off x="0" y="0"/>
              <a:ext cx="0" cy="0"/>
            </a:xfrm>
            <a:prstGeom prst="rect">
              <a:avLst/>
            </a:prstGeom>
            <a:noFill/>
            <a:ln w="9525">
              <a:miter lim="800000"/>
              <a:headEnd/>
              <a:tailEnd/>
            </a:ln>
          </xdr:spPr>
          <xdr:txBody>
            <a:bodyPr vertOverflow="clip" vert="vert270" wrap="square" lIns="36576" tIns="32004" rIns="36576" bIns="32004" anchor="ctr" upright="1"/>
            <a:lstStyle/>
            <a:p>
              <a:pPr algn="ctr" rtl="0">
                <a:defRPr sz="1000"/>
              </a:pPr>
              <a:r>
                <a:rPr lang="en-US" sz="1600" b="0" i="0" u="none" strike="noStrike" baseline="0">
                  <a:solidFill>
                    <a:srgbClr val="0000FF"/>
                  </a:solidFill>
                  <a:latin typeface="Arial"/>
                  <a:cs typeface="Arial"/>
                </a:rPr>
                <a:t>Return</a:t>
              </a:r>
            </a:p>
          </xdr:txBody>
        </xdr:sp>
        <xdr:clientData fPrintsWithSheet="0"/>
      </xdr:twoCellAnchor>
    </mc:Choice>
    <mc:Fallback/>
  </mc:AlternateContent>
  <xdr:twoCellAnchor>
    <xdr:from>
      <xdr:col>7</xdr:col>
      <xdr:colOff>70989</xdr:colOff>
      <xdr:row>150</xdr:row>
      <xdr:rowOff>40884</xdr:rowOff>
    </xdr:from>
    <xdr:to>
      <xdr:col>9</xdr:col>
      <xdr:colOff>314111</xdr:colOff>
      <xdr:row>151</xdr:row>
      <xdr:rowOff>122056</xdr:rowOff>
    </xdr:to>
    <xdr:sp macro="" textlink="">
      <xdr:nvSpPr>
        <xdr:cNvPr id="39" name="Rectangle 38">
          <a:extLst>
            <a:ext uri="{FF2B5EF4-FFF2-40B4-BE49-F238E27FC236}">
              <a16:creationId xmlns:a16="http://schemas.microsoft.com/office/drawing/2014/main" id="{00000000-0008-0000-0800-000027000000}"/>
            </a:ext>
          </a:extLst>
        </xdr:cNvPr>
        <xdr:cNvSpPr/>
      </xdr:nvSpPr>
      <xdr:spPr>
        <a:xfrm rot="20716588">
          <a:off x="4338189" y="8737209"/>
          <a:ext cx="1462322" cy="243097"/>
        </a:xfrm>
        <a:prstGeom prst="rect">
          <a:avLst/>
        </a:prstGeom>
        <a:solidFill>
          <a:schemeClr val="accent1">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0" cap="none" spc="0">
              <a:ln w="0"/>
              <a:solidFill>
                <a:schemeClr val="tx1">
                  <a:lumMod val="65000"/>
                  <a:lumOff val="35000"/>
                </a:schemeClr>
              </a:solidFill>
              <a:effectLst>
                <a:outerShdw blurRad="38100" dist="25400" dir="5400000" algn="ctr" rotWithShape="0">
                  <a:srgbClr val="6E747A">
                    <a:alpha val="43000"/>
                  </a:srgbClr>
                </a:outerShdw>
              </a:effectLst>
            </a:rPr>
            <a:t>Enter </a:t>
          </a:r>
          <a:r>
            <a:rPr lang="en-US" sz="1100" b="0" cap="none" spc="0" baseline="0">
              <a:ln w="0"/>
              <a:solidFill>
                <a:schemeClr val="tx1">
                  <a:lumMod val="65000"/>
                  <a:lumOff val="35000"/>
                </a:schemeClr>
              </a:solidFill>
              <a:effectLst>
                <a:outerShdw blurRad="38100" dist="25400" dir="5400000" algn="ctr" rotWithShape="0">
                  <a:srgbClr val="6E747A">
                    <a:alpha val="43000"/>
                  </a:srgbClr>
                </a:outerShdw>
              </a:effectLst>
            </a:rPr>
            <a:t>if less than 85%</a:t>
          </a:r>
          <a:endParaRPr lang="en-US" sz="1100" b="0" cap="none" spc="0">
            <a:ln w="0"/>
            <a:solidFill>
              <a:schemeClr val="tx1">
                <a:lumMod val="65000"/>
                <a:lumOff val="35000"/>
              </a:schemeClr>
            </a:solidFill>
            <a:effectLst>
              <a:outerShdw blurRad="38100" dist="25400" dir="5400000" algn="ctr" rotWithShape="0">
                <a:srgbClr val="6E747A">
                  <a:alpha val="43000"/>
                </a:srgbClr>
              </a:outerShdw>
            </a:effectLst>
          </a:endParaRPr>
        </a:p>
      </xdr:txBody>
    </xdr:sp>
    <xdr:clientData/>
  </xdr:twoCellAnchor>
  <xdr:twoCellAnchor>
    <xdr:from>
      <xdr:col>12</xdr:col>
      <xdr:colOff>157574</xdr:colOff>
      <xdr:row>49</xdr:row>
      <xdr:rowOff>329260</xdr:rowOff>
    </xdr:from>
    <xdr:to>
      <xdr:col>20</xdr:col>
      <xdr:colOff>291812</xdr:colOff>
      <xdr:row>67</xdr:row>
      <xdr:rowOff>5883</xdr:rowOff>
    </xdr:to>
    <xdr:pic>
      <xdr:nvPicPr>
        <xdr:cNvPr id="14" name="Picture 5">
          <a:extLst>
            <a:ext uri="{FF2B5EF4-FFF2-40B4-BE49-F238E27FC236}">
              <a16:creationId xmlns:a16="http://schemas.microsoft.com/office/drawing/2014/main" id="{00000000-0008-0000-0800-00000E000000}"/>
            </a:ext>
          </a:extLst>
        </xdr:cNvPr>
        <xdr:cNvPicPr>
          <a:picLocks noChangeAspect="1" noChangeArrowheads="1"/>
        </xdr:cNvPicPr>
      </xdr:nvPicPr>
      <xdr:blipFill rotWithShape="1">
        <a:blip xmlns:r="http://schemas.openxmlformats.org/officeDocument/2006/relationships" r:embed="rId4" r:link="rId5">
          <a:extLst>
            <a:ext uri="{28A0092B-C50C-407E-A947-70E740481C1C}">
              <a14:useLocalDpi xmlns:a14="http://schemas.microsoft.com/office/drawing/2010/main" val="0"/>
            </a:ext>
          </a:extLst>
        </a:blip>
        <a:srcRect b="30958"/>
        <a:stretch/>
      </xdr:blipFill>
      <xdr:spPr bwMode="auto">
        <a:xfrm>
          <a:off x="7495352" y="10336390"/>
          <a:ext cx="5026090" cy="30162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444498</xdr:colOff>
      <xdr:row>49</xdr:row>
      <xdr:rowOff>266936</xdr:rowOff>
    </xdr:from>
    <xdr:to>
      <xdr:col>28</xdr:col>
      <xdr:colOff>550333</xdr:colOff>
      <xdr:row>57</xdr:row>
      <xdr:rowOff>50972</xdr:rowOff>
    </xdr:to>
    <xdr:pic>
      <xdr:nvPicPr>
        <xdr:cNvPr id="15" name="Picture 3">
          <a:extLst>
            <a:ext uri="{FF2B5EF4-FFF2-40B4-BE49-F238E27FC236}">
              <a16:creationId xmlns:a16="http://schemas.microsoft.com/office/drawing/2014/main" id="{00000000-0008-0000-0800-00000F000000}"/>
            </a:ext>
          </a:extLst>
        </xdr:cNvPr>
        <xdr:cNvPicPr>
          <a:picLocks noChangeAspect="1" noChangeArrowheads="1"/>
        </xdr:cNvPicPr>
      </xdr:nvPicPr>
      <xdr:blipFill>
        <a:blip xmlns:r="http://schemas.openxmlformats.org/officeDocument/2006/relationships" r:embed="rId6" r:link="rId7">
          <a:extLst>
            <a:ext uri="{28A0092B-C50C-407E-A947-70E740481C1C}">
              <a14:useLocalDpi xmlns:a14="http://schemas.microsoft.com/office/drawing/2010/main" val="0"/>
            </a:ext>
          </a:extLst>
        </a:blip>
        <a:srcRect/>
        <a:stretch>
          <a:fillRect/>
        </a:stretch>
      </xdr:blipFill>
      <xdr:spPr bwMode="auto">
        <a:xfrm>
          <a:off x="12674128" y="10274066"/>
          <a:ext cx="4997686" cy="1418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440266</xdr:colOff>
      <xdr:row>53</xdr:row>
      <xdr:rowOff>137582</xdr:rowOff>
    </xdr:from>
    <xdr:to>
      <xdr:col>10</xdr:col>
      <xdr:colOff>592666</xdr:colOff>
      <xdr:row>106</xdr:row>
      <xdr:rowOff>102155</xdr:rowOff>
    </xdr:to>
    <xdr:pic>
      <xdr:nvPicPr>
        <xdr:cNvPr id="16" name="Picture 1">
          <a:extLst>
            <a:ext uri="{FF2B5EF4-FFF2-40B4-BE49-F238E27FC236}">
              <a16:creationId xmlns:a16="http://schemas.microsoft.com/office/drawing/2014/main" id="{00000000-0008-0000-0800-000010000000}"/>
            </a:ext>
          </a:extLst>
        </xdr:cNvPr>
        <xdr:cNvPicPr>
          <a:picLocks noChangeAspect="1" noChangeArrowheads="1"/>
        </xdr:cNvPicPr>
      </xdr:nvPicPr>
      <xdr:blipFill>
        <a:blip xmlns:r="http://schemas.openxmlformats.org/officeDocument/2006/relationships" r:embed="rId8" r:link="rId10">
          <a:extLst>
            <a:ext uri="{BEBA8EAE-BF5A-486C-A8C5-ECC9F3942E4B}">
              <a14:imgProps xmlns:a14="http://schemas.microsoft.com/office/drawing/2010/main">
                <a14:imgLayer r:embed="rId9">
                  <a14:imgEffect>
                    <a14:sharpenSoften amount="72000"/>
                  </a14:imgEffect>
                  <a14:imgEffect>
                    <a14:brightnessContrast bright="-15000" contrast="48000"/>
                  </a14:imgEffect>
                </a14:imgLayer>
              </a14:imgProps>
            </a:ext>
            <a:ext uri="{28A0092B-C50C-407E-A947-70E740481C1C}">
              <a14:useLocalDpi xmlns:a14="http://schemas.microsoft.com/office/drawing/2010/main" val="0"/>
            </a:ext>
          </a:extLst>
        </a:blip>
        <a:srcRect/>
        <a:stretch>
          <a:fillRect/>
        </a:stretch>
      </xdr:blipFill>
      <xdr:spPr bwMode="auto">
        <a:xfrm>
          <a:off x="440266" y="10572749"/>
          <a:ext cx="6290733" cy="83783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409575</xdr:colOff>
      <xdr:row>17</xdr:row>
      <xdr:rowOff>66675</xdr:rowOff>
    </xdr:from>
    <xdr:to>
      <xdr:col>11</xdr:col>
      <xdr:colOff>315248</xdr:colOff>
      <xdr:row>44</xdr:row>
      <xdr:rowOff>57760</xdr:rowOff>
    </xdr:to>
    <xdr:pic>
      <xdr:nvPicPr>
        <xdr:cNvPr id="26" name="Picture 25">
          <a:extLst>
            <a:ext uri="{FF2B5EF4-FFF2-40B4-BE49-F238E27FC236}">
              <a16:creationId xmlns:a16="http://schemas.microsoft.com/office/drawing/2014/main" id="{00000000-0008-0000-0800-00001A000000}"/>
            </a:ext>
          </a:extLst>
        </xdr:cNvPr>
        <xdr:cNvPicPr>
          <a:picLocks noChangeAspect="1"/>
        </xdr:cNvPicPr>
      </xdr:nvPicPr>
      <xdr:blipFill>
        <a:blip xmlns:r="http://schemas.openxmlformats.org/officeDocument/2006/relationships" r:embed="rId11"/>
        <a:stretch>
          <a:fillRect/>
        </a:stretch>
      </xdr:blipFill>
      <xdr:spPr>
        <a:xfrm>
          <a:off x="409575" y="4572000"/>
          <a:ext cx="6611273" cy="4363059"/>
        </a:xfrm>
        <a:prstGeom prst="rect">
          <a:avLst/>
        </a:prstGeom>
      </xdr:spPr>
    </xdr:pic>
    <xdr:clientData/>
  </xdr:twoCellAnchor>
  <xdr:twoCellAnchor>
    <xdr:from>
      <xdr:col>17</xdr:col>
      <xdr:colOff>107156</xdr:colOff>
      <xdr:row>125</xdr:row>
      <xdr:rowOff>142875</xdr:rowOff>
    </xdr:from>
    <xdr:to>
      <xdr:col>19</xdr:col>
      <xdr:colOff>147638</xdr:colOff>
      <xdr:row>134</xdr:row>
      <xdr:rowOff>21432</xdr:rowOff>
    </xdr:to>
    <xdr:cxnSp macro="">
      <xdr:nvCxnSpPr>
        <xdr:cNvPr id="28" name="Straight Arrow Connector 27">
          <a:extLst>
            <a:ext uri="{FF2B5EF4-FFF2-40B4-BE49-F238E27FC236}">
              <a16:creationId xmlns:a16="http://schemas.microsoft.com/office/drawing/2014/main" id="{00000000-0008-0000-0800-00001C000000}"/>
            </a:ext>
          </a:extLst>
        </xdr:cNvPr>
        <xdr:cNvCxnSpPr/>
      </xdr:nvCxnSpPr>
      <xdr:spPr>
        <a:xfrm>
          <a:off x="10429875" y="23800594"/>
          <a:ext cx="1254919" cy="1378744"/>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12</xdr:col>
      <xdr:colOff>4397</xdr:colOff>
      <xdr:row>15</xdr:row>
      <xdr:rowOff>90122</xdr:rowOff>
    </xdr:from>
    <xdr:to>
      <xdr:col>27</xdr:col>
      <xdr:colOff>368633</xdr:colOff>
      <xdr:row>44</xdr:row>
      <xdr:rowOff>159854</xdr:rowOff>
    </xdr:to>
    <xdr:pic>
      <xdr:nvPicPr>
        <xdr:cNvPr id="33" name="Picture 32">
          <a:extLst>
            <a:ext uri="{FF2B5EF4-FFF2-40B4-BE49-F238E27FC236}">
              <a16:creationId xmlns:a16="http://schemas.microsoft.com/office/drawing/2014/main" id="{00000000-0008-0000-0800-000021000000}"/>
            </a:ext>
          </a:extLst>
        </xdr:cNvPr>
        <xdr:cNvPicPr>
          <a:picLocks noChangeAspect="1"/>
        </xdr:cNvPicPr>
      </xdr:nvPicPr>
      <xdr:blipFill>
        <a:blip xmlns:r="http://schemas.openxmlformats.org/officeDocument/2006/relationships" r:embed="rId12"/>
        <a:stretch>
          <a:fillRect/>
        </a:stretch>
      </xdr:blipFill>
      <xdr:spPr>
        <a:xfrm>
          <a:off x="7302012" y="3511795"/>
          <a:ext cx="9796734" cy="4816663"/>
        </a:xfrm>
        <a:prstGeom prst="rect">
          <a:avLst/>
        </a:prstGeom>
      </xdr:spPr>
    </xdr:pic>
    <xdr:clientData/>
  </xdr:twoCellAnchor>
  <xdr:twoCellAnchor>
    <xdr:from>
      <xdr:col>6</xdr:col>
      <xdr:colOff>342900</xdr:colOff>
      <xdr:row>19</xdr:row>
      <xdr:rowOff>95250</xdr:rowOff>
    </xdr:from>
    <xdr:to>
      <xdr:col>11</xdr:col>
      <xdr:colOff>600075</xdr:colOff>
      <xdr:row>25</xdr:row>
      <xdr:rowOff>104775</xdr:rowOff>
    </xdr:to>
    <xdr:cxnSp macro="">
      <xdr:nvCxnSpPr>
        <xdr:cNvPr id="37" name="Straight Arrow Connector 36">
          <a:extLst>
            <a:ext uri="{FF2B5EF4-FFF2-40B4-BE49-F238E27FC236}">
              <a16:creationId xmlns:a16="http://schemas.microsoft.com/office/drawing/2014/main" id="{00000000-0008-0000-0800-000025000000}"/>
            </a:ext>
          </a:extLst>
        </xdr:cNvPr>
        <xdr:cNvCxnSpPr/>
      </xdr:nvCxnSpPr>
      <xdr:spPr>
        <a:xfrm>
          <a:off x="4000500" y="4981575"/>
          <a:ext cx="3305175" cy="98107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390525</xdr:colOff>
      <xdr:row>29</xdr:row>
      <xdr:rowOff>28575</xdr:rowOff>
    </xdr:from>
    <xdr:to>
      <xdr:col>17</xdr:col>
      <xdr:colOff>581025</xdr:colOff>
      <xdr:row>30</xdr:row>
      <xdr:rowOff>9525</xdr:rowOff>
    </xdr:to>
    <xdr:cxnSp macro="">
      <xdr:nvCxnSpPr>
        <xdr:cNvPr id="40" name="Straight Arrow Connector 39">
          <a:extLst>
            <a:ext uri="{FF2B5EF4-FFF2-40B4-BE49-F238E27FC236}">
              <a16:creationId xmlns:a16="http://schemas.microsoft.com/office/drawing/2014/main" id="{00000000-0008-0000-0800-000028000000}"/>
            </a:ext>
          </a:extLst>
        </xdr:cNvPr>
        <xdr:cNvCxnSpPr/>
      </xdr:nvCxnSpPr>
      <xdr:spPr>
        <a:xfrm>
          <a:off x="4657725" y="6534150"/>
          <a:ext cx="6286500" cy="14287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xdr:colOff>
      <xdr:row>14</xdr:row>
      <xdr:rowOff>266700</xdr:rowOff>
    </xdr:from>
    <xdr:to>
      <xdr:col>20</xdr:col>
      <xdr:colOff>209550</xdr:colOff>
      <xdr:row>19</xdr:row>
      <xdr:rowOff>133350</xdr:rowOff>
    </xdr:to>
    <xdr:cxnSp macro="">
      <xdr:nvCxnSpPr>
        <xdr:cNvPr id="45" name="Straight Arrow Connector 44">
          <a:extLst>
            <a:ext uri="{FF2B5EF4-FFF2-40B4-BE49-F238E27FC236}">
              <a16:creationId xmlns:a16="http://schemas.microsoft.com/office/drawing/2014/main" id="{00000000-0008-0000-0800-00002D000000}"/>
            </a:ext>
          </a:extLst>
        </xdr:cNvPr>
        <xdr:cNvCxnSpPr/>
      </xdr:nvCxnSpPr>
      <xdr:spPr>
        <a:xfrm>
          <a:off x="7943850" y="4048125"/>
          <a:ext cx="4457700" cy="971550"/>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247650</xdr:colOff>
      <xdr:row>14</xdr:row>
      <xdr:rowOff>76200</xdr:rowOff>
    </xdr:from>
    <xdr:to>
      <xdr:col>23</xdr:col>
      <xdr:colOff>369094</xdr:colOff>
      <xdr:row>19</xdr:row>
      <xdr:rowOff>142875</xdr:rowOff>
    </xdr:to>
    <xdr:cxnSp macro="">
      <xdr:nvCxnSpPr>
        <xdr:cNvPr id="48" name="Straight Arrow Connector 47">
          <a:extLst>
            <a:ext uri="{FF2B5EF4-FFF2-40B4-BE49-F238E27FC236}">
              <a16:creationId xmlns:a16="http://schemas.microsoft.com/office/drawing/2014/main" id="{00000000-0008-0000-0800-000030000000}"/>
            </a:ext>
          </a:extLst>
        </xdr:cNvPr>
        <xdr:cNvCxnSpPr/>
      </xdr:nvCxnSpPr>
      <xdr:spPr>
        <a:xfrm>
          <a:off x="14213681" y="3088481"/>
          <a:ext cx="121444" cy="130492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600075</xdr:colOff>
      <xdr:row>12</xdr:row>
      <xdr:rowOff>171450</xdr:rowOff>
    </xdr:from>
    <xdr:to>
      <xdr:col>13</xdr:col>
      <xdr:colOff>38100</xdr:colOff>
      <xdr:row>14</xdr:row>
      <xdr:rowOff>266700</xdr:rowOff>
    </xdr:to>
    <xdr:cxnSp macro="">
      <xdr:nvCxnSpPr>
        <xdr:cNvPr id="51" name="Straight Connector 50">
          <a:extLst>
            <a:ext uri="{FF2B5EF4-FFF2-40B4-BE49-F238E27FC236}">
              <a16:creationId xmlns:a16="http://schemas.microsoft.com/office/drawing/2014/main" id="{00000000-0008-0000-0800-000033000000}"/>
            </a:ext>
          </a:extLst>
        </xdr:cNvPr>
        <xdr:cNvCxnSpPr/>
      </xdr:nvCxnSpPr>
      <xdr:spPr>
        <a:xfrm>
          <a:off x="7915275" y="3571875"/>
          <a:ext cx="47625" cy="476250"/>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295275</xdr:colOff>
      <xdr:row>19</xdr:row>
      <xdr:rowOff>104775</xdr:rowOff>
    </xdr:from>
    <xdr:to>
      <xdr:col>6</xdr:col>
      <xdr:colOff>352425</xdr:colOff>
      <xdr:row>22</xdr:row>
      <xdr:rowOff>9525</xdr:rowOff>
    </xdr:to>
    <xdr:cxnSp macro="">
      <xdr:nvCxnSpPr>
        <xdr:cNvPr id="54" name="Straight Connector 53">
          <a:extLst>
            <a:ext uri="{FF2B5EF4-FFF2-40B4-BE49-F238E27FC236}">
              <a16:creationId xmlns:a16="http://schemas.microsoft.com/office/drawing/2014/main" id="{00000000-0008-0000-0800-000036000000}"/>
            </a:ext>
          </a:extLst>
        </xdr:cNvPr>
        <xdr:cNvCxnSpPr/>
      </xdr:nvCxnSpPr>
      <xdr:spPr>
        <a:xfrm flipH="1">
          <a:off x="2124075" y="4991100"/>
          <a:ext cx="1885950" cy="390525"/>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352425</xdr:colOff>
      <xdr:row>26</xdr:row>
      <xdr:rowOff>28575</xdr:rowOff>
    </xdr:from>
    <xdr:to>
      <xdr:col>7</xdr:col>
      <xdr:colOff>381000</xdr:colOff>
      <xdr:row>29</xdr:row>
      <xdr:rowOff>19050</xdr:rowOff>
    </xdr:to>
    <xdr:cxnSp macro="">
      <xdr:nvCxnSpPr>
        <xdr:cNvPr id="61" name="Straight Connector 60">
          <a:extLst>
            <a:ext uri="{FF2B5EF4-FFF2-40B4-BE49-F238E27FC236}">
              <a16:creationId xmlns:a16="http://schemas.microsoft.com/office/drawing/2014/main" id="{00000000-0008-0000-0800-00003D000000}"/>
            </a:ext>
          </a:extLst>
        </xdr:cNvPr>
        <xdr:cNvCxnSpPr/>
      </xdr:nvCxnSpPr>
      <xdr:spPr>
        <a:xfrm>
          <a:off x="4010025" y="6048375"/>
          <a:ext cx="638175" cy="476250"/>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264583</xdr:colOff>
      <xdr:row>33</xdr:row>
      <xdr:rowOff>116417</xdr:rowOff>
    </xdr:from>
    <xdr:to>
      <xdr:col>16</xdr:col>
      <xdr:colOff>507706</xdr:colOff>
      <xdr:row>35</xdr:row>
      <xdr:rowOff>38839</xdr:rowOff>
    </xdr:to>
    <xdr:sp macro="" textlink="">
      <xdr:nvSpPr>
        <xdr:cNvPr id="65" name="Rectangle 64">
          <a:extLst>
            <a:ext uri="{FF2B5EF4-FFF2-40B4-BE49-F238E27FC236}">
              <a16:creationId xmlns:a16="http://schemas.microsoft.com/office/drawing/2014/main" id="{00000000-0008-0000-0800-000041000000}"/>
            </a:ext>
          </a:extLst>
        </xdr:cNvPr>
        <xdr:cNvSpPr/>
      </xdr:nvSpPr>
      <xdr:spPr>
        <a:xfrm rot="21209593">
          <a:off x="8858250" y="7249584"/>
          <a:ext cx="1470789" cy="239922"/>
        </a:xfrm>
        <a:prstGeom prst="rect">
          <a:avLst/>
        </a:prstGeom>
        <a:solidFill>
          <a:schemeClr val="accent1">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0" cap="none" spc="0">
              <a:ln w="0"/>
              <a:solidFill>
                <a:schemeClr val="tx1">
                  <a:lumMod val="65000"/>
                  <a:lumOff val="35000"/>
                </a:schemeClr>
              </a:solidFill>
              <a:effectLst>
                <a:outerShdw blurRad="38100" dist="25400" dir="5400000" algn="ctr" rotWithShape="0">
                  <a:srgbClr val="6E747A">
                    <a:alpha val="43000"/>
                  </a:srgbClr>
                </a:outerShdw>
              </a:effectLst>
            </a:rPr>
            <a:t>Enter </a:t>
          </a:r>
          <a:r>
            <a:rPr lang="en-US" sz="1100" b="0" cap="none" spc="0" baseline="0">
              <a:ln w="0"/>
              <a:solidFill>
                <a:schemeClr val="tx1">
                  <a:lumMod val="65000"/>
                  <a:lumOff val="35000"/>
                </a:schemeClr>
              </a:solidFill>
              <a:effectLst>
                <a:outerShdw blurRad="38100" dist="25400" dir="5400000" algn="ctr" rotWithShape="0">
                  <a:srgbClr val="6E747A">
                    <a:alpha val="43000"/>
                  </a:srgbClr>
                </a:outerShdw>
              </a:effectLst>
            </a:rPr>
            <a:t>if less than 85%</a:t>
          </a:r>
          <a:endParaRPr lang="en-US" sz="1100" b="0" cap="none" spc="0">
            <a:ln w="0"/>
            <a:solidFill>
              <a:schemeClr val="tx1">
                <a:lumMod val="65000"/>
                <a:lumOff val="35000"/>
              </a:schemeClr>
            </a:solidFill>
            <a:effectLst>
              <a:outerShdw blurRad="38100" dist="25400" dir="5400000" algn="ctr" rotWithShape="0">
                <a:srgbClr val="6E747A">
                  <a:alpha val="43000"/>
                </a:srgbClr>
              </a:outerShdw>
            </a:effectLst>
          </a:endParaRPr>
        </a:p>
      </xdr:txBody>
    </xdr:sp>
    <xdr:clientData/>
  </xdr:twoCellAnchor>
  <xdr:twoCellAnchor>
    <xdr:from>
      <xdr:col>16</xdr:col>
      <xdr:colOff>502969</xdr:colOff>
      <xdr:row>30</xdr:row>
      <xdr:rowOff>42334</xdr:rowOff>
    </xdr:from>
    <xdr:to>
      <xdr:col>19</xdr:col>
      <xdr:colOff>592667</xdr:colOff>
      <xdr:row>33</xdr:row>
      <xdr:rowOff>153042</xdr:rowOff>
    </xdr:to>
    <xdr:cxnSp macro="">
      <xdr:nvCxnSpPr>
        <xdr:cNvPr id="66" name="Straight Arrow Connector 65">
          <a:extLst>
            <a:ext uri="{FF2B5EF4-FFF2-40B4-BE49-F238E27FC236}">
              <a16:creationId xmlns:a16="http://schemas.microsoft.com/office/drawing/2014/main" id="{00000000-0008-0000-0800-000042000000}"/>
            </a:ext>
          </a:extLst>
        </xdr:cNvPr>
        <xdr:cNvCxnSpPr>
          <a:stCxn id="65" idx="3"/>
        </xdr:cNvCxnSpPr>
      </xdr:nvCxnSpPr>
      <xdr:spPr>
        <a:xfrm flipV="1">
          <a:off x="10324302" y="6699251"/>
          <a:ext cx="1931198" cy="586958"/>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84667</xdr:colOff>
      <xdr:row>25</xdr:row>
      <xdr:rowOff>137583</xdr:rowOff>
    </xdr:from>
    <xdr:to>
      <xdr:col>14</xdr:col>
      <xdr:colOff>269320</xdr:colOff>
      <xdr:row>35</xdr:row>
      <xdr:rowOff>2214</xdr:rowOff>
    </xdr:to>
    <xdr:cxnSp macro="">
      <xdr:nvCxnSpPr>
        <xdr:cNvPr id="70" name="Straight Connector 69">
          <a:extLst>
            <a:ext uri="{FF2B5EF4-FFF2-40B4-BE49-F238E27FC236}">
              <a16:creationId xmlns:a16="http://schemas.microsoft.com/office/drawing/2014/main" id="{00000000-0008-0000-0800-000046000000}"/>
            </a:ext>
          </a:extLst>
        </xdr:cNvPr>
        <xdr:cNvCxnSpPr>
          <a:endCxn id="65" idx="1"/>
        </xdr:cNvCxnSpPr>
      </xdr:nvCxnSpPr>
      <xdr:spPr>
        <a:xfrm>
          <a:off x="4995334" y="6000750"/>
          <a:ext cx="3867653" cy="1452131"/>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199907</xdr:colOff>
      <xdr:row>85</xdr:row>
      <xdr:rowOff>58796</xdr:rowOff>
    </xdr:from>
    <xdr:to>
      <xdr:col>20</xdr:col>
      <xdr:colOff>119062</xdr:colOff>
      <xdr:row>86</xdr:row>
      <xdr:rowOff>83344</xdr:rowOff>
    </xdr:to>
    <xdr:cxnSp macro="">
      <xdr:nvCxnSpPr>
        <xdr:cNvPr id="75" name="Straight Arrow Connector 74">
          <a:extLst>
            <a:ext uri="{FF2B5EF4-FFF2-40B4-BE49-F238E27FC236}">
              <a16:creationId xmlns:a16="http://schemas.microsoft.com/office/drawing/2014/main" id="{00000000-0008-0000-0800-00004B000000}"/>
            </a:ext>
          </a:extLst>
        </xdr:cNvPr>
        <xdr:cNvCxnSpPr/>
      </xdr:nvCxnSpPr>
      <xdr:spPr>
        <a:xfrm>
          <a:off x="5057657" y="16417984"/>
          <a:ext cx="7205780" cy="19123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338668</xdr:colOff>
      <xdr:row>69</xdr:row>
      <xdr:rowOff>116417</xdr:rowOff>
    </xdr:from>
    <xdr:to>
      <xdr:col>12</xdr:col>
      <xdr:colOff>270463</xdr:colOff>
      <xdr:row>84</xdr:row>
      <xdr:rowOff>152870</xdr:rowOff>
    </xdr:to>
    <xdr:cxnSp macro="">
      <xdr:nvCxnSpPr>
        <xdr:cNvPr id="76" name="Straight Arrow Connector 75">
          <a:extLst>
            <a:ext uri="{FF2B5EF4-FFF2-40B4-BE49-F238E27FC236}">
              <a16:creationId xmlns:a16="http://schemas.microsoft.com/office/drawing/2014/main" id="{00000000-0008-0000-0800-00004C000000}"/>
            </a:ext>
          </a:extLst>
        </xdr:cNvPr>
        <xdr:cNvCxnSpPr/>
      </xdr:nvCxnSpPr>
      <xdr:spPr>
        <a:xfrm>
          <a:off x="5230520" y="13792436"/>
          <a:ext cx="2377721" cy="2505897"/>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164630</xdr:colOff>
      <xdr:row>66</xdr:row>
      <xdr:rowOff>117592</xdr:rowOff>
    </xdr:from>
    <xdr:to>
      <xdr:col>27</xdr:col>
      <xdr:colOff>341020</xdr:colOff>
      <xdr:row>75</xdr:row>
      <xdr:rowOff>152871</xdr:rowOff>
    </xdr:to>
    <xdr:cxnSp macro="">
      <xdr:nvCxnSpPr>
        <xdr:cNvPr id="77" name="Straight Arrow Connector 76">
          <a:extLst>
            <a:ext uri="{FF2B5EF4-FFF2-40B4-BE49-F238E27FC236}">
              <a16:creationId xmlns:a16="http://schemas.microsoft.com/office/drawing/2014/main" id="{00000000-0008-0000-0800-00004D000000}"/>
            </a:ext>
          </a:extLst>
        </xdr:cNvPr>
        <xdr:cNvCxnSpPr/>
      </xdr:nvCxnSpPr>
      <xdr:spPr>
        <a:xfrm flipH="1">
          <a:off x="16674630" y="13299722"/>
          <a:ext cx="176390" cy="151694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47037</xdr:colOff>
      <xdr:row>65</xdr:row>
      <xdr:rowOff>176389</xdr:rowOff>
    </xdr:from>
    <xdr:to>
      <xdr:col>22</xdr:col>
      <xdr:colOff>583406</xdr:colOff>
      <xdr:row>83</xdr:row>
      <xdr:rowOff>35718</xdr:rowOff>
    </xdr:to>
    <xdr:cxnSp macro="">
      <xdr:nvCxnSpPr>
        <xdr:cNvPr id="89" name="Straight Arrow Connector 88">
          <a:extLst>
            <a:ext uri="{FF2B5EF4-FFF2-40B4-BE49-F238E27FC236}">
              <a16:creationId xmlns:a16="http://schemas.microsoft.com/office/drawing/2014/main" id="{00000000-0008-0000-0800-000059000000}"/>
            </a:ext>
          </a:extLst>
        </xdr:cNvPr>
        <xdr:cNvCxnSpPr/>
      </xdr:nvCxnSpPr>
      <xdr:spPr>
        <a:xfrm>
          <a:off x="10976975" y="13142295"/>
          <a:ext cx="3274806" cy="2919236"/>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20</xdr:col>
      <xdr:colOff>599723</xdr:colOff>
      <xdr:row>59</xdr:row>
      <xdr:rowOff>35278</xdr:rowOff>
    </xdr:from>
    <xdr:to>
      <xdr:col>28</xdr:col>
      <xdr:colOff>278401</xdr:colOff>
      <xdr:row>62</xdr:row>
      <xdr:rowOff>116343</xdr:rowOff>
    </xdr:to>
    <xdr:pic>
      <xdr:nvPicPr>
        <xdr:cNvPr id="91" name="Picture 90">
          <a:extLst>
            <a:ext uri="{FF2B5EF4-FFF2-40B4-BE49-F238E27FC236}">
              <a16:creationId xmlns:a16="http://schemas.microsoft.com/office/drawing/2014/main" id="{00000000-0008-0000-0800-00005B000000}"/>
            </a:ext>
          </a:extLst>
        </xdr:cNvPr>
        <xdr:cNvPicPr>
          <a:picLocks noChangeAspect="1"/>
        </xdr:cNvPicPr>
      </xdr:nvPicPr>
      <xdr:blipFill>
        <a:blip xmlns:r="http://schemas.openxmlformats.org/officeDocument/2006/relationships" r:embed="rId13"/>
        <a:stretch>
          <a:fillRect/>
        </a:stretch>
      </xdr:blipFill>
      <xdr:spPr>
        <a:xfrm>
          <a:off x="12829353" y="12006204"/>
          <a:ext cx="4880092" cy="574953"/>
        </a:xfrm>
        <a:prstGeom prst="rect">
          <a:avLst/>
        </a:prstGeom>
      </xdr:spPr>
    </xdr:pic>
    <xdr:clientData/>
  </xdr:twoCellAnchor>
  <xdr:twoCellAnchor>
    <xdr:from>
      <xdr:col>15</xdr:col>
      <xdr:colOff>482128</xdr:colOff>
      <xdr:row>93</xdr:row>
      <xdr:rowOff>105832</xdr:rowOff>
    </xdr:from>
    <xdr:to>
      <xdr:col>18</xdr:col>
      <xdr:colOff>113768</xdr:colOff>
      <xdr:row>95</xdr:row>
      <xdr:rowOff>22375</xdr:rowOff>
    </xdr:to>
    <xdr:sp macro="" textlink="">
      <xdr:nvSpPr>
        <xdr:cNvPr id="106" name="Rectangle 105">
          <a:extLst>
            <a:ext uri="{FF2B5EF4-FFF2-40B4-BE49-F238E27FC236}">
              <a16:creationId xmlns:a16="http://schemas.microsoft.com/office/drawing/2014/main" id="{00000000-0008-0000-0800-00006A000000}"/>
            </a:ext>
          </a:extLst>
        </xdr:cNvPr>
        <xdr:cNvSpPr/>
      </xdr:nvSpPr>
      <xdr:spPr>
        <a:xfrm rot="20716588">
          <a:off x="9654350" y="17791758"/>
          <a:ext cx="1466085" cy="245802"/>
        </a:xfrm>
        <a:prstGeom prst="rect">
          <a:avLst/>
        </a:prstGeom>
        <a:solidFill>
          <a:schemeClr val="accent1">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0" cap="none" spc="0">
              <a:ln w="0"/>
              <a:solidFill>
                <a:schemeClr val="tx1">
                  <a:lumMod val="65000"/>
                  <a:lumOff val="35000"/>
                </a:schemeClr>
              </a:solidFill>
              <a:effectLst>
                <a:outerShdw blurRad="38100" dist="25400" dir="5400000" algn="ctr" rotWithShape="0">
                  <a:srgbClr val="6E747A">
                    <a:alpha val="43000"/>
                  </a:srgbClr>
                </a:outerShdw>
              </a:effectLst>
            </a:rPr>
            <a:t>Enter </a:t>
          </a:r>
          <a:r>
            <a:rPr lang="en-US" sz="1100" b="0" cap="none" spc="0" baseline="0">
              <a:ln w="0"/>
              <a:solidFill>
                <a:schemeClr val="tx1">
                  <a:lumMod val="65000"/>
                  <a:lumOff val="35000"/>
                </a:schemeClr>
              </a:solidFill>
              <a:effectLst>
                <a:outerShdw blurRad="38100" dist="25400" dir="5400000" algn="ctr" rotWithShape="0">
                  <a:srgbClr val="6E747A">
                    <a:alpha val="43000"/>
                  </a:srgbClr>
                </a:outerShdw>
              </a:effectLst>
            </a:rPr>
            <a:t>if less than 85%</a:t>
          </a:r>
          <a:endParaRPr lang="en-US" sz="1100" b="0" cap="none" spc="0">
            <a:ln w="0"/>
            <a:solidFill>
              <a:schemeClr val="tx1">
                <a:lumMod val="65000"/>
                <a:lumOff val="35000"/>
              </a:schemeClr>
            </a:solidFill>
            <a:effectLst>
              <a:outerShdw blurRad="38100" dist="25400" dir="5400000" algn="ctr" rotWithShape="0">
                <a:srgbClr val="6E747A">
                  <a:alpha val="43000"/>
                </a:srgbClr>
              </a:outerShdw>
            </a:effectLst>
          </a:endParaRPr>
        </a:p>
      </xdr:txBody>
    </xdr:sp>
    <xdr:clientData/>
  </xdr:twoCellAnchor>
  <xdr:twoCellAnchor>
    <xdr:from>
      <xdr:col>18</xdr:col>
      <xdr:colOff>89907</xdr:colOff>
      <xdr:row>88</xdr:row>
      <xdr:rowOff>23812</xdr:rowOff>
    </xdr:from>
    <xdr:to>
      <xdr:col>21</xdr:col>
      <xdr:colOff>619125</xdr:colOff>
      <xdr:row>93</xdr:row>
      <xdr:rowOff>46109</xdr:rowOff>
    </xdr:to>
    <xdr:cxnSp macro="">
      <xdr:nvCxnSpPr>
        <xdr:cNvPr id="107" name="Straight Arrow Connector 106">
          <a:extLst>
            <a:ext uri="{FF2B5EF4-FFF2-40B4-BE49-F238E27FC236}">
              <a16:creationId xmlns:a16="http://schemas.microsoft.com/office/drawing/2014/main" id="{00000000-0008-0000-0800-00006B000000}"/>
            </a:ext>
          </a:extLst>
        </xdr:cNvPr>
        <xdr:cNvCxnSpPr>
          <a:stCxn id="106" idx="3"/>
        </xdr:cNvCxnSpPr>
      </xdr:nvCxnSpPr>
      <xdr:spPr>
        <a:xfrm flipV="1">
          <a:off x="11019845" y="16883062"/>
          <a:ext cx="2505655" cy="85573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23518</xdr:colOff>
      <xdr:row>95</xdr:row>
      <xdr:rowOff>82315</xdr:rowOff>
    </xdr:from>
    <xdr:to>
      <xdr:col>15</xdr:col>
      <xdr:colOff>505648</xdr:colOff>
      <xdr:row>101</xdr:row>
      <xdr:rowOff>141111</xdr:rowOff>
    </xdr:to>
    <xdr:cxnSp macro="">
      <xdr:nvCxnSpPr>
        <xdr:cNvPr id="110" name="Straight Connector 109">
          <a:extLst>
            <a:ext uri="{FF2B5EF4-FFF2-40B4-BE49-F238E27FC236}">
              <a16:creationId xmlns:a16="http://schemas.microsoft.com/office/drawing/2014/main" id="{00000000-0008-0000-0800-00006E000000}"/>
            </a:ext>
          </a:extLst>
        </xdr:cNvPr>
        <xdr:cNvCxnSpPr/>
      </xdr:nvCxnSpPr>
      <xdr:spPr>
        <a:xfrm flipV="1">
          <a:off x="6138333" y="18097500"/>
          <a:ext cx="3539537" cy="1046574"/>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500671</xdr:colOff>
      <xdr:row>210</xdr:row>
      <xdr:rowOff>73270</xdr:rowOff>
    </xdr:from>
    <xdr:to>
      <xdr:col>10</xdr:col>
      <xdr:colOff>587016</xdr:colOff>
      <xdr:row>257</xdr:row>
      <xdr:rowOff>156873</xdr:rowOff>
    </xdr:to>
    <xdr:pic>
      <xdr:nvPicPr>
        <xdr:cNvPr id="18" name="Picture 17">
          <a:extLst>
            <a:ext uri="{FF2B5EF4-FFF2-40B4-BE49-F238E27FC236}">
              <a16:creationId xmlns:a16="http://schemas.microsoft.com/office/drawing/2014/main" id="{00000000-0008-0000-0800-000012000000}"/>
            </a:ext>
          </a:extLst>
        </xdr:cNvPr>
        <xdr:cNvPicPr>
          <a:picLocks noChangeAspect="1"/>
        </xdr:cNvPicPr>
      </xdr:nvPicPr>
      <xdr:blipFill>
        <a:blip xmlns:r="http://schemas.openxmlformats.org/officeDocument/2006/relationships" r:embed="rId14"/>
        <a:stretch>
          <a:fillRect/>
        </a:stretch>
      </xdr:blipFill>
      <xdr:spPr>
        <a:xfrm>
          <a:off x="500671" y="48687405"/>
          <a:ext cx="6192114" cy="7544853"/>
        </a:xfrm>
        <a:prstGeom prst="rect">
          <a:avLst/>
        </a:prstGeom>
      </xdr:spPr>
    </xdr:pic>
    <xdr:clientData/>
  </xdr:twoCellAnchor>
  <xdr:twoCellAnchor editAs="oneCell">
    <xdr:from>
      <xdr:col>1</xdr:col>
      <xdr:colOff>0</xdr:colOff>
      <xdr:row>180</xdr:row>
      <xdr:rowOff>0</xdr:rowOff>
    </xdr:from>
    <xdr:to>
      <xdr:col>11</xdr:col>
      <xdr:colOff>516250</xdr:colOff>
      <xdr:row>206</xdr:row>
      <xdr:rowOff>149834</xdr:rowOff>
    </xdr:to>
    <xdr:pic>
      <xdr:nvPicPr>
        <xdr:cNvPr id="62" name="Picture 61">
          <a:extLst>
            <a:ext uri="{FF2B5EF4-FFF2-40B4-BE49-F238E27FC236}">
              <a16:creationId xmlns:a16="http://schemas.microsoft.com/office/drawing/2014/main" id="{00000000-0008-0000-0800-00003E000000}"/>
            </a:ext>
          </a:extLst>
        </xdr:cNvPr>
        <xdr:cNvPicPr>
          <a:picLocks noChangeAspect="1"/>
        </xdr:cNvPicPr>
      </xdr:nvPicPr>
      <xdr:blipFill>
        <a:blip xmlns:r="http://schemas.openxmlformats.org/officeDocument/2006/relationships" r:embed="rId11"/>
        <a:stretch>
          <a:fillRect/>
        </a:stretch>
      </xdr:blipFill>
      <xdr:spPr>
        <a:xfrm>
          <a:off x="610577" y="43851635"/>
          <a:ext cx="6622019" cy="4277334"/>
        </a:xfrm>
        <a:prstGeom prst="rect">
          <a:avLst/>
        </a:prstGeom>
      </xdr:spPr>
    </xdr:pic>
    <xdr:clientData/>
  </xdr:twoCellAnchor>
  <xdr:twoCellAnchor editAs="oneCell">
    <xdr:from>
      <xdr:col>16</xdr:col>
      <xdr:colOff>608134</xdr:colOff>
      <xdr:row>175</xdr:row>
      <xdr:rowOff>0</xdr:rowOff>
    </xdr:from>
    <xdr:to>
      <xdr:col>32</xdr:col>
      <xdr:colOff>93871</xdr:colOff>
      <xdr:row>203</xdr:row>
      <xdr:rowOff>147959</xdr:rowOff>
    </xdr:to>
    <xdr:pic>
      <xdr:nvPicPr>
        <xdr:cNvPr id="19" name="Picture 18">
          <a:extLst>
            <a:ext uri="{FF2B5EF4-FFF2-40B4-BE49-F238E27FC236}">
              <a16:creationId xmlns:a16="http://schemas.microsoft.com/office/drawing/2014/main" id="{00000000-0008-0000-0800-000013000000}"/>
            </a:ext>
          </a:extLst>
        </xdr:cNvPr>
        <xdr:cNvPicPr>
          <a:picLocks noChangeAspect="1"/>
        </xdr:cNvPicPr>
      </xdr:nvPicPr>
      <xdr:blipFill>
        <a:blip xmlns:r="http://schemas.openxmlformats.org/officeDocument/2006/relationships" r:embed="rId15"/>
        <a:stretch>
          <a:fillRect/>
        </a:stretch>
      </xdr:blipFill>
      <xdr:spPr>
        <a:xfrm>
          <a:off x="10338288" y="43397365"/>
          <a:ext cx="9812119" cy="4925112"/>
        </a:xfrm>
        <a:prstGeom prst="rect">
          <a:avLst/>
        </a:prstGeom>
      </xdr:spPr>
    </xdr:pic>
    <xdr:clientData/>
  </xdr:twoCellAnchor>
  <xdr:twoCellAnchor>
    <xdr:from>
      <xdr:col>26</xdr:col>
      <xdr:colOff>214312</xdr:colOff>
      <xdr:row>173</xdr:row>
      <xdr:rowOff>23812</xdr:rowOff>
    </xdr:from>
    <xdr:to>
      <xdr:col>26</xdr:col>
      <xdr:colOff>261938</xdr:colOff>
      <xdr:row>178</xdr:row>
      <xdr:rowOff>202406</xdr:rowOff>
    </xdr:to>
    <xdr:cxnSp macro="">
      <xdr:nvCxnSpPr>
        <xdr:cNvPr id="68" name="Straight Arrow Connector 67">
          <a:extLst>
            <a:ext uri="{FF2B5EF4-FFF2-40B4-BE49-F238E27FC236}">
              <a16:creationId xmlns:a16="http://schemas.microsoft.com/office/drawing/2014/main" id="{00000000-0008-0000-0800-000044000000}"/>
            </a:ext>
          </a:extLst>
        </xdr:cNvPr>
        <xdr:cNvCxnSpPr/>
      </xdr:nvCxnSpPr>
      <xdr:spPr>
        <a:xfrm flipH="1">
          <a:off x="16311562" y="43969781"/>
          <a:ext cx="47626" cy="1488281"/>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507944</xdr:colOff>
      <xdr:row>188</xdr:row>
      <xdr:rowOff>52633</xdr:rowOff>
    </xdr:from>
    <xdr:to>
      <xdr:col>24</xdr:col>
      <xdr:colOff>238124</xdr:colOff>
      <xdr:row>190</xdr:row>
      <xdr:rowOff>-1</xdr:rowOff>
    </xdr:to>
    <xdr:cxnSp macro="">
      <xdr:nvCxnSpPr>
        <xdr:cNvPr id="69" name="Straight Arrow Connector 68">
          <a:extLst>
            <a:ext uri="{FF2B5EF4-FFF2-40B4-BE49-F238E27FC236}">
              <a16:creationId xmlns:a16="http://schemas.microsoft.com/office/drawing/2014/main" id="{00000000-0008-0000-0800-000045000000}"/>
            </a:ext>
          </a:extLst>
        </xdr:cNvPr>
        <xdr:cNvCxnSpPr/>
      </xdr:nvCxnSpPr>
      <xdr:spPr>
        <a:xfrm>
          <a:off x="9616225" y="47034696"/>
          <a:ext cx="5504712" cy="280741"/>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447675</xdr:colOff>
      <xdr:row>180</xdr:row>
      <xdr:rowOff>133350</xdr:rowOff>
    </xdr:from>
    <xdr:to>
      <xdr:col>22</xdr:col>
      <xdr:colOff>392906</xdr:colOff>
      <xdr:row>184</xdr:row>
      <xdr:rowOff>71437</xdr:rowOff>
    </xdr:to>
    <xdr:cxnSp macro="">
      <xdr:nvCxnSpPr>
        <xdr:cNvPr id="73" name="Straight Arrow Connector 72">
          <a:extLst>
            <a:ext uri="{FF2B5EF4-FFF2-40B4-BE49-F238E27FC236}">
              <a16:creationId xmlns:a16="http://schemas.microsoft.com/office/drawing/2014/main" id="{00000000-0008-0000-0800-000049000000}"/>
            </a:ext>
          </a:extLst>
        </xdr:cNvPr>
        <xdr:cNvCxnSpPr/>
      </xdr:nvCxnSpPr>
      <xdr:spPr>
        <a:xfrm>
          <a:off x="7127081" y="45781913"/>
          <a:ext cx="6934200" cy="604837"/>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27</xdr:col>
      <xdr:colOff>261937</xdr:colOff>
      <xdr:row>174</xdr:row>
      <xdr:rowOff>47625</xdr:rowOff>
    </xdr:from>
    <xdr:to>
      <xdr:col>28</xdr:col>
      <xdr:colOff>214312</xdr:colOff>
      <xdr:row>178</xdr:row>
      <xdr:rowOff>190500</xdr:rowOff>
    </xdr:to>
    <xdr:cxnSp macro="">
      <xdr:nvCxnSpPr>
        <xdr:cNvPr id="74" name="Straight Arrow Connector 73">
          <a:extLst>
            <a:ext uri="{FF2B5EF4-FFF2-40B4-BE49-F238E27FC236}">
              <a16:creationId xmlns:a16="http://schemas.microsoft.com/office/drawing/2014/main" id="{00000000-0008-0000-0800-00004A000000}"/>
            </a:ext>
          </a:extLst>
        </xdr:cNvPr>
        <xdr:cNvCxnSpPr/>
      </xdr:nvCxnSpPr>
      <xdr:spPr>
        <a:xfrm>
          <a:off x="16966406" y="44184094"/>
          <a:ext cx="559594" cy="1262062"/>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19050</xdr:colOff>
      <xdr:row>239</xdr:row>
      <xdr:rowOff>76200</xdr:rowOff>
    </xdr:from>
    <xdr:to>
      <xdr:col>15</xdr:col>
      <xdr:colOff>409575</xdr:colOff>
      <xdr:row>245</xdr:row>
      <xdr:rowOff>104775</xdr:rowOff>
    </xdr:to>
    <xdr:cxnSp macro="">
      <xdr:nvCxnSpPr>
        <xdr:cNvPr id="78" name="Straight Connector 77">
          <a:extLst>
            <a:ext uri="{FF2B5EF4-FFF2-40B4-BE49-F238E27FC236}">
              <a16:creationId xmlns:a16="http://schemas.microsoft.com/office/drawing/2014/main" id="{00000000-0008-0000-0800-00004E000000}"/>
            </a:ext>
          </a:extLst>
        </xdr:cNvPr>
        <xdr:cNvCxnSpPr/>
      </xdr:nvCxnSpPr>
      <xdr:spPr>
        <a:xfrm>
          <a:off x="1847850" y="54197250"/>
          <a:ext cx="7705725" cy="1000125"/>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180</xdr:row>
      <xdr:rowOff>142875</xdr:rowOff>
    </xdr:from>
    <xdr:to>
      <xdr:col>11</xdr:col>
      <xdr:colOff>476251</xdr:colOff>
      <xdr:row>184</xdr:row>
      <xdr:rowOff>123825</xdr:rowOff>
    </xdr:to>
    <xdr:cxnSp macro="">
      <xdr:nvCxnSpPr>
        <xdr:cNvPr id="79" name="Straight Connector 78">
          <a:extLst>
            <a:ext uri="{FF2B5EF4-FFF2-40B4-BE49-F238E27FC236}">
              <a16:creationId xmlns:a16="http://schemas.microsoft.com/office/drawing/2014/main" id="{00000000-0008-0000-0800-00004F000000}"/>
            </a:ext>
          </a:extLst>
        </xdr:cNvPr>
        <xdr:cNvCxnSpPr/>
      </xdr:nvCxnSpPr>
      <xdr:spPr>
        <a:xfrm flipH="1">
          <a:off x="4267200" y="44710350"/>
          <a:ext cx="2914651" cy="628650"/>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390525</xdr:colOff>
      <xdr:row>188</xdr:row>
      <xdr:rowOff>114300</xdr:rowOff>
    </xdr:from>
    <xdr:to>
      <xdr:col>13</xdr:col>
      <xdr:colOff>265481</xdr:colOff>
      <xdr:row>190</xdr:row>
      <xdr:rowOff>42821</xdr:rowOff>
    </xdr:to>
    <xdr:cxnSp macro="">
      <xdr:nvCxnSpPr>
        <xdr:cNvPr id="86" name="Straight Connector 85">
          <a:extLst>
            <a:ext uri="{FF2B5EF4-FFF2-40B4-BE49-F238E27FC236}">
              <a16:creationId xmlns:a16="http://schemas.microsoft.com/office/drawing/2014/main" id="{00000000-0008-0000-0800-000056000000}"/>
            </a:ext>
          </a:extLst>
        </xdr:cNvPr>
        <xdr:cNvCxnSpPr>
          <a:endCxn id="87" idx="1"/>
        </xdr:cNvCxnSpPr>
      </xdr:nvCxnSpPr>
      <xdr:spPr>
        <a:xfrm>
          <a:off x="5267325" y="45977175"/>
          <a:ext cx="2922956" cy="252371"/>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254422</xdr:colOff>
      <xdr:row>188</xdr:row>
      <xdr:rowOff>99769</xdr:rowOff>
    </xdr:from>
    <xdr:to>
      <xdr:col>15</xdr:col>
      <xdr:colOff>538053</xdr:colOff>
      <xdr:row>190</xdr:row>
      <xdr:rowOff>52835</xdr:rowOff>
    </xdr:to>
    <xdr:sp macro="" textlink="">
      <xdr:nvSpPr>
        <xdr:cNvPr id="87" name="Rectangle 86">
          <a:extLst>
            <a:ext uri="{FF2B5EF4-FFF2-40B4-BE49-F238E27FC236}">
              <a16:creationId xmlns:a16="http://schemas.microsoft.com/office/drawing/2014/main" id="{00000000-0008-0000-0800-000057000000}"/>
            </a:ext>
          </a:extLst>
        </xdr:cNvPr>
        <xdr:cNvSpPr/>
      </xdr:nvSpPr>
      <xdr:spPr>
        <a:xfrm rot="21009464">
          <a:off x="8179222" y="45962644"/>
          <a:ext cx="1502831" cy="276916"/>
        </a:xfrm>
        <a:prstGeom prst="rect">
          <a:avLst/>
        </a:prstGeom>
        <a:solidFill>
          <a:schemeClr val="accent1">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0" cap="none" spc="0">
              <a:ln w="0"/>
              <a:solidFill>
                <a:schemeClr val="tx1">
                  <a:lumMod val="65000"/>
                  <a:lumOff val="35000"/>
                </a:schemeClr>
              </a:solidFill>
              <a:effectLst>
                <a:outerShdw blurRad="38100" dist="25400" dir="5400000" algn="ctr" rotWithShape="0">
                  <a:srgbClr val="6E747A">
                    <a:alpha val="43000"/>
                  </a:srgbClr>
                </a:outerShdw>
              </a:effectLst>
            </a:rPr>
            <a:t>Enter </a:t>
          </a:r>
          <a:r>
            <a:rPr lang="en-US" sz="1100" b="0" cap="none" spc="0" baseline="0">
              <a:ln w="0"/>
              <a:solidFill>
                <a:schemeClr val="tx1">
                  <a:lumMod val="65000"/>
                  <a:lumOff val="35000"/>
                </a:schemeClr>
              </a:solidFill>
              <a:effectLst>
                <a:outerShdw blurRad="38100" dist="25400" dir="5400000" algn="ctr" rotWithShape="0">
                  <a:srgbClr val="6E747A">
                    <a:alpha val="43000"/>
                  </a:srgbClr>
                </a:outerShdw>
              </a:effectLst>
            </a:rPr>
            <a:t>if less than 85%</a:t>
          </a:r>
          <a:endParaRPr lang="en-US" sz="1100" b="0" cap="none" spc="0">
            <a:ln w="0"/>
            <a:solidFill>
              <a:schemeClr val="tx1">
                <a:lumMod val="65000"/>
                <a:lumOff val="35000"/>
              </a:schemeClr>
            </a:solidFill>
            <a:effectLst>
              <a:outerShdw blurRad="38100" dist="25400" dir="5400000" algn="ctr" rotWithShape="0">
                <a:srgbClr val="6E747A">
                  <a:alpha val="43000"/>
                </a:srgbClr>
              </a:outerShdw>
            </a:effectLst>
          </a:endParaRPr>
        </a:p>
      </xdr:txBody>
    </xdr:sp>
    <xdr:clientData/>
  </xdr:twoCellAnchor>
  <xdr:twoCellAnchor>
    <xdr:from>
      <xdr:col>5</xdr:col>
      <xdr:colOff>104775</xdr:colOff>
      <xdr:row>190</xdr:row>
      <xdr:rowOff>42821</xdr:rowOff>
    </xdr:from>
    <xdr:to>
      <xdr:col>13</xdr:col>
      <xdr:colOff>265481</xdr:colOff>
      <xdr:row>238</xdr:row>
      <xdr:rowOff>152400</xdr:rowOff>
    </xdr:to>
    <xdr:cxnSp macro="">
      <xdr:nvCxnSpPr>
        <xdr:cNvPr id="94" name="Straight Connector 93">
          <a:extLst>
            <a:ext uri="{FF2B5EF4-FFF2-40B4-BE49-F238E27FC236}">
              <a16:creationId xmlns:a16="http://schemas.microsoft.com/office/drawing/2014/main" id="{00000000-0008-0000-0800-00005E000000}"/>
            </a:ext>
          </a:extLst>
        </xdr:cNvPr>
        <xdr:cNvCxnSpPr>
          <a:endCxn id="87" idx="1"/>
        </xdr:cNvCxnSpPr>
      </xdr:nvCxnSpPr>
      <xdr:spPr>
        <a:xfrm flipV="1">
          <a:off x="3152775" y="46229546"/>
          <a:ext cx="5037506" cy="7881979"/>
        </a:xfrm>
        <a:prstGeom prst="line">
          <a:avLst/>
        </a:prstGeom>
        <a:ln w="22225"/>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390525</xdr:colOff>
      <xdr:row>190</xdr:row>
      <xdr:rowOff>104775</xdr:rowOff>
    </xdr:from>
    <xdr:to>
      <xdr:col>23</xdr:col>
      <xdr:colOff>66675</xdr:colOff>
      <xdr:row>245</xdr:row>
      <xdr:rowOff>123826</xdr:rowOff>
    </xdr:to>
    <xdr:cxnSp macro="">
      <xdr:nvCxnSpPr>
        <xdr:cNvPr id="108" name="Straight Arrow Connector 107">
          <a:extLst>
            <a:ext uri="{FF2B5EF4-FFF2-40B4-BE49-F238E27FC236}">
              <a16:creationId xmlns:a16="http://schemas.microsoft.com/office/drawing/2014/main" id="{00000000-0008-0000-0800-00006C000000}"/>
            </a:ext>
          </a:extLst>
        </xdr:cNvPr>
        <xdr:cNvCxnSpPr/>
      </xdr:nvCxnSpPr>
      <xdr:spPr>
        <a:xfrm flipV="1">
          <a:off x="9534525" y="46358175"/>
          <a:ext cx="4552950" cy="8924926"/>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309562</xdr:colOff>
      <xdr:row>190</xdr:row>
      <xdr:rowOff>59531</xdr:rowOff>
    </xdr:from>
    <xdr:to>
      <xdr:col>28</xdr:col>
      <xdr:colOff>57151</xdr:colOff>
      <xdr:row>206</xdr:row>
      <xdr:rowOff>19052</xdr:rowOff>
    </xdr:to>
    <xdr:cxnSp macro="">
      <xdr:nvCxnSpPr>
        <xdr:cNvPr id="112" name="Straight Arrow Connector 111">
          <a:extLst>
            <a:ext uri="{FF2B5EF4-FFF2-40B4-BE49-F238E27FC236}">
              <a16:creationId xmlns:a16="http://schemas.microsoft.com/office/drawing/2014/main" id="{00000000-0008-0000-0800-000070000000}"/>
            </a:ext>
          </a:extLst>
        </xdr:cNvPr>
        <xdr:cNvCxnSpPr/>
      </xdr:nvCxnSpPr>
      <xdr:spPr>
        <a:xfrm flipH="1" flipV="1">
          <a:off x="16406812" y="47374969"/>
          <a:ext cx="962027" cy="2626521"/>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514350</xdr:colOff>
      <xdr:row>189</xdr:row>
      <xdr:rowOff>11906</xdr:rowOff>
    </xdr:from>
    <xdr:to>
      <xdr:col>24</xdr:col>
      <xdr:colOff>230981</xdr:colOff>
      <xdr:row>189</xdr:row>
      <xdr:rowOff>145256</xdr:rowOff>
    </xdr:to>
    <xdr:cxnSp macro="">
      <xdr:nvCxnSpPr>
        <xdr:cNvPr id="118" name="Straight Arrow Connector 117">
          <a:extLst>
            <a:ext uri="{FF2B5EF4-FFF2-40B4-BE49-F238E27FC236}">
              <a16:creationId xmlns:a16="http://schemas.microsoft.com/office/drawing/2014/main" id="{00000000-0008-0000-0800-000076000000}"/>
            </a:ext>
          </a:extLst>
        </xdr:cNvPr>
        <xdr:cNvCxnSpPr/>
      </xdr:nvCxnSpPr>
      <xdr:spPr>
        <a:xfrm flipV="1">
          <a:off x="14789944" y="47160656"/>
          <a:ext cx="323850" cy="133350"/>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95250</xdr:colOff>
      <xdr:row>130</xdr:row>
      <xdr:rowOff>71438</xdr:rowOff>
    </xdr:from>
    <xdr:to>
      <xdr:col>16</xdr:col>
      <xdr:colOff>47625</xdr:colOff>
      <xdr:row>139</xdr:row>
      <xdr:rowOff>142875</xdr:rowOff>
    </xdr:to>
    <xdr:cxnSp macro="">
      <xdr:nvCxnSpPr>
        <xdr:cNvPr id="9" name="Straight Arrow Connector 8">
          <a:extLst>
            <a:ext uri="{FF2B5EF4-FFF2-40B4-BE49-F238E27FC236}">
              <a16:creationId xmlns:a16="http://schemas.microsoft.com/office/drawing/2014/main" id="{00000000-0008-0000-0800-000009000000}"/>
            </a:ext>
          </a:extLst>
        </xdr:cNvPr>
        <xdr:cNvCxnSpPr/>
      </xdr:nvCxnSpPr>
      <xdr:spPr>
        <a:xfrm>
          <a:off x="1916906" y="24562594"/>
          <a:ext cx="7846219" cy="1571625"/>
        </a:xfrm>
        <a:prstGeom prst="straightConnector1">
          <a:avLst/>
        </a:prstGeom>
        <a:ln w="22225">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491408</xdr:colOff>
      <xdr:row>147</xdr:row>
      <xdr:rowOff>65504</xdr:rowOff>
    </xdr:from>
    <xdr:to>
      <xdr:col>10</xdr:col>
      <xdr:colOff>311920</xdr:colOff>
      <xdr:row>149</xdr:row>
      <xdr:rowOff>14205</xdr:rowOff>
    </xdr:to>
    <xdr:sp macro="" textlink="">
      <xdr:nvSpPr>
        <xdr:cNvPr id="27" name="Rectangle 26">
          <a:extLst>
            <a:ext uri="{FF2B5EF4-FFF2-40B4-BE49-F238E27FC236}">
              <a16:creationId xmlns:a16="http://schemas.microsoft.com/office/drawing/2014/main" id="{00000000-0008-0000-0800-00001B000000}"/>
            </a:ext>
          </a:extLst>
        </xdr:cNvPr>
        <xdr:cNvSpPr/>
      </xdr:nvSpPr>
      <xdr:spPr>
        <a:xfrm rot="20716588">
          <a:off x="4134721" y="27390348"/>
          <a:ext cx="2249387" cy="282076"/>
        </a:xfrm>
        <a:prstGeom prst="rect">
          <a:avLst/>
        </a:prstGeom>
        <a:solidFill>
          <a:schemeClr val="accent1">
            <a:lumMod val="60000"/>
            <a:lumOff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b="0" cap="none" spc="0">
              <a:ln w="0"/>
              <a:solidFill>
                <a:schemeClr val="tx1">
                  <a:lumMod val="65000"/>
                  <a:lumOff val="35000"/>
                </a:schemeClr>
              </a:solidFill>
              <a:effectLst>
                <a:outerShdw blurRad="38100" dist="25400" dir="5400000" algn="ctr" rotWithShape="0">
                  <a:srgbClr val="6E747A">
                    <a:alpha val="43000"/>
                  </a:srgbClr>
                </a:outerShdw>
              </a:effectLst>
            </a:rPr>
            <a:t>Enter Purity - don't include coating</a:t>
          </a:r>
        </a:p>
      </xdr:txBody>
    </xdr: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85725</xdr:colOff>
          <xdr:row>1</xdr:row>
          <xdr:rowOff>19050</xdr:rowOff>
        </xdr:from>
        <xdr:to>
          <xdr:col>9</xdr:col>
          <xdr:colOff>542925</xdr:colOff>
          <xdr:row>1</xdr:row>
          <xdr:rowOff>228600</xdr:rowOff>
        </xdr:to>
        <xdr:sp macro="" textlink="">
          <xdr:nvSpPr>
            <xdr:cNvPr id="43009" name="Button 1" hidden="1">
              <a:extLst>
                <a:ext uri="{63B3BB69-23CF-44E3-9099-C40C66FF867C}">
                  <a14:compatExt spid="_x0000_s43009"/>
                </a:ext>
                <a:ext uri="{FF2B5EF4-FFF2-40B4-BE49-F238E27FC236}">
                  <a16:creationId xmlns:a16="http://schemas.microsoft.com/office/drawing/2014/main" id="{00000000-0008-0000-0A00-000001A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Unhide all rows</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7</xdr:col>
      <xdr:colOff>333374</xdr:colOff>
      <xdr:row>3</xdr:row>
      <xdr:rowOff>9525</xdr:rowOff>
    </xdr:from>
    <xdr:to>
      <xdr:col>11</xdr:col>
      <xdr:colOff>161925</xdr:colOff>
      <xdr:row>4</xdr:row>
      <xdr:rowOff>142875</xdr:rowOff>
    </xdr:to>
    <xdr:sp macro="" textlink="">
      <xdr:nvSpPr>
        <xdr:cNvPr id="6" name="Text Box 2">
          <a:extLst>
            <a:ext uri="{FF2B5EF4-FFF2-40B4-BE49-F238E27FC236}">
              <a16:creationId xmlns:a16="http://schemas.microsoft.com/office/drawing/2014/main" id="{00000000-0008-0000-0900-000006000000}"/>
            </a:ext>
          </a:extLst>
        </xdr:cNvPr>
        <xdr:cNvSpPr txBox="1">
          <a:spLocks noChangeArrowheads="1"/>
        </xdr:cNvSpPr>
      </xdr:nvSpPr>
      <xdr:spPr bwMode="auto">
        <a:xfrm>
          <a:off x="3724274" y="552450"/>
          <a:ext cx="2266951" cy="323850"/>
        </a:xfrm>
        <a:prstGeom prst="rect">
          <a:avLst/>
        </a:prstGeom>
        <a:solidFill>
          <a:srgbClr val="FFFFFF">
            <a:alpha val="0"/>
          </a:srgbClr>
        </a:solidFill>
        <a:ln w="9525">
          <a:noFill/>
          <a:miter lim="800000"/>
          <a:headEnd/>
          <a:tailEnd/>
        </a:ln>
      </xdr:spPr>
      <xdr:txBody>
        <a:bodyPr vertOverflow="clip" wrap="square" lIns="91440" tIns="45720" rIns="91440" bIns="45720" anchor="t" upright="1"/>
        <a:lstStyle/>
        <a:p>
          <a:pPr algn="ctr" rtl="0">
            <a:defRPr sz="1000"/>
          </a:pPr>
          <a:r>
            <a:rPr lang="en-US" sz="1600" b="1" i="0" u="none" strike="noStrike" baseline="0">
              <a:solidFill>
                <a:srgbClr val="000000"/>
              </a:solidFill>
              <a:latin typeface="Calibri"/>
              <a:cs typeface="Calibri"/>
            </a:rPr>
            <a:t>YouTube Link to Video</a:t>
          </a:r>
        </a:p>
      </xdr:txBody>
    </xdr:sp>
    <xdr:clientData/>
  </xdr:twoCellAnchor>
  <xdr:twoCellAnchor>
    <xdr:from>
      <xdr:col>12</xdr:col>
      <xdr:colOff>1</xdr:colOff>
      <xdr:row>0</xdr:row>
      <xdr:rowOff>0</xdr:rowOff>
    </xdr:from>
    <xdr:to>
      <xdr:col>18</xdr:col>
      <xdr:colOff>28575</xdr:colOff>
      <xdr:row>10</xdr:row>
      <xdr:rowOff>180974</xdr:rowOff>
    </xdr:to>
    <xdr:sp macro="" textlink="">
      <xdr:nvSpPr>
        <xdr:cNvPr id="7" name="Text Box 5">
          <a:extLst>
            <a:ext uri="{FF2B5EF4-FFF2-40B4-BE49-F238E27FC236}">
              <a16:creationId xmlns:a16="http://schemas.microsoft.com/office/drawing/2014/main" id="{00000000-0008-0000-0900-000007000000}"/>
            </a:ext>
          </a:extLst>
        </xdr:cNvPr>
        <xdr:cNvSpPr txBox="1">
          <a:spLocks noChangeArrowheads="1"/>
        </xdr:cNvSpPr>
      </xdr:nvSpPr>
      <xdr:spPr bwMode="auto">
        <a:xfrm>
          <a:off x="6438901" y="0"/>
          <a:ext cx="3686174" cy="2057399"/>
        </a:xfrm>
        <a:prstGeom prst="rect">
          <a:avLst/>
        </a:prstGeom>
        <a:gradFill rotWithShape="1">
          <a:gsLst>
            <a:gs pos="0">
              <a:srgbClr val="FFFFFF"/>
            </a:gs>
            <a:gs pos="35001">
              <a:srgbClr val="FFFFFF"/>
            </a:gs>
            <a:gs pos="100000">
              <a:srgbClr val="70AD47"/>
            </a:gs>
          </a:gsLst>
          <a:path path="shape">
            <a:fillToRect l="50000" t="-80000" r="50000" b="180000"/>
          </a:path>
        </a:gradFill>
        <a:ln w="9525">
          <a:solidFill>
            <a:srgbClr val="000000"/>
          </a:solidFill>
          <a:miter lim="800000"/>
          <a:headEnd/>
          <a:tailEnd/>
        </a:ln>
      </xdr:spPr>
      <xdr:txBody>
        <a:bodyPr vertOverflow="clip" wrap="square" lIns="91440" tIns="45720" rIns="91440" bIns="45720" anchor="t" upright="1"/>
        <a:lstStyle/>
        <a:p>
          <a:pPr algn="l" rtl="0">
            <a:defRPr sz="1000"/>
          </a:pPr>
          <a:r>
            <a:rPr lang="en-US" sz="900" b="1" i="0" u="none" strike="noStrike" baseline="0">
              <a:solidFill>
                <a:srgbClr val="000000"/>
              </a:solidFill>
              <a:latin typeface="Calibri"/>
              <a:cs typeface="Calibri"/>
            </a:rPr>
            <a:t>Presented by:</a:t>
          </a:r>
          <a:r>
            <a:rPr lang="en-US" sz="1100" b="1" i="0" u="none" strike="noStrike" baseline="0">
              <a:solidFill>
                <a:srgbClr val="000000"/>
              </a:solidFill>
              <a:latin typeface="+mn-lt"/>
              <a:cs typeface="Calibri"/>
            </a:rPr>
            <a:t>   </a:t>
          </a:r>
          <a:r>
            <a:rPr lang="en-US" sz="1100" b="1" i="0" u="sng" strike="noStrike" baseline="0">
              <a:solidFill>
                <a:srgbClr val="000000"/>
              </a:solidFill>
              <a:latin typeface="+mn-lt"/>
              <a:cs typeface="Calibri"/>
            </a:rPr>
            <a:t>Demo for USDA/NRCS and Partners</a:t>
          </a:r>
          <a:r>
            <a:rPr lang="en-US" sz="1100" b="1" i="0" u="none" strike="noStrike" baseline="0">
              <a:solidFill>
                <a:srgbClr val="000000"/>
              </a:solidFill>
              <a:latin typeface="+mn-lt"/>
              <a:cs typeface="Calibri"/>
            </a:rPr>
            <a:t>       </a:t>
          </a:r>
          <a:r>
            <a:rPr lang="en-US" sz="900" b="1" i="0" u="none" strike="noStrike" baseline="0">
              <a:solidFill>
                <a:srgbClr val="000000"/>
              </a:solidFill>
              <a:latin typeface="+mn-lt"/>
              <a:cs typeface="Calibri"/>
            </a:rPr>
            <a:t>2/27/21 </a:t>
          </a:r>
          <a:r>
            <a:rPr lang="en-US" sz="1100" b="1" i="0" u="none" strike="noStrike" baseline="0">
              <a:solidFill>
                <a:srgbClr val="000000"/>
              </a:solidFill>
              <a:latin typeface="+mn-lt"/>
              <a:cs typeface="Calibri"/>
            </a:rPr>
            <a:t>     </a:t>
          </a:r>
        </a:p>
        <a:p>
          <a:pPr algn="l" rtl="0">
            <a:defRPr sz="1000"/>
          </a:pPr>
          <a:endParaRPr lang="en-US" sz="1000" b="1" i="0" u="none" strike="noStrike" baseline="0">
            <a:solidFill>
              <a:srgbClr val="000000"/>
            </a:solidFill>
            <a:latin typeface="+mn-lt"/>
            <a:cs typeface="Calibri"/>
          </a:endParaRPr>
        </a:p>
        <a:p>
          <a:pPr algn="l" rtl="0">
            <a:defRPr sz="1000"/>
          </a:pPr>
          <a:endParaRPr lang="en-US" sz="600" b="1" i="0" u="none" strike="noStrike" baseline="0">
            <a:solidFill>
              <a:srgbClr val="000000"/>
            </a:solidFill>
            <a:latin typeface="+mn-lt"/>
            <a:cs typeface="Calibri"/>
          </a:endParaRPr>
        </a:p>
        <a:p>
          <a:pPr algn="l" rtl="0">
            <a:defRPr sz="1000"/>
          </a:pPr>
          <a:r>
            <a:rPr lang="en-US" sz="900" b="1" i="0" u="none" strike="noStrike" baseline="0">
              <a:solidFill>
                <a:srgbClr val="000000"/>
              </a:solidFill>
              <a:latin typeface="+mn-lt"/>
              <a:cs typeface="Calibri"/>
            </a:rPr>
            <a:t>Marcia Deneke, </a:t>
          </a:r>
          <a:r>
            <a:rPr lang="en-US" sz="900" b="1" i="0" baseline="0">
              <a:effectLst/>
              <a:latin typeface="+mn-lt"/>
              <a:ea typeface="+mn-ea"/>
              <a:cs typeface="+mn-cs"/>
            </a:rPr>
            <a:t>State Agronomist, Huron, SD</a:t>
          </a:r>
          <a:endParaRPr lang="en-US" sz="900" b="1" i="0" u="none" strike="noStrike" baseline="0">
            <a:solidFill>
              <a:srgbClr val="000000"/>
            </a:solidFill>
            <a:latin typeface="+mn-lt"/>
            <a:cs typeface="Calibri"/>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600" b="1" i="0" u="none" strike="noStrike" baseline="0">
              <a:solidFill>
                <a:srgbClr val="000000"/>
              </a:solidFill>
              <a:latin typeface="+mn-lt"/>
              <a:cs typeface="Calibri"/>
            </a:rPr>
            <a:t> </a:t>
          </a:r>
        </a:p>
        <a:p>
          <a:pPr rtl="0"/>
          <a:r>
            <a:rPr lang="en-US" sz="900" b="1" i="0" baseline="0">
              <a:effectLst/>
              <a:latin typeface="+mn-lt"/>
              <a:ea typeface="+mn-ea"/>
              <a:cs typeface="+mn-cs"/>
            </a:rPr>
            <a:t>Stacy Turgeon, Agronomist, Chamberlain, SD</a:t>
          </a:r>
          <a:endParaRPr lang="en-US" sz="900">
            <a:effectLst/>
          </a:endParaRPr>
        </a:p>
        <a:p>
          <a:pPr rtl="0" eaLnBrk="1" fontAlgn="auto" latinLnBrk="0" hangingPunct="1"/>
          <a:r>
            <a:rPr lang="en-US" sz="600" b="1" i="0" baseline="0">
              <a:effectLst/>
              <a:latin typeface="+mn-lt"/>
              <a:ea typeface="+mn-ea"/>
              <a:cs typeface="+mn-cs"/>
            </a:rPr>
            <a:t> </a:t>
          </a:r>
          <a:endParaRPr lang="en-US" sz="600">
            <a:effectLst/>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900" b="1" i="0" baseline="0">
              <a:effectLst/>
              <a:latin typeface="+mn-lt"/>
              <a:ea typeface="+mn-ea"/>
              <a:cs typeface="+mn-cs"/>
            </a:rPr>
            <a:t>Mark Washechek, Contractor, NOWCC, Brookings, SD</a:t>
          </a:r>
          <a:endParaRPr lang="en-US" sz="900">
            <a:effectLst/>
          </a:endParaRPr>
        </a:p>
        <a:p>
          <a:pPr algn="l" rtl="0">
            <a:defRPr sz="1000"/>
          </a:pPr>
          <a:endParaRPr lang="en-US" sz="600" b="1" i="0" u="none" strike="noStrike" baseline="0">
            <a:solidFill>
              <a:srgbClr val="000000"/>
            </a:solidFill>
            <a:latin typeface="+mn-lt"/>
            <a:cs typeface="Calibri"/>
          </a:endParaRPr>
        </a:p>
        <a:p>
          <a:pPr algn="l" rtl="0">
            <a:defRPr sz="1000"/>
          </a:pPr>
          <a:r>
            <a:rPr lang="en-US" sz="900" b="1" i="0" u="none" strike="noStrike" baseline="0">
              <a:solidFill>
                <a:srgbClr val="000000"/>
              </a:solidFill>
              <a:latin typeface="+mn-lt"/>
              <a:cs typeface="Calibri"/>
            </a:rPr>
            <a:t>Jason Miller, Conservation </a:t>
          </a:r>
          <a:r>
            <a:rPr lang="en-US" sz="900" b="1" i="0" baseline="0">
              <a:effectLst/>
              <a:latin typeface="+mn-lt"/>
              <a:ea typeface="+mn-ea"/>
              <a:cs typeface="+mn-cs"/>
            </a:rPr>
            <a:t>Agronomist, Pierre, SD</a:t>
          </a:r>
          <a:endParaRPr lang="en-US" sz="900" b="1" i="0" u="none" strike="noStrike" baseline="0">
            <a:solidFill>
              <a:srgbClr val="000000"/>
            </a:solidFill>
            <a:latin typeface="+mn-lt"/>
            <a:cs typeface="Calibri"/>
          </a:endParaRPr>
        </a:p>
        <a:p>
          <a:pPr algn="l" rtl="0">
            <a:defRPr sz="1000"/>
          </a:pPr>
          <a:endParaRPr lang="en-US" sz="600" b="1" i="0" u="none" strike="noStrike" baseline="0">
            <a:solidFill>
              <a:srgbClr val="000000"/>
            </a:solidFill>
            <a:latin typeface="+mn-lt"/>
            <a:cs typeface="Calibri"/>
          </a:endParaRPr>
        </a:p>
        <a:p>
          <a:pPr algn="l" rtl="0">
            <a:defRPr sz="1000"/>
          </a:pPr>
          <a:r>
            <a:rPr lang="en-US" sz="900" b="1" i="0" u="none" strike="noStrike" baseline="0">
              <a:solidFill>
                <a:srgbClr val="000000"/>
              </a:solidFill>
              <a:latin typeface="+mn-lt"/>
              <a:cs typeface="Calibri"/>
            </a:rPr>
            <a:t>Valerie Riter, </a:t>
          </a:r>
          <a:r>
            <a:rPr lang="en-US" sz="900" b="1" i="0" baseline="0">
              <a:effectLst/>
              <a:latin typeface="+mn-lt"/>
              <a:ea typeface="+mn-ea"/>
              <a:cs typeface="+mn-cs"/>
            </a:rPr>
            <a:t>Conservation Agronomist, Rapid City, SD</a:t>
          </a:r>
          <a:endParaRPr lang="en-US" sz="900" b="1" i="0" u="none" strike="noStrike" baseline="0">
            <a:solidFill>
              <a:srgbClr val="000000"/>
            </a:solidFill>
            <a:latin typeface="+mn-lt"/>
            <a:cs typeface="Calibri"/>
          </a:endParaRPr>
        </a:p>
        <a:p>
          <a:pPr algn="l" rtl="0">
            <a:defRPr sz="1000"/>
          </a:pPr>
          <a:endParaRPr lang="en-US" sz="600" b="1" i="0" u="none" strike="noStrike" baseline="0">
            <a:solidFill>
              <a:srgbClr val="000000"/>
            </a:solidFill>
            <a:latin typeface="+mn-lt"/>
            <a:cs typeface="Calibri"/>
          </a:endParaRPr>
        </a:p>
        <a:p>
          <a:pPr algn="l" rtl="0">
            <a:defRPr sz="1000"/>
          </a:pPr>
          <a:r>
            <a:rPr lang="en-US" sz="900" b="1" i="0" u="none" strike="noStrike" baseline="0">
              <a:solidFill>
                <a:srgbClr val="000000"/>
              </a:solidFill>
              <a:latin typeface="+mn-lt"/>
              <a:cs typeface="Calibri"/>
            </a:rPr>
            <a:t>Eric Barsness, </a:t>
          </a:r>
          <a:r>
            <a:rPr lang="en-US" sz="900" b="1" i="0" baseline="0">
              <a:effectLst/>
              <a:latin typeface="+mn-lt"/>
              <a:ea typeface="+mn-ea"/>
              <a:cs typeface="+mn-cs"/>
            </a:rPr>
            <a:t>Conservation Agronomist, Brookings, SD</a:t>
          </a:r>
          <a:endParaRPr lang="en-US" sz="900" b="1" i="0" u="none" strike="noStrike" baseline="0">
            <a:solidFill>
              <a:srgbClr val="000000"/>
            </a:solidFill>
            <a:latin typeface="+mn-lt"/>
            <a:cs typeface="Calibri"/>
          </a:endParaRPr>
        </a:p>
      </xdr:txBody>
    </xdr:sp>
    <xdr:clientData/>
  </xdr:twoCellAnchor>
  <xdr:twoCellAnchor>
    <xdr:from>
      <xdr:col>7</xdr:col>
      <xdr:colOff>57151</xdr:colOff>
      <xdr:row>0</xdr:row>
      <xdr:rowOff>123824</xdr:rowOff>
    </xdr:from>
    <xdr:to>
      <xdr:col>11</xdr:col>
      <xdr:colOff>571501</xdr:colOff>
      <xdr:row>2</xdr:row>
      <xdr:rowOff>76198</xdr:rowOff>
    </xdr:to>
    <xdr:sp macro="" textlink="">
      <xdr:nvSpPr>
        <xdr:cNvPr id="8" name="Text Box 3">
          <a:extLst>
            <a:ext uri="{FF2B5EF4-FFF2-40B4-BE49-F238E27FC236}">
              <a16:creationId xmlns:a16="http://schemas.microsoft.com/office/drawing/2014/main" id="{00000000-0008-0000-0900-000008000000}"/>
            </a:ext>
          </a:extLst>
        </xdr:cNvPr>
        <xdr:cNvSpPr txBox="1">
          <a:spLocks noChangeArrowheads="1"/>
        </xdr:cNvSpPr>
      </xdr:nvSpPr>
      <xdr:spPr bwMode="auto">
        <a:xfrm>
          <a:off x="3448051" y="123824"/>
          <a:ext cx="2952750" cy="304799"/>
        </a:xfrm>
        <a:prstGeom prst="rect">
          <a:avLst/>
        </a:prstGeom>
        <a:solidFill>
          <a:srgbClr val="FFFFFF">
            <a:alpha val="0"/>
          </a:srgbClr>
        </a:solidFill>
        <a:ln w="9525">
          <a:noFill/>
          <a:miter lim="800000"/>
          <a:headEnd/>
          <a:tailEnd/>
        </a:ln>
      </xdr:spPr>
      <xdr:txBody>
        <a:bodyPr vertOverflow="clip" wrap="square" lIns="91440" tIns="45720" rIns="91440" bIns="45720" anchor="t" upright="1"/>
        <a:lstStyle/>
        <a:p>
          <a:pPr algn="ctr" rtl="0">
            <a:defRPr sz="1000"/>
          </a:pPr>
          <a:r>
            <a:rPr lang="en-US" sz="1600" b="1" i="0" u="none" strike="noStrike" baseline="0">
              <a:solidFill>
                <a:srgbClr val="000000"/>
              </a:solidFill>
              <a:latin typeface="Calibri"/>
              <a:cs typeface="Calibri"/>
            </a:rPr>
            <a:t>Covercrop_ver2.1 Tutorial Video</a:t>
          </a:r>
        </a:p>
      </xdr:txBody>
    </xdr:sp>
    <xdr:clientData/>
  </xdr:twoCellAnchor>
  <xdr:twoCellAnchor editAs="oneCell">
    <xdr:from>
      <xdr:col>1</xdr:col>
      <xdr:colOff>0</xdr:colOff>
      <xdr:row>0</xdr:row>
      <xdr:rowOff>0</xdr:rowOff>
    </xdr:from>
    <xdr:to>
      <xdr:col>7</xdr:col>
      <xdr:colOff>0</xdr:colOff>
      <xdr:row>12</xdr:row>
      <xdr:rowOff>9524</xdr:rowOff>
    </xdr:to>
    <xdr:pic>
      <xdr:nvPicPr>
        <xdr:cNvPr id="11" name="Picture 10">
          <a:extLst>
            <a:ext uri="{FF2B5EF4-FFF2-40B4-BE49-F238E27FC236}">
              <a16:creationId xmlns:a16="http://schemas.microsoft.com/office/drawing/2014/main" id="{00000000-0008-0000-0900-00000B00000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 y="0"/>
          <a:ext cx="3390900" cy="2095499"/>
        </a:xfrm>
        <a:prstGeom prst="rect">
          <a:avLst/>
        </a:prstGeom>
      </xdr:spPr>
    </xdr:pic>
    <xdr:clientData/>
  </xdr:twoCellAnchor>
  <mc:AlternateContent xmlns:mc="http://schemas.openxmlformats.org/markup-compatibility/2006">
    <mc:Choice xmlns:a14="http://schemas.microsoft.com/office/drawing/2010/main" Requires="a14">
      <xdr:twoCellAnchor>
        <xdr:from>
          <xdr:col>7</xdr:col>
          <xdr:colOff>457200</xdr:colOff>
          <xdr:row>9</xdr:row>
          <xdr:rowOff>114300</xdr:rowOff>
        </xdr:from>
        <xdr:to>
          <xdr:col>11</xdr:col>
          <xdr:colOff>238125</xdr:colOff>
          <xdr:row>10</xdr:row>
          <xdr:rowOff>142875</xdr:rowOff>
        </xdr:to>
        <xdr:sp macro="" textlink="">
          <xdr:nvSpPr>
            <xdr:cNvPr id="16386" name="Button 2" hidden="1">
              <a:extLst>
                <a:ext uri="{63B3BB69-23CF-44E3-9099-C40C66FF867C}">
                  <a14:compatExt spid="_x0000_s16386"/>
                </a:ext>
                <a:ext uri="{FF2B5EF4-FFF2-40B4-BE49-F238E27FC236}">
                  <a16:creationId xmlns:a16="http://schemas.microsoft.com/office/drawing/2014/main" id="{00000000-0008-0000-0B00-0000024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3366FF"/>
                  </a:solidFill>
                  <a:latin typeface="Arial"/>
                  <a:cs typeface="Arial"/>
                </a:rPr>
                <a:t>Return to Cover crop worksheet</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omments" Target="../comments1.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8" Type="http://schemas.openxmlformats.org/officeDocument/2006/relationships/ctrlProp" Target="../ctrlProps/ctrlProp5.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32.xml"/><Relationship Id="rId13" Type="http://schemas.openxmlformats.org/officeDocument/2006/relationships/ctrlProp" Target="../ctrlProps/ctrlProp37.xml"/><Relationship Id="rId18" Type="http://schemas.openxmlformats.org/officeDocument/2006/relationships/ctrlProp" Target="../ctrlProps/ctrlProp42.xml"/><Relationship Id="rId3" Type="http://schemas.openxmlformats.org/officeDocument/2006/relationships/printerSettings" Target="../printerSettings/printerSettings2.bin"/><Relationship Id="rId7" Type="http://schemas.openxmlformats.org/officeDocument/2006/relationships/ctrlProp" Target="../ctrlProps/ctrlProp31.xml"/><Relationship Id="rId12" Type="http://schemas.openxmlformats.org/officeDocument/2006/relationships/ctrlProp" Target="../ctrlProps/ctrlProp36.xml"/><Relationship Id="rId17" Type="http://schemas.openxmlformats.org/officeDocument/2006/relationships/ctrlProp" Target="../ctrlProps/ctrlProp41.xml"/><Relationship Id="rId2" Type="http://schemas.openxmlformats.org/officeDocument/2006/relationships/hyperlink" Target="https://efotg.sc.egov.usda.gov/references/public/SD/SD_Cover_Crop_Tech_Note_16_Update_Sept_2025.pdf" TargetMode="External"/><Relationship Id="rId16" Type="http://schemas.openxmlformats.org/officeDocument/2006/relationships/ctrlProp" Target="../ctrlProps/ctrlProp40.xml"/><Relationship Id="rId1" Type="http://schemas.openxmlformats.org/officeDocument/2006/relationships/hyperlink" Target="https://efotg.sc.egov.usda.gov/references/public/SD/SD_Cover_Crop_Technical_Note_16.pdf" TargetMode="External"/><Relationship Id="rId6" Type="http://schemas.openxmlformats.org/officeDocument/2006/relationships/ctrlProp" Target="../ctrlProps/ctrlProp30.xml"/><Relationship Id="rId11" Type="http://schemas.openxmlformats.org/officeDocument/2006/relationships/ctrlProp" Target="../ctrlProps/ctrlProp35.xml"/><Relationship Id="rId5" Type="http://schemas.openxmlformats.org/officeDocument/2006/relationships/vmlDrawing" Target="../drawings/vmlDrawing2.vml"/><Relationship Id="rId15" Type="http://schemas.openxmlformats.org/officeDocument/2006/relationships/ctrlProp" Target="../ctrlProps/ctrlProp39.xml"/><Relationship Id="rId10" Type="http://schemas.openxmlformats.org/officeDocument/2006/relationships/ctrlProp" Target="../ctrlProps/ctrlProp34.xml"/><Relationship Id="rId19" Type="http://schemas.openxmlformats.org/officeDocument/2006/relationships/comments" Target="../comments2.xml"/><Relationship Id="rId4" Type="http://schemas.openxmlformats.org/officeDocument/2006/relationships/drawing" Target="../drawings/drawing2.xml"/><Relationship Id="rId9" Type="http://schemas.openxmlformats.org/officeDocument/2006/relationships/ctrlProp" Target="../ctrlProps/ctrlProp33.xml"/><Relationship Id="rId14" Type="http://schemas.openxmlformats.org/officeDocument/2006/relationships/ctrlProp" Target="../ctrlProps/ctrlProp38.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44.xml"/><Relationship Id="rId4" Type="http://schemas.openxmlformats.org/officeDocument/2006/relationships/ctrlProp" Target="../ctrlProps/ctrlProp4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vmlDrawing" Target="../drawings/vmlDrawing4.vml"/><Relationship Id="rId7" Type="http://schemas.openxmlformats.org/officeDocument/2006/relationships/ctrlProp" Target="../ctrlProps/ctrlProp48.xml"/><Relationship Id="rId2" Type="http://schemas.openxmlformats.org/officeDocument/2006/relationships/drawing" Target="../drawings/drawing4.xml"/><Relationship Id="rId1" Type="http://schemas.openxmlformats.org/officeDocument/2006/relationships/printerSettings" Target="../printerSettings/printerSettings6.bin"/><Relationship Id="rId6" Type="http://schemas.openxmlformats.org/officeDocument/2006/relationships/ctrlProp" Target="../ctrlProps/ctrlProp47.xml"/><Relationship Id="rId5" Type="http://schemas.openxmlformats.org/officeDocument/2006/relationships/ctrlProp" Target="../ctrlProps/ctrlProp46.xml"/><Relationship Id="rId4" Type="http://schemas.openxmlformats.org/officeDocument/2006/relationships/ctrlProp" Target="../ctrlProps/ctrlProp4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52.xml"/><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ctrlProp" Target="../ctrlProps/ctrlProp51.xml"/><Relationship Id="rId5" Type="http://schemas.openxmlformats.org/officeDocument/2006/relationships/ctrlProp" Target="../ctrlProps/ctrlProp50.xml"/><Relationship Id="rId4" Type="http://schemas.openxmlformats.org/officeDocument/2006/relationships/ctrlProp" Target="../ctrlProps/ctrlProp49.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trlProp" Target="../ctrlProps/ctrlProp53.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8.xml"/><Relationship Id="rId3" Type="http://schemas.openxmlformats.org/officeDocument/2006/relationships/vmlDrawing" Target="../drawings/vmlDrawing7.vml"/><Relationship Id="rId7" Type="http://schemas.openxmlformats.org/officeDocument/2006/relationships/ctrlProp" Target="../ctrlProps/ctrlProp57.xml"/><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ctrlProp" Target="../ctrlProps/ctrlProp56.xml"/><Relationship Id="rId11" Type="http://schemas.openxmlformats.org/officeDocument/2006/relationships/comments" Target="../comments4.xml"/><Relationship Id="rId5" Type="http://schemas.openxmlformats.org/officeDocument/2006/relationships/ctrlProp" Target="../ctrlProps/ctrlProp55.xml"/><Relationship Id="rId10" Type="http://schemas.openxmlformats.org/officeDocument/2006/relationships/ctrlProp" Target="../ctrlProps/ctrlProp60.xml"/><Relationship Id="rId4" Type="http://schemas.openxmlformats.org/officeDocument/2006/relationships/ctrlProp" Target="../ctrlProps/ctrlProp54.xml"/><Relationship Id="rId9" Type="http://schemas.openxmlformats.org/officeDocument/2006/relationships/ctrlProp" Target="../ctrlProps/ctrlProp5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0.bin"/><Relationship Id="rId4" Type="http://schemas.openxmlformats.org/officeDocument/2006/relationships/ctrlProp" Target="../ctrlProps/ctrlProp6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trlProp" Target="../ctrlProps/ctrlProp62.xml"/></Relationships>
</file>

<file path=xl/worksheets/_rels/sheet12.xml.rels><?xml version="1.0" encoding="UTF-8" standalone="yes"?>
<Relationships xmlns="http://schemas.openxmlformats.org/package/2006/relationships"><Relationship Id="rId8" Type="http://schemas.openxmlformats.org/officeDocument/2006/relationships/hyperlink" Target="https://youtu.be/N3rbBC-hnMs?t=2577" TargetMode="External"/><Relationship Id="rId13" Type="http://schemas.openxmlformats.org/officeDocument/2006/relationships/printerSettings" Target="../printerSettings/printerSettings12.bin"/><Relationship Id="rId3" Type="http://schemas.openxmlformats.org/officeDocument/2006/relationships/hyperlink" Target="https://youtu.be/N3rbBC-hnMs?t=157" TargetMode="External"/><Relationship Id="rId7" Type="http://schemas.openxmlformats.org/officeDocument/2006/relationships/hyperlink" Target="https://youtu.be/N3rbBC-hnMs?t=1774" TargetMode="External"/><Relationship Id="rId12" Type="http://schemas.openxmlformats.org/officeDocument/2006/relationships/hyperlink" Target="https://youtu.be/N3rbBC-hnMs?t=157" TargetMode="External"/><Relationship Id="rId2" Type="http://schemas.openxmlformats.org/officeDocument/2006/relationships/hyperlink" Target="https://youtu.be/w8LB52VBeiU?t=156" TargetMode="External"/><Relationship Id="rId16" Type="http://schemas.openxmlformats.org/officeDocument/2006/relationships/ctrlProp" Target="../ctrlProps/ctrlProp63.xml"/><Relationship Id="rId1" Type="http://schemas.openxmlformats.org/officeDocument/2006/relationships/hyperlink" Target="https://youtu.be/w8LB52VBeiU" TargetMode="External"/><Relationship Id="rId6" Type="http://schemas.openxmlformats.org/officeDocument/2006/relationships/hyperlink" Target="https://youtu.be/N3rbBC-hnMs?t=1422" TargetMode="External"/><Relationship Id="rId11" Type="http://schemas.openxmlformats.org/officeDocument/2006/relationships/hyperlink" Target="https://youtu.be/N3rbBC-hnMs?t=565" TargetMode="External"/><Relationship Id="rId5" Type="http://schemas.openxmlformats.org/officeDocument/2006/relationships/hyperlink" Target="https://youtu.be/N3rbBC-hnMs?t=860" TargetMode="External"/><Relationship Id="rId15" Type="http://schemas.openxmlformats.org/officeDocument/2006/relationships/vmlDrawing" Target="../drawings/vmlDrawing10.vml"/><Relationship Id="rId10" Type="http://schemas.openxmlformats.org/officeDocument/2006/relationships/hyperlink" Target="https://youtu.be/N3rbBC-hnMs" TargetMode="External"/><Relationship Id="rId4" Type="http://schemas.openxmlformats.org/officeDocument/2006/relationships/hyperlink" Target="https://youtu.be/N3rbBC-hnMs" TargetMode="External"/><Relationship Id="rId9" Type="http://schemas.openxmlformats.org/officeDocument/2006/relationships/hyperlink" Target="https://youtu.be/N3rbBC-hnMs?t=4162" TargetMode="External"/><Relationship Id="rId14"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2C711-C414-4878-A097-50621192009A}">
  <sheetPr codeName="Sheet112">
    <tabColor theme="9" tint="0.79998168889431442"/>
    <pageSetUpPr fitToPage="1"/>
  </sheetPr>
  <dimension ref="C1:AS172"/>
  <sheetViews>
    <sheetView showGridLines="0" zoomScaleNormal="100" workbookViewId="0">
      <selection activeCell="C1" sqref="C1:J1"/>
    </sheetView>
  </sheetViews>
  <sheetFormatPr defaultColWidth="9.140625" defaultRowHeight="15" x14ac:dyDescent="0.25"/>
  <cols>
    <col min="1" max="1" width="18.85546875" style="396" customWidth="1"/>
    <col min="2" max="2" width="9.140625" style="396"/>
    <col min="3" max="3" width="5.7109375" style="396" customWidth="1"/>
    <col min="4" max="4" width="14.7109375" style="396" customWidth="1"/>
    <col min="5" max="5" width="19" style="396" customWidth="1"/>
    <col min="6" max="8" width="9.7109375" style="396" customWidth="1"/>
    <col min="9" max="9" width="12.7109375" style="396" customWidth="1"/>
    <col min="10" max="10" width="4.85546875" style="396" customWidth="1"/>
    <col min="11" max="11" width="9.140625" style="396"/>
    <col min="12" max="18" width="8" style="396" customWidth="1"/>
    <col min="19" max="19" width="9.7109375" style="396" customWidth="1"/>
    <col min="20" max="20" width="108" style="396" customWidth="1"/>
    <col min="21" max="21" width="47.7109375" style="396" customWidth="1"/>
    <col min="22" max="22" width="76.42578125" style="396" customWidth="1"/>
    <col min="23" max="23" width="6.7109375" style="396" customWidth="1"/>
    <col min="24" max="24" width="14.28515625" style="396" customWidth="1"/>
    <col min="25" max="25" width="3.85546875" style="396" customWidth="1"/>
    <col min="26" max="26" width="30.7109375" style="398" customWidth="1"/>
    <col min="27" max="27" width="16.28515625" style="397" customWidth="1"/>
    <col min="28" max="28" width="30" style="397" customWidth="1"/>
    <col min="29" max="29" width="27.7109375" style="397" customWidth="1"/>
    <col min="30" max="30" width="28.5703125" style="397" customWidth="1"/>
    <col min="31" max="31" width="18.7109375" style="397" customWidth="1"/>
    <col min="32" max="32" width="16.28515625" style="397" customWidth="1"/>
    <col min="33" max="33" width="9.140625" style="398"/>
    <col min="34" max="34" width="13.5703125" style="398" customWidth="1"/>
    <col min="35" max="35" width="110.85546875" style="398" customWidth="1"/>
    <col min="36" max="36" width="8.5703125" style="398" customWidth="1"/>
    <col min="37" max="37" width="10.7109375" style="396" customWidth="1"/>
    <col min="38" max="38" width="97.28515625" style="396" customWidth="1"/>
    <col min="39" max="40" width="10.7109375" style="396" customWidth="1"/>
    <col min="41" max="41" width="6.7109375" style="397" customWidth="1"/>
    <col min="42" max="16384" width="9.140625" style="396"/>
  </cols>
  <sheetData>
    <row r="1" spans="3:45" ht="39.75" customHeight="1" thickBot="1" x14ac:dyDescent="0.35">
      <c r="C1" s="770" t="s">
        <v>610</v>
      </c>
      <c r="D1" s="771"/>
      <c r="E1" s="771"/>
      <c r="F1" s="771"/>
      <c r="G1" s="771"/>
      <c r="H1" s="771"/>
      <c r="I1" s="771"/>
      <c r="J1" s="771"/>
      <c r="U1" s="399"/>
      <c r="V1" s="427" t="s">
        <v>609</v>
      </c>
      <c r="Z1" s="426" t="s">
        <v>608</v>
      </c>
      <c r="AA1" s="425" t="s">
        <v>607</v>
      </c>
      <c r="AB1" s="424"/>
      <c r="AC1" s="423" t="s">
        <v>606</v>
      </c>
      <c r="AD1" s="422" t="s">
        <v>605</v>
      </c>
      <c r="AE1" s="422" t="s">
        <v>604</v>
      </c>
      <c r="AF1" s="422" t="s">
        <v>603</v>
      </c>
      <c r="AJ1" s="768"/>
      <c r="AK1" s="768"/>
      <c r="AL1" s="421"/>
      <c r="AN1" s="421"/>
    </row>
    <row r="2" spans="3:45" ht="21.75" customHeight="1" x14ac:dyDescent="0.25">
      <c r="C2" s="772" t="s">
        <v>765</v>
      </c>
      <c r="D2" s="773"/>
      <c r="E2" s="773"/>
      <c r="F2" s="773"/>
      <c r="G2" s="773"/>
      <c r="H2" s="773"/>
      <c r="I2" s="773"/>
      <c r="J2" s="398"/>
      <c r="U2" s="399">
        <v>1</v>
      </c>
      <c r="V2" s="396" t="s">
        <v>602</v>
      </c>
      <c r="Z2" s="431" t="s">
        <v>468</v>
      </c>
      <c r="AA2" s="412" t="b">
        <v>0</v>
      </c>
      <c r="AB2" s="411" t="s">
        <v>469</v>
      </c>
      <c r="AC2" s="418" t="s">
        <v>469</v>
      </c>
      <c r="AD2" s="696" t="s">
        <v>469</v>
      </c>
      <c r="AE2" s="417"/>
      <c r="AF2" s="405"/>
      <c r="AM2" s="413"/>
      <c r="AS2" s="396" t="b">
        <v>1</v>
      </c>
    </row>
    <row r="3" spans="3:45" ht="21.75" customHeight="1" x14ac:dyDescent="0.25">
      <c r="C3" s="777" t="s">
        <v>766</v>
      </c>
      <c r="D3" s="778"/>
      <c r="E3" s="778"/>
      <c r="F3" s="778"/>
      <c r="G3" s="778"/>
      <c r="H3" s="778"/>
      <c r="I3" s="778"/>
      <c r="U3" s="399"/>
      <c r="V3" s="396" t="s">
        <v>601</v>
      </c>
      <c r="Z3" s="431" t="s">
        <v>469</v>
      </c>
      <c r="AA3" s="412" t="b">
        <v>0</v>
      </c>
      <c r="AB3" s="411" t="s">
        <v>470</v>
      </c>
      <c r="AC3" s="418"/>
      <c r="AD3" s="417"/>
      <c r="AE3" s="417"/>
      <c r="AF3" s="405"/>
      <c r="AM3" s="413"/>
      <c r="AS3" s="396" t="b">
        <v>0</v>
      </c>
    </row>
    <row r="4" spans="3:45" ht="18" customHeight="1" x14ac:dyDescent="0.25">
      <c r="C4" s="774" t="s">
        <v>891</v>
      </c>
      <c r="D4" s="775"/>
      <c r="E4" s="775"/>
      <c r="F4" s="775"/>
      <c r="G4" s="775"/>
      <c r="H4" s="775"/>
      <c r="I4" s="775"/>
      <c r="J4" s="420"/>
      <c r="U4" s="399">
        <v>2</v>
      </c>
      <c r="V4" s="396" t="s">
        <v>600</v>
      </c>
      <c r="Z4" s="431" t="s">
        <v>470</v>
      </c>
      <c r="AA4" s="412" t="b">
        <v>0</v>
      </c>
      <c r="AB4" s="411" t="s">
        <v>614</v>
      </c>
      <c r="AC4" s="418"/>
      <c r="AD4" s="417"/>
      <c r="AE4" s="417"/>
      <c r="AF4" s="405"/>
      <c r="AM4" s="413"/>
    </row>
    <row r="5" spans="3:45" ht="18" customHeight="1" x14ac:dyDescent="0.25">
      <c r="C5" s="779" t="s">
        <v>620</v>
      </c>
      <c r="D5" s="779"/>
      <c r="E5" s="779"/>
      <c r="F5" s="779"/>
      <c r="G5" s="779"/>
      <c r="H5" s="779"/>
      <c r="I5" s="779"/>
      <c r="U5" s="399"/>
      <c r="V5" s="396" t="s">
        <v>599</v>
      </c>
      <c r="Z5" s="431" t="s">
        <v>614</v>
      </c>
      <c r="AA5" s="412" t="b">
        <v>0</v>
      </c>
      <c r="AB5" s="411" t="s">
        <v>474</v>
      </c>
      <c r="AC5" s="418"/>
      <c r="AD5" s="417"/>
      <c r="AE5" s="417"/>
      <c r="AF5" s="405"/>
      <c r="AM5" s="413"/>
    </row>
    <row r="6" spans="3:45" ht="18" customHeight="1" x14ac:dyDescent="0.25">
      <c r="C6" s="776" t="s">
        <v>598</v>
      </c>
      <c r="D6" s="776"/>
      <c r="E6" s="776"/>
      <c r="F6" s="757" t="s">
        <v>619</v>
      </c>
      <c r="G6" s="758"/>
      <c r="H6" s="758"/>
      <c r="I6" s="758"/>
      <c r="K6" s="416"/>
      <c r="U6" s="399">
        <v>3</v>
      </c>
      <c r="V6" s="396" t="s">
        <v>597</v>
      </c>
      <c r="Z6" s="431" t="s">
        <v>473</v>
      </c>
      <c r="AA6" s="412" t="b">
        <v>0</v>
      </c>
      <c r="AB6" s="411"/>
      <c r="AC6" s="418"/>
      <c r="AD6" s="417"/>
      <c r="AE6" s="417"/>
      <c r="AF6" s="405"/>
      <c r="AM6" s="413"/>
    </row>
    <row r="7" spans="3:45" ht="18" customHeight="1" x14ac:dyDescent="0.25">
      <c r="C7" s="776"/>
      <c r="D7" s="776"/>
      <c r="E7" s="776"/>
      <c r="F7" s="759"/>
      <c r="G7" s="760"/>
      <c r="H7" s="760"/>
      <c r="I7" s="760"/>
      <c r="K7" s="416"/>
      <c r="L7" s="416"/>
      <c r="M7" s="398"/>
      <c r="U7" s="399"/>
      <c r="V7" s="396" t="s">
        <v>596</v>
      </c>
      <c r="Z7" s="431" t="s">
        <v>615</v>
      </c>
      <c r="AA7" s="412" t="b">
        <v>0</v>
      </c>
      <c r="AB7" s="411"/>
      <c r="AC7" s="418"/>
      <c r="AD7" s="417"/>
      <c r="AE7" s="417"/>
      <c r="AF7" s="405"/>
      <c r="AM7" s="413"/>
    </row>
    <row r="8" spans="3:45" ht="18" customHeight="1" x14ac:dyDescent="0.25">
      <c r="C8" s="415"/>
      <c r="D8" s="415"/>
      <c r="E8" s="415"/>
      <c r="F8" s="414"/>
      <c r="G8" s="769"/>
      <c r="H8" s="769"/>
      <c r="I8" s="769"/>
      <c r="K8" s="416"/>
      <c r="L8" s="416"/>
      <c r="U8" s="399">
        <v>4</v>
      </c>
      <c r="V8" s="396" t="s">
        <v>595</v>
      </c>
      <c r="Z8" s="431" t="s">
        <v>849</v>
      </c>
      <c r="AA8" s="412" t="b">
        <v>0</v>
      </c>
      <c r="AB8" s="570"/>
      <c r="AC8" s="418"/>
      <c r="AD8" s="417"/>
      <c r="AE8" s="417"/>
      <c r="AF8" s="405"/>
      <c r="AM8" s="413"/>
    </row>
    <row r="9" spans="3:45" ht="18" customHeight="1" x14ac:dyDescent="0.25">
      <c r="C9" s="415"/>
      <c r="D9" s="764" t="str">
        <f t="shared" ref="D9:D20" si="0">AB2</f>
        <v>Cover crop worksheet</v>
      </c>
      <c r="E9" s="765"/>
      <c r="F9" s="414"/>
      <c r="G9" s="755" t="str">
        <f t="shared" ref="G9:G21" si="1">AB14</f>
        <v>Contingency Plan</v>
      </c>
      <c r="H9" s="755"/>
      <c r="I9" s="755"/>
      <c r="K9" s="416"/>
      <c r="L9" s="416"/>
      <c r="U9" s="399">
        <v>5</v>
      </c>
      <c r="V9" s="396" t="s">
        <v>594</v>
      </c>
      <c r="Z9" s="431" t="s">
        <v>474</v>
      </c>
      <c r="AA9" s="412" t="b">
        <v>0</v>
      </c>
      <c r="AB9" s="411"/>
      <c r="AC9" s="418"/>
      <c r="AD9" s="417"/>
      <c r="AE9" s="417"/>
      <c r="AF9" s="405"/>
      <c r="AM9" s="413"/>
    </row>
    <row r="10" spans="3:45" ht="18" customHeight="1" x14ac:dyDescent="0.25">
      <c r="C10" s="415"/>
      <c r="D10" s="764" t="str">
        <f t="shared" si="0"/>
        <v>Prepared Mixes</v>
      </c>
      <c r="E10" s="765"/>
      <c r="F10" s="414"/>
      <c r="G10" s="755" t="str">
        <f t="shared" si="1"/>
        <v>Vendor</v>
      </c>
      <c r="H10" s="755"/>
      <c r="I10" s="755"/>
      <c r="K10" s="416"/>
      <c r="L10" s="416"/>
      <c r="V10" s="396" t="s">
        <v>593</v>
      </c>
      <c r="Z10" s="431" t="s">
        <v>756</v>
      </c>
      <c r="AA10" s="412" t="b">
        <v>0</v>
      </c>
      <c r="AB10" s="411"/>
      <c r="AC10" s="418"/>
      <c r="AD10" s="417"/>
      <c r="AE10" s="417"/>
      <c r="AF10" s="405"/>
      <c r="AM10" s="413"/>
    </row>
    <row r="11" spans="3:45" ht="18" customHeight="1" x14ac:dyDescent="0.25">
      <c r="C11" s="415"/>
      <c r="D11" s="764" t="str">
        <f t="shared" si="0"/>
        <v>Cost estimates</v>
      </c>
      <c r="E11" s="765"/>
      <c r="F11" s="414"/>
      <c r="G11" s="755" t="str">
        <f t="shared" si="1"/>
        <v>Table 1 Purpose rating</v>
      </c>
      <c r="H11" s="755"/>
      <c r="I11" s="755"/>
      <c r="K11" s="416"/>
      <c r="L11" s="416"/>
      <c r="U11" s="399">
        <v>6</v>
      </c>
      <c r="V11" s="396" t="s">
        <v>592</v>
      </c>
      <c r="Z11" s="431" t="s">
        <v>616</v>
      </c>
      <c r="AA11" s="412" t="b">
        <v>0</v>
      </c>
      <c r="AB11" s="411"/>
      <c r="AC11" s="418"/>
      <c r="AD11" s="417"/>
      <c r="AE11" s="417"/>
      <c r="AF11" s="405"/>
      <c r="AM11" s="413"/>
    </row>
    <row r="12" spans="3:45" ht="18" customHeight="1" x14ac:dyDescent="0.25">
      <c r="C12" s="415"/>
      <c r="D12" s="764" t="str">
        <f t="shared" si="0"/>
        <v>Recommended Cover Crop Mixes</v>
      </c>
      <c r="E12" s="765"/>
      <c r="F12" s="414"/>
      <c r="G12" s="755" t="str">
        <f t="shared" si="1"/>
        <v>Table 1 Urban</v>
      </c>
      <c r="H12" s="755"/>
      <c r="I12" s="755"/>
      <c r="K12" s="416"/>
      <c r="L12" s="416"/>
      <c r="N12" s="419"/>
      <c r="U12" s="399">
        <v>7</v>
      </c>
      <c r="V12" s="396" t="s">
        <v>591</v>
      </c>
      <c r="Z12" s="695" t="s">
        <v>850</v>
      </c>
      <c r="AA12" s="412" t="b">
        <v>0</v>
      </c>
      <c r="AB12" s="411"/>
      <c r="AC12" s="418"/>
      <c r="AD12" s="417"/>
      <c r="AE12" s="417"/>
      <c r="AF12" s="405"/>
      <c r="AM12" s="413"/>
    </row>
    <row r="13" spans="3:45" ht="18" customHeight="1" x14ac:dyDescent="0.25">
      <c r="C13" s="415"/>
      <c r="D13" s="764">
        <f t="shared" si="0"/>
        <v>0</v>
      </c>
      <c r="E13" s="765"/>
      <c r="F13" s="414"/>
      <c r="G13" s="755" t="str">
        <f t="shared" si="1"/>
        <v>Graze</v>
      </c>
      <c r="H13" s="755"/>
      <c r="I13" s="755"/>
      <c r="K13" s="416"/>
      <c r="U13" s="399">
        <v>8</v>
      </c>
      <c r="V13" s="396" t="s">
        <v>590</v>
      </c>
      <c r="Z13" s="431" t="s">
        <v>557</v>
      </c>
      <c r="AA13" s="412" t="b">
        <v>0</v>
      </c>
      <c r="AB13" s="411"/>
      <c r="AC13" s="418"/>
      <c r="AD13" s="417"/>
      <c r="AE13" s="417"/>
      <c r="AF13" s="405"/>
      <c r="AM13" s="413"/>
    </row>
    <row r="14" spans="3:45" ht="18" customHeight="1" x14ac:dyDescent="0.25">
      <c r="C14" s="415"/>
      <c r="D14" s="764">
        <f t="shared" si="0"/>
        <v>0</v>
      </c>
      <c r="E14" s="765"/>
      <c r="F14" s="414"/>
      <c r="G14" s="755" t="str">
        <f t="shared" si="1"/>
        <v>Seed Tag Examples</v>
      </c>
      <c r="H14" s="755"/>
      <c r="I14" s="755"/>
      <c r="K14" s="416"/>
      <c r="V14" s="396" t="s">
        <v>589</v>
      </c>
      <c r="Z14" s="431" t="s">
        <v>617</v>
      </c>
      <c r="AA14" s="412" t="b">
        <v>0</v>
      </c>
      <c r="AB14" s="411" t="s">
        <v>850</v>
      </c>
      <c r="AC14" s="407"/>
      <c r="AD14" s="410" t="s">
        <v>469</v>
      </c>
      <c r="AE14" s="410"/>
      <c r="AF14" s="405"/>
      <c r="AM14" s="413"/>
    </row>
    <row r="15" spans="3:45" ht="18" customHeight="1" x14ac:dyDescent="0.25">
      <c r="C15" s="415"/>
      <c r="D15" s="764">
        <f t="shared" si="0"/>
        <v>0</v>
      </c>
      <c r="E15" s="765"/>
      <c r="F15" s="414"/>
      <c r="G15" s="755" t="str">
        <f t="shared" si="1"/>
        <v>Notes</v>
      </c>
      <c r="H15" s="755"/>
      <c r="I15" s="755"/>
      <c r="K15" s="416"/>
      <c r="V15" s="396" t="s">
        <v>588</v>
      </c>
      <c r="Z15" s="431" t="s">
        <v>618</v>
      </c>
      <c r="AA15" s="412" t="b">
        <v>0</v>
      </c>
      <c r="AB15" s="411" t="s">
        <v>473</v>
      </c>
      <c r="AC15" s="407"/>
      <c r="AD15" s="410" t="s">
        <v>469</v>
      </c>
      <c r="AE15" s="410"/>
      <c r="AF15" s="405"/>
      <c r="AM15" s="413"/>
    </row>
    <row r="16" spans="3:45" ht="18" customHeight="1" x14ac:dyDescent="0.25">
      <c r="C16" s="415"/>
      <c r="D16" s="764">
        <f t="shared" si="0"/>
        <v>0</v>
      </c>
      <c r="E16" s="765"/>
      <c r="F16" s="414"/>
      <c r="G16" s="755">
        <f t="shared" si="1"/>
        <v>0</v>
      </c>
      <c r="H16" s="755"/>
      <c r="I16" s="755"/>
      <c r="K16" s="416"/>
      <c r="U16" s="396">
        <v>9</v>
      </c>
      <c r="V16" s="400" t="s">
        <v>587</v>
      </c>
      <c r="Z16" s="431"/>
      <c r="AA16" s="412" t="b">
        <v>0</v>
      </c>
      <c r="AB16" s="411" t="s">
        <v>615</v>
      </c>
      <c r="AC16" s="407"/>
      <c r="AD16" s="410"/>
      <c r="AE16" s="410"/>
      <c r="AF16" s="405"/>
      <c r="AM16" s="413"/>
    </row>
    <row r="17" spans="4:32" ht="18" customHeight="1" x14ac:dyDescent="0.25">
      <c r="D17" s="766">
        <f t="shared" si="0"/>
        <v>0</v>
      </c>
      <c r="E17" s="767"/>
      <c r="F17" s="414"/>
      <c r="G17" s="755">
        <f t="shared" si="1"/>
        <v>0</v>
      </c>
      <c r="H17" s="755"/>
      <c r="I17" s="755"/>
      <c r="V17" s="400" t="s">
        <v>586</v>
      </c>
      <c r="Z17" s="431"/>
      <c r="AA17" s="412" t="b">
        <v>0</v>
      </c>
      <c r="AB17" s="411" t="s">
        <v>849</v>
      </c>
      <c r="AC17" s="407"/>
      <c r="AD17" s="410"/>
      <c r="AE17" s="410"/>
      <c r="AF17" s="405"/>
    </row>
    <row r="18" spans="4:32" ht="18" customHeight="1" x14ac:dyDescent="0.25">
      <c r="D18" s="766">
        <f t="shared" si="0"/>
        <v>0</v>
      </c>
      <c r="E18" s="767"/>
      <c r="F18" s="414"/>
      <c r="G18" s="755">
        <f t="shared" si="1"/>
        <v>0</v>
      </c>
      <c r="H18" s="755"/>
      <c r="I18" s="755"/>
      <c r="U18" s="399"/>
      <c r="V18" s="396" t="s">
        <v>585</v>
      </c>
      <c r="Z18" s="431"/>
      <c r="AA18" s="412" t="b">
        <v>0</v>
      </c>
      <c r="AB18" s="411" t="s">
        <v>756</v>
      </c>
      <c r="AC18" s="407"/>
      <c r="AD18" s="410"/>
      <c r="AE18" s="410"/>
      <c r="AF18" s="405"/>
    </row>
    <row r="19" spans="4:32" ht="18" customHeight="1" x14ac:dyDescent="0.25">
      <c r="D19" s="766">
        <f t="shared" si="0"/>
        <v>0</v>
      </c>
      <c r="E19" s="767"/>
      <c r="F19" s="414"/>
      <c r="G19" s="755">
        <f t="shared" si="1"/>
        <v>0</v>
      </c>
      <c r="H19" s="755"/>
      <c r="I19" s="755"/>
      <c r="U19" s="399"/>
      <c r="V19" s="396" t="s">
        <v>584</v>
      </c>
      <c r="Z19" s="431"/>
      <c r="AA19" s="412" t="b">
        <v>0</v>
      </c>
      <c r="AB19" s="411" t="s">
        <v>616</v>
      </c>
      <c r="AC19" s="407"/>
      <c r="AD19" s="410"/>
      <c r="AE19" s="410"/>
      <c r="AF19" s="405"/>
    </row>
    <row r="20" spans="4:32" ht="18" customHeight="1" x14ac:dyDescent="0.25">
      <c r="D20" s="766">
        <f t="shared" si="0"/>
        <v>0</v>
      </c>
      <c r="E20" s="767"/>
      <c r="F20" s="414"/>
      <c r="G20" s="755">
        <f t="shared" si="1"/>
        <v>0</v>
      </c>
      <c r="H20" s="755"/>
      <c r="I20" s="755"/>
      <c r="U20" s="399">
        <v>10</v>
      </c>
      <c r="V20" s="399" t="s">
        <v>583</v>
      </c>
      <c r="Z20" s="431"/>
      <c r="AA20" s="412" t="b">
        <v>0</v>
      </c>
      <c r="AB20" s="411" t="s">
        <v>618</v>
      </c>
      <c r="AC20" s="407"/>
      <c r="AD20" s="410"/>
      <c r="AE20" s="410"/>
      <c r="AF20" s="405"/>
    </row>
    <row r="21" spans="4:32" ht="18" customHeight="1" x14ac:dyDescent="0.25">
      <c r="D21" s="756"/>
      <c r="E21" s="761"/>
      <c r="F21" s="414"/>
      <c r="G21" s="756">
        <f t="shared" si="1"/>
        <v>0</v>
      </c>
      <c r="H21" s="756"/>
      <c r="I21" s="756"/>
      <c r="U21" s="399"/>
      <c r="V21" s="400" t="s">
        <v>582</v>
      </c>
      <c r="Z21" s="431"/>
      <c r="AA21" s="412" t="b">
        <v>0</v>
      </c>
      <c r="AB21" s="411"/>
      <c r="AC21" s="407"/>
      <c r="AD21" s="410"/>
      <c r="AE21" s="410"/>
      <c r="AF21" s="405"/>
    </row>
    <row r="22" spans="4:32" x14ac:dyDescent="0.25">
      <c r="D22" s="762"/>
      <c r="E22" s="763"/>
      <c r="U22" s="399"/>
      <c r="V22" s="400" t="s">
        <v>581</v>
      </c>
      <c r="Z22" s="431"/>
      <c r="AA22" s="412" t="b">
        <v>0</v>
      </c>
      <c r="AB22" s="411"/>
      <c r="AC22" s="407"/>
      <c r="AD22" s="410"/>
      <c r="AE22" s="410"/>
      <c r="AF22" s="405"/>
    </row>
    <row r="23" spans="4:32" x14ac:dyDescent="0.25">
      <c r="U23" s="399">
        <v>11</v>
      </c>
      <c r="V23" s="396" t="s">
        <v>580</v>
      </c>
      <c r="Z23" s="431"/>
      <c r="AA23" s="412" t="b">
        <v>0</v>
      </c>
      <c r="AB23" s="411"/>
      <c r="AC23" s="407"/>
      <c r="AD23" s="410"/>
      <c r="AE23" s="410"/>
      <c r="AF23" s="405"/>
    </row>
    <row r="24" spans="4:32" x14ac:dyDescent="0.25">
      <c r="U24" s="399"/>
      <c r="V24" s="400" t="s">
        <v>579</v>
      </c>
      <c r="Z24" s="431"/>
      <c r="AA24" s="412" t="b">
        <v>0</v>
      </c>
      <c r="AB24" s="411"/>
      <c r="AC24" s="407"/>
      <c r="AD24" s="410"/>
      <c r="AE24" s="410"/>
      <c r="AF24" s="405"/>
    </row>
    <row r="25" spans="4:32" x14ac:dyDescent="0.25">
      <c r="U25" s="399">
        <v>12</v>
      </c>
      <c r="V25" s="400" t="s">
        <v>578</v>
      </c>
      <c r="Z25" s="431"/>
      <c r="AA25" s="412" t="b">
        <v>0</v>
      </c>
      <c r="AB25" s="411"/>
      <c r="AC25" s="407"/>
      <c r="AD25" s="410"/>
      <c r="AE25" s="410"/>
      <c r="AF25" s="405"/>
    </row>
    <row r="26" spans="4:32" x14ac:dyDescent="0.25">
      <c r="U26" s="399"/>
      <c r="V26" s="399"/>
      <c r="Z26" s="431"/>
      <c r="AA26" s="412" t="b">
        <v>0</v>
      </c>
      <c r="AB26" s="411"/>
      <c r="AC26" s="407"/>
      <c r="AD26" s="410"/>
      <c r="AE26" s="410"/>
      <c r="AF26" s="405"/>
    </row>
    <row r="27" spans="4:32" x14ac:dyDescent="0.25">
      <c r="U27" s="399"/>
      <c r="V27" s="400" t="s">
        <v>577</v>
      </c>
      <c r="Z27" s="431"/>
      <c r="AA27" s="408" t="b">
        <v>0</v>
      </c>
      <c r="AB27" s="406"/>
      <c r="AC27" s="407"/>
      <c r="AD27" s="406"/>
      <c r="AE27" s="406"/>
      <c r="AF27" s="405"/>
    </row>
    <row r="28" spans="4:32" x14ac:dyDescent="0.25">
      <c r="U28" s="399"/>
      <c r="V28" s="400" t="s">
        <v>576</v>
      </c>
      <c r="Z28" s="431"/>
      <c r="AA28" s="408" t="b">
        <v>0</v>
      </c>
      <c r="AB28" s="406"/>
      <c r="AC28" s="407"/>
      <c r="AD28" s="406"/>
      <c r="AE28" s="406"/>
      <c r="AF28" s="405"/>
    </row>
    <row r="29" spans="4:32" x14ac:dyDescent="0.25">
      <c r="U29" s="399"/>
      <c r="V29" s="400" t="s">
        <v>575</v>
      </c>
      <c r="Z29" s="431"/>
      <c r="AA29" s="408" t="b">
        <v>0</v>
      </c>
      <c r="AB29" s="406"/>
      <c r="AC29" s="407"/>
      <c r="AD29" s="406"/>
      <c r="AE29" s="406"/>
      <c r="AF29" s="405"/>
    </row>
    <row r="30" spans="4:32" ht="23.25" x14ac:dyDescent="0.35">
      <c r="U30" s="399"/>
      <c r="V30" s="409" t="s">
        <v>574</v>
      </c>
      <c r="Z30" s="431"/>
      <c r="AA30" s="408" t="b">
        <v>0</v>
      </c>
      <c r="AB30" s="406"/>
      <c r="AC30" s="407"/>
      <c r="AD30" s="406"/>
      <c r="AE30" s="406"/>
      <c r="AF30" s="405"/>
    </row>
    <row r="31" spans="4:32" x14ac:dyDescent="0.25">
      <c r="U31" s="399"/>
      <c r="V31" s="400"/>
      <c r="Z31" s="431"/>
      <c r="AA31" s="408" t="b">
        <v>0</v>
      </c>
      <c r="AB31" s="406"/>
      <c r="AC31" s="407"/>
      <c r="AD31" s="406"/>
      <c r="AE31" s="406"/>
      <c r="AF31" s="405"/>
    </row>
    <row r="32" spans="4:32" x14ac:dyDescent="0.25">
      <c r="U32" s="399"/>
      <c r="Z32" s="431"/>
      <c r="AA32" s="408" t="b">
        <v>0</v>
      </c>
      <c r="AB32" s="406"/>
      <c r="AC32" s="407"/>
      <c r="AD32" s="406"/>
      <c r="AE32" s="406"/>
      <c r="AF32" s="405"/>
    </row>
    <row r="33" spans="21:32" x14ac:dyDescent="0.25">
      <c r="Z33" s="431"/>
      <c r="AA33" s="408" t="b">
        <v>0</v>
      </c>
      <c r="AB33" s="406"/>
      <c r="AC33" s="407"/>
      <c r="AD33" s="406"/>
      <c r="AE33" s="406"/>
      <c r="AF33" s="405"/>
    </row>
    <row r="34" spans="21:32" x14ac:dyDescent="0.25">
      <c r="Z34" s="431"/>
      <c r="AA34" s="408" t="b">
        <v>0</v>
      </c>
      <c r="AB34" s="406"/>
      <c r="AC34" s="407"/>
      <c r="AD34" s="406"/>
      <c r="AE34" s="406"/>
      <c r="AF34" s="405"/>
    </row>
    <row r="35" spans="21:32" x14ac:dyDescent="0.25">
      <c r="U35" s="403"/>
      <c r="Z35" s="431"/>
      <c r="AA35" s="408" t="b">
        <v>0</v>
      </c>
      <c r="AB35" s="406"/>
      <c r="AC35" s="407"/>
      <c r="AD35" s="406"/>
      <c r="AE35" s="406"/>
      <c r="AF35" s="405"/>
    </row>
    <row r="36" spans="21:32" x14ac:dyDescent="0.25">
      <c r="U36" s="403">
        <v>2</v>
      </c>
      <c r="Z36" s="431"/>
      <c r="AA36" s="408" t="b">
        <v>0</v>
      </c>
      <c r="AB36" s="406"/>
      <c r="AC36" s="407"/>
      <c r="AD36" s="406"/>
      <c r="AE36" s="406"/>
      <c r="AF36" s="405"/>
    </row>
    <row r="37" spans="21:32" x14ac:dyDescent="0.25">
      <c r="U37" s="403">
        <f t="shared" ref="U37:U60" si="2">U36+1</f>
        <v>3</v>
      </c>
      <c r="Z37" s="431"/>
      <c r="AA37" s="408" t="b">
        <v>0</v>
      </c>
      <c r="AB37" s="406"/>
      <c r="AC37" s="407"/>
      <c r="AD37" s="406"/>
      <c r="AE37" s="406"/>
      <c r="AF37" s="405"/>
    </row>
    <row r="38" spans="21:32" x14ac:dyDescent="0.25">
      <c r="U38" s="403">
        <f t="shared" si="2"/>
        <v>4</v>
      </c>
      <c r="V38" s="399"/>
      <c r="Z38" s="431"/>
      <c r="AA38" s="408" t="b">
        <v>0</v>
      </c>
      <c r="AB38" s="406"/>
      <c r="AC38" s="407"/>
      <c r="AD38" s="406"/>
      <c r="AE38" s="406"/>
      <c r="AF38" s="405"/>
    </row>
    <row r="39" spans="21:32" x14ac:dyDescent="0.25">
      <c r="U39" s="403">
        <f t="shared" si="2"/>
        <v>5</v>
      </c>
      <c r="V39" s="399"/>
      <c r="Z39" s="431"/>
      <c r="AA39" s="408" t="b">
        <v>0</v>
      </c>
      <c r="AB39" s="406"/>
      <c r="AC39" s="407"/>
      <c r="AD39" s="406"/>
      <c r="AE39" s="406"/>
      <c r="AF39" s="405"/>
    </row>
    <row r="40" spans="21:32" x14ac:dyDescent="0.25">
      <c r="U40" s="403">
        <f t="shared" si="2"/>
        <v>6</v>
      </c>
      <c r="Z40" s="431"/>
      <c r="AA40" s="408" t="b">
        <v>0</v>
      </c>
      <c r="AB40" s="406"/>
      <c r="AC40" s="407"/>
      <c r="AD40" s="406"/>
      <c r="AE40" s="406"/>
      <c r="AF40" s="405"/>
    </row>
    <row r="41" spans="21:32" x14ac:dyDescent="0.25">
      <c r="U41" s="403">
        <f t="shared" si="2"/>
        <v>7</v>
      </c>
      <c r="Z41" s="431"/>
      <c r="AA41" s="408" t="b">
        <v>0</v>
      </c>
      <c r="AB41" s="406"/>
      <c r="AC41" s="407"/>
      <c r="AD41" s="406"/>
      <c r="AE41" s="406"/>
      <c r="AF41" s="405"/>
    </row>
    <row r="42" spans="21:32" x14ac:dyDescent="0.25">
      <c r="U42" s="403">
        <f t="shared" si="2"/>
        <v>8</v>
      </c>
      <c r="Z42" s="431"/>
      <c r="AA42" s="408" t="b">
        <v>0</v>
      </c>
      <c r="AB42" s="406"/>
      <c r="AC42" s="407"/>
      <c r="AD42" s="406"/>
      <c r="AE42" s="406"/>
      <c r="AF42" s="405"/>
    </row>
    <row r="43" spans="21:32" x14ac:dyDescent="0.25">
      <c r="U43" s="403">
        <f t="shared" si="2"/>
        <v>9</v>
      </c>
      <c r="Z43" s="431"/>
      <c r="AA43" s="408" t="b">
        <v>0</v>
      </c>
      <c r="AB43" s="406"/>
      <c r="AC43" s="407"/>
      <c r="AD43" s="406"/>
      <c r="AE43" s="406"/>
      <c r="AF43" s="405"/>
    </row>
    <row r="44" spans="21:32" x14ac:dyDescent="0.25">
      <c r="U44" s="403">
        <f t="shared" si="2"/>
        <v>10</v>
      </c>
      <c r="Z44" s="431"/>
      <c r="AA44" s="408" t="b">
        <v>0</v>
      </c>
      <c r="AB44" s="406"/>
      <c r="AC44" s="407"/>
      <c r="AD44" s="406"/>
      <c r="AE44" s="406"/>
      <c r="AF44" s="405"/>
    </row>
    <row r="45" spans="21:32" x14ac:dyDescent="0.25">
      <c r="U45" s="403">
        <f t="shared" si="2"/>
        <v>11</v>
      </c>
      <c r="Z45" s="431"/>
      <c r="AA45" s="408" t="b">
        <v>0</v>
      </c>
      <c r="AB45" s="406"/>
      <c r="AC45" s="407"/>
      <c r="AD45" s="406"/>
      <c r="AE45" s="406"/>
      <c r="AF45" s="405"/>
    </row>
    <row r="46" spans="21:32" x14ac:dyDescent="0.25">
      <c r="U46" s="403">
        <f t="shared" si="2"/>
        <v>12</v>
      </c>
      <c r="Z46" s="431"/>
      <c r="AA46" s="408" t="b">
        <v>0</v>
      </c>
      <c r="AB46" s="406"/>
      <c r="AC46" s="407"/>
      <c r="AD46" s="406"/>
      <c r="AE46" s="406"/>
      <c r="AF46" s="405"/>
    </row>
    <row r="47" spans="21:32" x14ac:dyDescent="0.25">
      <c r="U47" s="403">
        <f t="shared" si="2"/>
        <v>13</v>
      </c>
      <c r="Z47" s="431"/>
      <c r="AA47" s="408" t="b">
        <v>0</v>
      </c>
      <c r="AB47" s="406"/>
      <c r="AC47" s="407"/>
      <c r="AD47" s="406"/>
      <c r="AE47" s="406"/>
      <c r="AF47" s="405"/>
    </row>
    <row r="48" spans="21:32" x14ac:dyDescent="0.25">
      <c r="U48" s="403">
        <f t="shared" si="2"/>
        <v>14</v>
      </c>
      <c r="Z48" s="431"/>
      <c r="AA48" s="408" t="b">
        <v>0</v>
      </c>
      <c r="AB48" s="406"/>
      <c r="AC48" s="407"/>
      <c r="AD48" s="406"/>
      <c r="AE48" s="406"/>
      <c r="AF48" s="405"/>
    </row>
    <row r="49" spans="21:32" x14ac:dyDescent="0.25">
      <c r="U49" s="403">
        <f t="shared" si="2"/>
        <v>15</v>
      </c>
      <c r="Z49" s="431"/>
      <c r="AA49" s="408" t="b">
        <v>0</v>
      </c>
      <c r="AB49" s="406"/>
      <c r="AC49" s="407"/>
      <c r="AD49" s="406"/>
      <c r="AE49" s="406"/>
      <c r="AF49" s="405"/>
    </row>
    <row r="50" spans="21:32" x14ac:dyDescent="0.25">
      <c r="U50" s="403">
        <f t="shared" si="2"/>
        <v>16</v>
      </c>
      <c r="Z50" s="431"/>
      <c r="AA50" s="408" t="b">
        <v>0</v>
      </c>
      <c r="AB50" s="406"/>
      <c r="AC50" s="407"/>
      <c r="AD50" s="406"/>
      <c r="AE50" s="406"/>
      <c r="AF50" s="405"/>
    </row>
    <row r="51" spans="21:32" x14ac:dyDescent="0.25">
      <c r="U51" s="403">
        <f t="shared" si="2"/>
        <v>17</v>
      </c>
      <c r="Z51" s="401"/>
      <c r="AA51" s="404"/>
      <c r="AB51" s="402"/>
      <c r="AD51" s="402"/>
      <c r="AE51" s="402"/>
      <c r="AF51" s="402"/>
    </row>
    <row r="52" spans="21:32" x14ac:dyDescent="0.25">
      <c r="U52" s="403">
        <f t="shared" si="2"/>
        <v>18</v>
      </c>
      <c r="Z52" s="401"/>
      <c r="AA52" s="404"/>
      <c r="AB52" s="402"/>
      <c r="AD52" s="402"/>
      <c r="AE52" s="402"/>
      <c r="AF52" s="402"/>
    </row>
    <row r="53" spans="21:32" x14ac:dyDescent="0.25">
      <c r="U53" s="403">
        <f t="shared" si="2"/>
        <v>19</v>
      </c>
      <c r="Z53" s="401"/>
      <c r="AA53" s="404"/>
      <c r="AB53" s="402"/>
      <c r="AD53" s="402"/>
      <c r="AE53" s="402"/>
      <c r="AF53" s="402"/>
    </row>
    <row r="54" spans="21:32" x14ac:dyDescent="0.25">
      <c r="U54" s="403">
        <f t="shared" si="2"/>
        <v>20</v>
      </c>
      <c r="Z54" s="401"/>
      <c r="AA54" s="404"/>
      <c r="AB54" s="402"/>
      <c r="AD54" s="402"/>
      <c r="AE54" s="402"/>
      <c r="AF54" s="402"/>
    </row>
    <row r="55" spans="21:32" x14ac:dyDescent="0.25">
      <c r="U55" s="403">
        <f t="shared" si="2"/>
        <v>21</v>
      </c>
      <c r="Z55" s="401"/>
      <c r="AA55" s="402"/>
      <c r="AB55" s="402"/>
      <c r="AD55" s="402"/>
      <c r="AE55" s="402"/>
      <c r="AF55" s="402"/>
    </row>
    <row r="56" spans="21:32" ht="12" customHeight="1" x14ac:dyDescent="0.25">
      <c r="U56" s="403">
        <f t="shared" si="2"/>
        <v>22</v>
      </c>
      <c r="Z56" s="401"/>
      <c r="AA56" s="402"/>
      <c r="AB56" s="402"/>
      <c r="AD56" s="402"/>
      <c r="AE56" s="402"/>
      <c r="AF56" s="402"/>
    </row>
    <row r="57" spans="21:32" ht="12" customHeight="1" x14ac:dyDescent="0.25">
      <c r="U57" s="403">
        <f t="shared" si="2"/>
        <v>23</v>
      </c>
      <c r="Z57" s="401"/>
      <c r="AA57" s="402"/>
      <c r="AB57" s="402"/>
      <c r="AD57" s="402"/>
      <c r="AE57" s="402"/>
      <c r="AF57" s="402"/>
    </row>
    <row r="58" spans="21:32" ht="12" customHeight="1" x14ac:dyDescent="0.25">
      <c r="U58" s="403">
        <f t="shared" si="2"/>
        <v>24</v>
      </c>
      <c r="Z58" s="401"/>
      <c r="AA58" s="402"/>
      <c r="AB58" s="402"/>
      <c r="AD58" s="402"/>
      <c r="AE58" s="402"/>
      <c r="AF58" s="402"/>
    </row>
    <row r="59" spans="21:32" ht="12" customHeight="1" x14ac:dyDescent="0.25">
      <c r="U59" s="403">
        <f t="shared" si="2"/>
        <v>25</v>
      </c>
      <c r="Z59" s="401"/>
      <c r="AA59" s="402"/>
      <c r="AB59" s="402"/>
      <c r="AD59" s="402"/>
      <c r="AE59" s="402"/>
      <c r="AF59" s="402"/>
    </row>
    <row r="60" spans="21:32" ht="12" customHeight="1" x14ac:dyDescent="0.25">
      <c r="U60" s="403">
        <f t="shared" si="2"/>
        <v>26</v>
      </c>
      <c r="Z60" s="401"/>
      <c r="AA60" s="402"/>
      <c r="AB60" s="402"/>
      <c r="AD60" s="402"/>
      <c r="AE60" s="402"/>
      <c r="AF60" s="402"/>
    </row>
    <row r="172" spans="27:27" ht="15" hidden="1" customHeight="1" x14ac:dyDescent="0.25">
      <c r="AA172" s="397" t="s">
        <v>573</v>
      </c>
    </row>
  </sheetData>
  <sheetProtection algorithmName="SHA-512" hashValue="tZSsCbPk5N5QMfqzNSS1ec2FVuO54NS2jkmFOFuT0R6ehAAs/q+K3P99uT/OKlQbFfFYxS4MYLM66Gh0k7PR6A==" saltValue="IR7u2gGZOVJHTRQjRBAGeQ==" spinCount="100000" sheet="1" scenarios="1" formatCells="0" formatColumns="0" formatRows="0" sort="0" autoFilter="0"/>
  <mergeCells count="36">
    <mergeCell ref="AJ1:AK1"/>
    <mergeCell ref="G13:I13"/>
    <mergeCell ref="G14:I14"/>
    <mergeCell ref="G15:I15"/>
    <mergeCell ref="G16:I16"/>
    <mergeCell ref="G8:I8"/>
    <mergeCell ref="G9:I9"/>
    <mergeCell ref="G10:I10"/>
    <mergeCell ref="G11:I11"/>
    <mergeCell ref="G12:I12"/>
    <mergeCell ref="C1:J1"/>
    <mergeCell ref="C2:I2"/>
    <mergeCell ref="C4:I4"/>
    <mergeCell ref="C6:E7"/>
    <mergeCell ref="C3:I3"/>
    <mergeCell ref="C5:I5"/>
    <mergeCell ref="D21:E21"/>
    <mergeCell ref="D22:E22"/>
    <mergeCell ref="D9:E9"/>
    <mergeCell ref="D10:E10"/>
    <mergeCell ref="D11:E11"/>
    <mergeCell ref="D12:E12"/>
    <mergeCell ref="D13:E13"/>
    <mergeCell ref="D14:E14"/>
    <mergeCell ref="D19:E19"/>
    <mergeCell ref="D20:E20"/>
    <mergeCell ref="D15:E15"/>
    <mergeCell ref="D16:E16"/>
    <mergeCell ref="D17:E17"/>
    <mergeCell ref="D18:E18"/>
    <mergeCell ref="G18:I18"/>
    <mergeCell ref="G19:I19"/>
    <mergeCell ref="G20:I20"/>
    <mergeCell ref="G21:I21"/>
    <mergeCell ref="F6:I7"/>
    <mergeCell ref="G17:I17"/>
  </mergeCells>
  <dataValidations disablePrompts="1" count="1">
    <dataValidation type="list" allowBlank="1" showErrorMessage="1" errorTitle="Entry doesn't match!" error="Input True or False or leave blank." sqref="AF2:AF50" xr:uid="{0B1FB1CE-1AB9-4433-BD0F-622171041498}">
      <formula1>$AS$2:$AS$4</formula1>
    </dataValidation>
  </dataValidations>
  <pageMargins left="0.7" right="0.7" top="0.75" bottom="0.75" header="0.3" footer="0.3"/>
  <pageSetup scale="13" orientation="landscape" r:id="rId1"/>
  <ignoredErrors>
    <ignoredError sqref="D9:D12 G9:G15"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7410" r:id="rId4" name="Check Box 2">
              <controlPr defaultSize="0" autoFill="0" autoLine="0" autoPict="0" macro="[0]!Sheet112.Connect">
                <anchor moveWithCells="1">
                  <from>
                    <xdr:col>2</xdr:col>
                    <xdr:colOff>152400</xdr:colOff>
                    <xdr:row>8</xdr:row>
                    <xdr:rowOff>228600</xdr:rowOff>
                  </from>
                  <to>
                    <xdr:col>3</xdr:col>
                    <xdr:colOff>0</xdr:colOff>
                    <xdr:row>10</xdr:row>
                    <xdr:rowOff>19050</xdr:rowOff>
                  </to>
                </anchor>
              </controlPr>
            </control>
          </mc:Choice>
        </mc:AlternateContent>
        <mc:AlternateContent xmlns:mc="http://schemas.openxmlformats.org/markup-compatibility/2006">
          <mc:Choice Requires="x14">
            <control shapeId="17411" r:id="rId5" name="Check Box 3">
              <controlPr defaultSize="0" autoFill="0" autoLine="0" autoPict="0" macro="[0]!Sheet112.Connect">
                <anchor moveWithCells="1">
                  <from>
                    <xdr:col>2</xdr:col>
                    <xdr:colOff>142875</xdr:colOff>
                    <xdr:row>10</xdr:row>
                    <xdr:rowOff>19050</xdr:rowOff>
                  </from>
                  <to>
                    <xdr:col>2</xdr:col>
                    <xdr:colOff>352425</xdr:colOff>
                    <xdr:row>10</xdr:row>
                    <xdr:rowOff>209550</xdr:rowOff>
                  </to>
                </anchor>
              </controlPr>
            </control>
          </mc:Choice>
        </mc:AlternateContent>
        <mc:AlternateContent xmlns:mc="http://schemas.openxmlformats.org/markup-compatibility/2006">
          <mc:Choice Requires="x14">
            <control shapeId="17412" r:id="rId6" name="Check Box 4">
              <controlPr defaultSize="0" autoFill="0" autoLine="0" autoPict="0" macro="[0]!Sheet112.Connect">
                <anchor moveWithCells="1">
                  <from>
                    <xdr:col>2</xdr:col>
                    <xdr:colOff>142875</xdr:colOff>
                    <xdr:row>11</xdr:row>
                    <xdr:rowOff>9525</xdr:rowOff>
                  </from>
                  <to>
                    <xdr:col>2</xdr:col>
                    <xdr:colOff>352425</xdr:colOff>
                    <xdr:row>11</xdr:row>
                    <xdr:rowOff>219075</xdr:rowOff>
                  </to>
                </anchor>
              </controlPr>
            </control>
          </mc:Choice>
        </mc:AlternateContent>
        <mc:AlternateContent xmlns:mc="http://schemas.openxmlformats.org/markup-compatibility/2006">
          <mc:Choice Requires="x14">
            <control shapeId="17413" r:id="rId7" name="Button 5">
              <controlPr defaultSize="0" print="0" autoFill="0" autoPict="0" macro="[0]!Sheet112.printpages">
                <anchor moveWithCells="1">
                  <from>
                    <xdr:col>1</xdr:col>
                    <xdr:colOff>590550</xdr:colOff>
                    <xdr:row>21</xdr:row>
                    <xdr:rowOff>133350</xdr:rowOff>
                  </from>
                  <to>
                    <xdr:col>8</xdr:col>
                    <xdr:colOff>609600</xdr:colOff>
                    <xdr:row>23</xdr:row>
                    <xdr:rowOff>19050</xdr:rowOff>
                  </to>
                </anchor>
              </controlPr>
            </control>
          </mc:Choice>
        </mc:AlternateContent>
        <mc:AlternateContent xmlns:mc="http://schemas.openxmlformats.org/markup-compatibility/2006">
          <mc:Choice Requires="x14">
            <control shapeId="17414" r:id="rId8" name="Check Box 6">
              <controlPr defaultSize="0" autoFill="0" autoLine="0" autoPict="0" macro="[0]!Sheet112.Connect">
                <anchor moveWithCells="1">
                  <from>
                    <xdr:col>2</xdr:col>
                    <xdr:colOff>161925</xdr:colOff>
                    <xdr:row>7</xdr:row>
                    <xdr:rowOff>219075</xdr:rowOff>
                  </from>
                  <to>
                    <xdr:col>3</xdr:col>
                    <xdr:colOff>85725</xdr:colOff>
                    <xdr:row>9</xdr:row>
                    <xdr:rowOff>19050</xdr:rowOff>
                  </to>
                </anchor>
              </controlPr>
            </control>
          </mc:Choice>
        </mc:AlternateContent>
        <mc:AlternateContent xmlns:mc="http://schemas.openxmlformats.org/markup-compatibility/2006">
          <mc:Choice Requires="x14">
            <control shapeId="17415" r:id="rId9" name="Check Box 7">
              <controlPr defaultSize="0" autoFill="0" autoLine="0" autoPict="0" macro="[0]!Sheet112.Connect">
                <anchor moveWithCells="1">
                  <from>
                    <xdr:col>2</xdr:col>
                    <xdr:colOff>142875</xdr:colOff>
                    <xdr:row>13</xdr:row>
                    <xdr:rowOff>0</xdr:rowOff>
                  </from>
                  <to>
                    <xdr:col>2</xdr:col>
                    <xdr:colOff>352425</xdr:colOff>
                    <xdr:row>14</xdr:row>
                    <xdr:rowOff>47625</xdr:rowOff>
                  </to>
                </anchor>
              </controlPr>
            </control>
          </mc:Choice>
        </mc:AlternateContent>
        <mc:AlternateContent xmlns:mc="http://schemas.openxmlformats.org/markup-compatibility/2006">
          <mc:Choice Requires="x14">
            <control shapeId="17416" r:id="rId10" name="Check Box 8">
              <controlPr defaultSize="0" autoFill="0" autoLine="0" autoPict="0" macro="[0]!Sheet112.Connect">
                <anchor moveWithCells="1">
                  <from>
                    <xdr:col>2</xdr:col>
                    <xdr:colOff>142875</xdr:colOff>
                    <xdr:row>12</xdr:row>
                    <xdr:rowOff>19050</xdr:rowOff>
                  </from>
                  <to>
                    <xdr:col>2</xdr:col>
                    <xdr:colOff>342900</xdr:colOff>
                    <xdr:row>13</xdr:row>
                    <xdr:rowOff>0</xdr:rowOff>
                  </to>
                </anchor>
              </controlPr>
            </control>
          </mc:Choice>
        </mc:AlternateContent>
        <mc:AlternateContent xmlns:mc="http://schemas.openxmlformats.org/markup-compatibility/2006">
          <mc:Choice Requires="x14">
            <control shapeId="17417" r:id="rId11" name="Button 9">
              <controlPr defaultSize="0" print="0" autoFill="0" autoPict="0" macro="[0]!Go_To_Cover_Crop_Worksheet">
                <anchor moveWithCells="1" sizeWithCells="1">
                  <from>
                    <xdr:col>0</xdr:col>
                    <xdr:colOff>28575</xdr:colOff>
                    <xdr:row>0</xdr:row>
                    <xdr:rowOff>57150</xdr:rowOff>
                  </from>
                  <to>
                    <xdr:col>0</xdr:col>
                    <xdr:colOff>1171575</xdr:colOff>
                    <xdr:row>0</xdr:row>
                    <xdr:rowOff>466725</xdr:rowOff>
                  </to>
                </anchor>
              </controlPr>
            </control>
          </mc:Choice>
        </mc:AlternateContent>
        <mc:AlternateContent xmlns:mc="http://schemas.openxmlformats.org/markup-compatibility/2006">
          <mc:Choice Requires="x14">
            <control shapeId="17418" r:id="rId12" name="Button 10">
              <controlPr defaultSize="0" print="0" autoFill="0" autoPict="0" macro="[0]!Sheet112.ListSheets">
                <anchor moveWithCells="1" sizeWithCells="1">
                  <from>
                    <xdr:col>27</xdr:col>
                    <xdr:colOff>38100</xdr:colOff>
                    <xdr:row>0</xdr:row>
                    <xdr:rowOff>142875</xdr:rowOff>
                  </from>
                  <to>
                    <xdr:col>27</xdr:col>
                    <xdr:colOff>962025</xdr:colOff>
                    <xdr:row>0</xdr:row>
                    <xdr:rowOff>390525</xdr:rowOff>
                  </to>
                </anchor>
              </controlPr>
            </control>
          </mc:Choice>
        </mc:AlternateContent>
        <mc:AlternateContent xmlns:mc="http://schemas.openxmlformats.org/markup-compatibility/2006">
          <mc:Choice Requires="x14">
            <control shapeId="17419" r:id="rId13" name="Check Box 11">
              <controlPr defaultSize="0" autoFill="0" autoLine="0" autoPict="0" macro="[0]!Sheet112.Connect">
                <anchor moveWithCells="1">
                  <from>
                    <xdr:col>2</xdr:col>
                    <xdr:colOff>133350</xdr:colOff>
                    <xdr:row>15</xdr:row>
                    <xdr:rowOff>9525</xdr:rowOff>
                  </from>
                  <to>
                    <xdr:col>3</xdr:col>
                    <xdr:colOff>57150</xdr:colOff>
                    <xdr:row>16</xdr:row>
                    <xdr:rowOff>38100</xdr:rowOff>
                  </to>
                </anchor>
              </controlPr>
            </control>
          </mc:Choice>
        </mc:AlternateContent>
        <mc:AlternateContent xmlns:mc="http://schemas.openxmlformats.org/markup-compatibility/2006">
          <mc:Choice Requires="x14">
            <control shapeId="17420" r:id="rId14" name="Check Box 12">
              <controlPr defaultSize="0" autoFill="0" autoLine="0" autoPict="0" macro="[0]!Sheet112.Connect">
                <anchor moveWithCells="1">
                  <from>
                    <xdr:col>2</xdr:col>
                    <xdr:colOff>133350</xdr:colOff>
                    <xdr:row>16</xdr:row>
                    <xdr:rowOff>0</xdr:rowOff>
                  </from>
                  <to>
                    <xdr:col>3</xdr:col>
                    <xdr:colOff>57150</xdr:colOff>
                    <xdr:row>17</xdr:row>
                    <xdr:rowOff>28575</xdr:rowOff>
                  </to>
                </anchor>
              </controlPr>
            </control>
          </mc:Choice>
        </mc:AlternateContent>
        <mc:AlternateContent xmlns:mc="http://schemas.openxmlformats.org/markup-compatibility/2006">
          <mc:Choice Requires="x14">
            <control shapeId="17421" r:id="rId15" name="Check Box 13">
              <controlPr defaultSize="0" autoFill="0" autoLine="0" autoPict="0" macro="[0]!Sheet112.Connect">
                <anchor moveWithCells="1">
                  <from>
                    <xdr:col>2</xdr:col>
                    <xdr:colOff>123825</xdr:colOff>
                    <xdr:row>17</xdr:row>
                    <xdr:rowOff>0</xdr:rowOff>
                  </from>
                  <to>
                    <xdr:col>3</xdr:col>
                    <xdr:colOff>47625</xdr:colOff>
                    <xdr:row>18</xdr:row>
                    <xdr:rowOff>28575</xdr:rowOff>
                  </to>
                </anchor>
              </controlPr>
            </control>
          </mc:Choice>
        </mc:AlternateContent>
        <mc:AlternateContent xmlns:mc="http://schemas.openxmlformats.org/markup-compatibility/2006">
          <mc:Choice Requires="x14">
            <control shapeId="17422" r:id="rId16" name="Check Box 14">
              <controlPr defaultSize="0" autoFill="0" autoLine="0" autoPict="0" macro="[0]!Sheet112.Connect">
                <anchor moveWithCells="1">
                  <from>
                    <xdr:col>2</xdr:col>
                    <xdr:colOff>133350</xdr:colOff>
                    <xdr:row>14</xdr:row>
                    <xdr:rowOff>9525</xdr:rowOff>
                  </from>
                  <to>
                    <xdr:col>3</xdr:col>
                    <xdr:colOff>57150</xdr:colOff>
                    <xdr:row>15</xdr:row>
                    <xdr:rowOff>38100</xdr:rowOff>
                  </to>
                </anchor>
              </controlPr>
            </control>
          </mc:Choice>
        </mc:AlternateContent>
        <mc:AlternateContent xmlns:mc="http://schemas.openxmlformats.org/markup-compatibility/2006">
          <mc:Choice Requires="x14">
            <control shapeId="17423" r:id="rId17" name="Check Box 15">
              <controlPr defaultSize="0" autoFill="0" autoLine="0" autoPict="0" macro="[0]!Sheet112.Connect">
                <anchor moveWithCells="1">
                  <from>
                    <xdr:col>2</xdr:col>
                    <xdr:colOff>123825</xdr:colOff>
                    <xdr:row>18</xdr:row>
                    <xdr:rowOff>0</xdr:rowOff>
                  </from>
                  <to>
                    <xdr:col>3</xdr:col>
                    <xdr:colOff>47625</xdr:colOff>
                    <xdr:row>19</xdr:row>
                    <xdr:rowOff>28575</xdr:rowOff>
                  </to>
                </anchor>
              </controlPr>
            </control>
          </mc:Choice>
        </mc:AlternateContent>
        <mc:AlternateContent xmlns:mc="http://schemas.openxmlformats.org/markup-compatibility/2006">
          <mc:Choice Requires="x14">
            <control shapeId="17424" r:id="rId18" name="Check Box 16">
              <controlPr defaultSize="0" autoFill="0" autoLine="0" autoPict="0" macro="[0]!Sheet112.Connect">
                <anchor moveWithCells="1">
                  <from>
                    <xdr:col>2</xdr:col>
                    <xdr:colOff>114300</xdr:colOff>
                    <xdr:row>18</xdr:row>
                    <xdr:rowOff>219075</xdr:rowOff>
                  </from>
                  <to>
                    <xdr:col>3</xdr:col>
                    <xdr:colOff>38100</xdr:colOff>
                    <xdr:row>20</xdr:row>
                    <xdr:rowOff>19050</xdr:rowOff>
                  </to>
                </anchor>
              </controlPr>
            </control>
          </mc:Choice>
        </mc:AlternateContent>
        <mc:AlternateContent xmlns:mc="http://schemas.openxmlformats.org/markup-compatibility/2006">
          <mc:Choice Requires="x14">
            <control shapeId="17425" r:id="rId19" name="Check Box 17">
              <controlPr defaultSize="0" autoFill="0" autoLine="0" autoPict="0">
                <anchor moveWithCells="1">
                  <from>
                    <xdr:col>5</xdr:col>
                    <xdr:colOff>219075</xdr:colOff>
                    <xdr:row>7</xdr:row>
                    <xdr:rowOff>219075</xdr:rowOff>
                  </from>
                  <to>
                    <xdr:col>5</xdr:col>
                    <xdr:colOff>523875</xdr:colOff>
                    <xdr:row>9</xdr:row>
                    <xdr:rowOff>19050</xdr:rowOff>
                  </to>
                </anchor>
              </controlPr>
            </control>
          </mc:Choice>
        </mc:AlternateContent>
        <mc:AlternateContent xmlns:mc="http://schemas.openxmlformats.org/markup-compatibility/2006">
          <mc:Choice Requires="x14">
            <control shapeId="17426" r:id="rId20" name="Check Box 18">
              <controlPr defaultSize="0" autoFill="0" autoLine="0" autoPict="0">
                <anchor moveWithCells="1">
                  <from>
                    <xdr:col>5</xdr:col>
                    <xdr:colOff>219075</xdr:colOff>
                    <xdr:row>8</xdr:row>
                    <xdr:rowOff>209550</xdr:rowOff>
                  </from>
                  <to>
                    <xdr:col>5</xdr:col>
                    <xdr:colOff>523875</xdr:colOff>
                    <xdr:row>10</xdr:row>
                    <xdr:rowOff>9525</xdr:rowOff>
                  </to>
                </anchor>
              </controlPr>
            </control>
          </mc:Choice>
        </mc:AlternateContent>
        <mc:AlternateContent xmlns:mc="http://schemas.openxmlformats.org/markup-compatibility/2006">
          <mc:Choice Requires="x14">
            <control shapeId="17427" r:id="rId21" name="Check Box 19">
              <controlPr defaultSize="0" autoFill="0" autoLine="0" autoPict="0">
                <anchor moveWithCells="1">
                  <from>
                    <xdr:col>5</xdr:col>
                    <xdr:colOff>219075</xdr:colOff>
                    <xdr:row>9</xdr:row>
                    <xdr:rowOff>209550</xdr:rowOff>
                  </from>
                  <to>
                    <xdr:col>5</xdr:col>
                    <xdr:colOff>523875</xdr:colOff>
                    <xdr:row>11</xdr:row>
                    <xdr:rowOff>9525</xdr:rowOff>
                  </to>
                </anchor>
              </controlPr>
            </control>
          </mc:Choice>
        </mc:AlternateContent>
        <mc:AlternateContent xmlns:mc="http://schemas.openxmlformats.org/markup-compatibility/2006">
          <mc:Choice Requires="x14">
            <control shapeId="17428" r:id="rId22" name="Check Box 20">
              <controlPr defaultSize="0" autoFill="0" autoLine="0" autoPict="0">
                <anchor moveWithCells="1">
                  <from>
                    <xdr:col>5</xdr:col>
                    <xdr:colOff>219075</xdr:colOff>
                    <xdr:row>10</xdr:row>
                    <xdr:rowOff>190500</xdr:rowOff>
                  </from>
                  <to>
                    <xdr:col>5</xdr:col>
                    <xdr:colOff>523875</xdr:colOff>
                    <xdr:row>11</xdr:row>
                    <xdr:rowOff>219075</xdr:rowOff>
                  </to>
                </anchor>
              </controlPr>
            </control>
          </mc:Choice>
        </mc:AlternateContent>
        <mc:AlternateContent xmlns:mc="http://schemas.openxmlformats.org/markup-compatibility/2006">
          <mc:Choice Requires="x14">
            <control shapeId="17429" r:id="rId23" name="Check Box 21">
              <controlPr defaultSize="0" autoFill="0" autoLine="0" autoPict="0">
                <anchor moveWithCells="1">
                  <from>
                    <xdr:col>5</xdr:col>
                    <xdr:colOff>219075</xdr:colOff>
                    <xdr:row>11</xdr:row>
                    <xdr:rowOff>200025</xdr:rowOff>
                  </from>
                  <to>
                    <xdr:col>5</xdr:col>
                    <xdr:colOff>523875</xdr:colOff>
                    <xdr:row>13</xdr:row>
                    <xdr:rowOff>0</xdr:rowOff>
                  </to>
                </anchor>
              </controlPr>
            </control>
          </mc:Choice>
        </mc:AlternateContent>
        <mc:AlternateContent xmlns:mc="http://schemas.openxmlformats.org/markup-compatibility/2006">
          <mc:Choice Requires="x14">
            <control shapeId="17430" r:id="rId24" name="Check Box 22">
              <controlPr defaultSize="0" autoFill="0" autoLine="0" autoPict="0">
                <anchor moveWithCells="1">
                  <from>
                    <xdr:col>5</xdr:col>
                    <xdr:colOff>219075</xdr:colOff>
                    <xdr:row>12</xdr:row>
                    <xdr:rowOff>200025</xdr:rowOff>
                  </from>
                  <to>
                    <xdr:col>5</xdr:col>
                    <xdr:colOff>523875</xdr:colOff>
                    <xdr:row>14</xdr:row>
                    <xdr:rowOff>0</xdr:rowOff>
                  </to>
                </anchor>
              </controlPr>
            </control>
          </mc:Choice>
        </mc:AlternateContent>
        <mc:AlternateContent xmlns:mc="http://schemas.openxmlformats.org/markup-compatibility/2006">
          <mc:Choice Requires="x14">
            <control shapeId="17431" r:id="rId25" name="Check Box 23">
              <controlPr defaultSize="0" autoFill="0" autoLine="0" autoPict="0">
                <anchor moveWithCells="1">
                  <from>
                    <xdr:col>5</xdr:col>
                    <xdr:colOff>219075</xdr:colOff>
                    <xdr:row>13</xdr:row>
                    <xdr:rowOff>209550</xdr:rowOff>
                  </from>
                  <to>
                    <xdr:col>5</xdr:col>
                    <xdr:colOff>523875</xdr:colOff>
                    <xdr:row>15</xdr:row>
                    <xdr:rowOff>0</xdr:rowOff>
                  </to>
                </anchor>
              </controlPr>
            </control>
          </mc:Choice>
        </mc:AlternateContent>
        <mc:AlternateContent xmlns:mc="http://schemas.openxmlformats.org/markup-compatibility/2006">
          <mc:Choice Requires="x14">
            <control shapeId="17432" r:id="rId26" name="Check Box 24">
              <controlPr defaultSize="0" autoFill="0" autoLine="0" autoPict="0">
                <anchor moveWithCells="1">
                  <from>
                    <xdr:col>5</xdr:col>
                    <xdr:colOff>219075</xdr:colOff>
                    <xdr:row>14</xdr:row>
                    <xdr:rowOff>219075</xdr:rowOff>
                  </from>
                  <to>
                    <xdr:col>5</xdr:col>
                    <xdr:colOff>523875</xdr:colOff>
                    <xdr:row>16</xdr:row>
                    <xdr:rowOff>19050</xdr:rowOff>
                  </to>
                </anchor>
              </controlPr>
            </control>
          </mc:Choice>
        </mc:AlternateContent>
        <mc:AlternateContent xmlns:mc="http://schemas.openxmlformats.org/markup-compatibility/2006">
          <mc:Choice Requires="x14">
            <control shapeId="17433" r:id="rId27" name="Button 25">
              <controlPr defaultSize="0" print="0" autoFill="0" autoPict="0" macro="[0]!Sheet112.printpagespdf">
                <anchor moveWithCells="1" sizeWithCells="1">
                  <from>
                    <xdr:col>2</xdr:col>
                    <xdr:colOff>0</xdr:colOff>
                    <xdr:row>23</xdr:row>
                    <xdr:rowOff>171450</xdr:rowOff>
                  </from>
                  <to>
                    <xdr:col>8</xdr:col>
                    <xdr:colOff>600075</xdr:colOff>
                    <xdr:row>25</xdr:row>
                    <xdr:rowOff>123825</xdr:rowOff>
                  </to>
                </anchor>
              </controlPr>
            </control>
          </mc:Choice>
        </mc:AlternateContent>
        <mc:AlternateContent xmlns:mc="http://schemas.openxmlformats.org/markup-compatibility/2006">
          <mc:Choice Requires="x14">
            <control shapeId="17434" r:id="rId28" name="Check Box 26">
              <controlPr defaultSize="0" autoFill="0" autoLine="0" autoPict="0">
                <anchor moveWithCells="1">
                  <from>
                    <xdr:col>5</xdr:col>
                    <xdr:colOff>219075</xdr:colOff>
                    <xdr:row>15</xdr:row>
                    <xdr:rowOff>219075</xdr:rowOff>
                  </from>
                  <to>
                    <xdr:col>5</xdr:col>
                    <xdr:colOff>523875</xdr:colOff>
                    <xdr:row>17</xdr:row>
                    <xdr:rowOff>19050</xdr:rowOff>
                  </to>
                </anchor>
              </controlPr>
            </control>
          </mc:Choice>
        </mc:AlternateContent>
        <mc:AlternateContent xmlns:mc="http://schemas.openxmlformats.org/markup-compatibility/2006">
          <mc:Choice Requires="x14">
            <control shapeId="17435" r:id="rId29" name="Check Box 27">
              <controlPr defaultSize="0" autoFill="0" autoLine="0" autoPict="0">
                <anchor moveWithCells="1">
                  <from>
                    <xdr:col>5</xdr:col>
                    <xdr:colOff>219075</xdr:colOff>
                    <xdr:row>17</xdr:row>
                    <xdr:rowOff>0</xdr:rowOff>
                  </from>
                  <to>
                    <xdr:col>5</xdr:col>
                    <xdr:colOff>523875</xdr:colOff>
                    <xdr:row>18</xdr:row>
                    <xdr:rowOff>28575</xdr:rowOff>
                  </to>
                </anchor>
              </controlPr>
            </control>
          </mc:Choice>
        </mc:AlternateContent>
        <mc:AlternateContent xmlns:mc="http://schemas.openxmlformats.org/markup-compatibility/2006">
          <mc:Choice Requires="x14">
            <control shapeId="17436" r:id="rId30" name="Check Box 28">
              <controlPr defaultSize="0" autoFill="0" autoLine="0" autoPict="0">
                <anchor moveWithCells="1">
                  <from>
                    <xdr:col>5</xdr:col>
                    <xdr:colOff>219075</xdr:colOff>
                    <xdr:row>18</xdr:row>
                    <xdr:rowOff>0</xdr:rowOff>
                  </from>
                  <to>
                    <xdr:col>5</xdr:col>
                    <xdr:colOff>523875</xdr:colOff>
                    <xdr:row>19</xdr:row>
                    <xdr:rowOff>28575</xdr:rowOff>
                  </to>
                </anchor>
              </controlPr>
            </control>
          </mc:Choice>
        </mc:AlternateContent>
        <mc:AlternateContent xmlns:mc="http://schemas.openxmlformats.org/markup-compatibility/2006">
          <mc:Choice Requires="x14">
            <control shapeId="17437" r:id="rId31" name="Check Box 29">
              <controlPr defaultSize="0" autoFill="0" autoLine="0" autoPict="0">
                <anchor moveWithCells="1">
                  <from>
                    <xdr:col>5</xdr:col>
                    <xdr:colOff>219075</xdr:colOff>
                    <xdr:row>19</xdr:row>
                    <xdr:rowOff>0</xdr:rowOff>
                  </from>
                  <to>
                    <xdr:col>5</xdr:col>
                    <xdr:colOff>523875</xdr:colOff>
                    <xdr:row>20</xdr:row>
                    <xdr:rowOff>28575</xdr:rowOff>
                  </to>
                </anchor>
              </controlPr>
            </control>
          </mc:Choice>
        </mc:AlternateContent>
        <mc:AlternateContent xmlns:mc="http://schemas.openxmlformats.org/markup-compatibility/2006">
          <mc:Choice Requires="x14">
            <control shapeId="17438" r:id="rId32" name="Check Box 30">
              <controlPr defaultSize="0" autoFill="0" autoLine="0" autoPict="0">
                <anchor moveWithCells="1">
                  <from>
                    <xdr:col>5</xdr:col>
                    <xdr:colOff>219075</xdr:colOff>
                    <xdr:row>20</xdr:row>
                    <xdr:rowOff>0</xdr:rowOff>
                  </from>
                  <to>
                    <xdr:col>5</xdr:col>
                    <xdr:colOff>523875</xdr:colOff>
                    <xdr:row>21</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20E95-6265-4270-8512-FA545C66BEBA}">
  <sheetPr codeName="Sheet5">
    <pageSetUpPr fitToPage="1"/>
  </sheetPr>
  <dimension ref="A1:CC83"/>
  <sheetViews>
    <sheetView showGridLines="0" showZeros="0" tabSelected="1" zoomScale="120" zoomScaleNormal="120" zoomScaleSheetLayoutView="100" workbookViewId="0">
      <selection activeCell="C3" sqref="C3:F3"/>
    </sheetView>
  </sheetViews>
  <sheetFormatPr defaultColWidth="9.28515625" defaultRowHeight="12.75" x14ac:dyDescent="0.2"/>
  <cols>
    <col min="1" max="1" width="1.42578125" style="5" customWidth="1"/>
    <col min="2" max="2" width="15.28515625" style="5" customWidth="1"/>
    <col min="3" max="3" width="11.28515625" style="5" customWidth="1"/>
    <col min="4" max="4" width="3.42578125" style="5" customWidth="1"/>
    <col min="5" max="5" width="2.42578125" style="6" customWidth="1"/>
    <col min="6" max="6" width="7.5703125" style="5" customWidth="1"/>
    <col min="7" max="7" width="5.5703125" style="5" customWidth="1"/>
    <col min="8" max="8" width="8.85546875" style="5" customWidth="1"/>
    <col min="9" max="9" width="9.140625" style="5" customWidth="1"/>
    <col min="10" max="10" width="13.28515625" style="5" customWidth="1"/>
    <col min="11" max="12" width="10.7109375" style="5" customWidth="1"/>
    <col min="13" max="13" width="11" style="5" customWidth="1"/>
    <col min="14" max="14" width="11.7109375" style="5" customWidth="1"/>
    <col min="15" max="15" width="14.28515625" style="5" hidden="1" customWidth="1"/>
    <col min="16" max="16" width="13.42578125" style="24" hidden="1" customWidth="1"/>
    <col min="17" max="17" width="11.140625" style="24" hidden="1" customWidth="1"/>
    <col min="18" max="18" width="13.28515625" style="24" hidden="1" customWidth="1"/>
    <col min="19" max="20" width="9" style="5" hidden="1" customWidth="1"/>
    <col min="21" max="21" width="5.7109375" style="5" hidden="1" customWidth="1"/>
    <col min="22" max="22" width="6.85546875" style="5" hidden="1" customWidth="1"/>
    <col min="23" max="23" width="11.7109375" style="5" hidden="1" customWidth="1"/>
    <col min="24" max="26" width="0" style="5" hidden="1" customWidth="1"/>
    <col min="27" max="16384" width="9.28515625" style="5"/>
  </cols>
  <sheetData>
    <row r="1" spans="2:81" ht="19.5" customHeight="1" x14ac:dyDescent="0.25">
      <c r="B1" s="5" t="s">
        <v>306</v>
      </c>
      <c r="C1" s="887" t="str">
        <f>IF(P5="340","COVER CROP SEEDING PLAN AND RECORD         version "&amp;DATA!A2,IF(P5="810","ANNUAL FORAGE  SEEDING PLAN AND RECORD          version "&amp;DATA!A2,"COVER CROP/ANNUAL FORAGE  SEEDING PLAN AND RECORD     version "&amp;DATA!A2))</f>
        <v>COVER CROP/ANNUAL FORAGE  SEEDING PLAN AND RECORD     version 2.92</v>
      </c>
      <c r="D1" s="888"/>
      <c r="E1" s="888"/>
      <c r="F1" s="888"/>
      <c r="G1" s="888"/>
      <c r="H1" s="888"/>
      <c r="I1" s="888"/>
      <c r="J1" s="888"/>
      <c r="K1" s="888"/>
      <c r="L1" s="888"/>
      <c r="M1" s="81"/>
      <c r="N1" s="8"/>
      <c r="O1" s="8"/>
      <c r="P1" s="23"/>
      <c r="Q1" s="33"/>
      <c r="R1" s="33"/>
      <c r="CA1" s="576" t="s">
        <v>771</v>
      </c>
      <c r="CB1" s="522"/>
      <c r="CC1" s="577"/>
    </row>
    <row r="2" spans="2:81" ht="17.25" customHeight="1" x14ac:dyDescent="0.25">
      <c r="B2" s="571" t="s">
        <v>557</v>
      </c>
      <c r="O2" s="8"/>
      <c r="Q2" s="34"/>
      <c r="R2" s="34"/>
      <c r="CA2" s="578"/>
      <c r="CC2" s="557"/>
    </row>
    <row r="3" spans="2:81" ht="14.65" customHeight="1" x14ac:dyDescent="0.25">
      <c r="B3" s="151" t="s">
        <v>439</v>
      </c>
      <c r="C3" s="780"/>
      <c r="D3" s="780"/>
      <c r="E3" s="780"/>
      <c r="F3" s="780"/>
      <c r="G3" s="792" t="s">
        <v>307</v>
      </c>
      <c r="H3" s="792"/>
      <c r="I3" s="792"/>
      <c r="J3" s="897"/>
      <c r="K3" s="892"/>
      <c r="L3" s="117" t="s">
        <v>308</v>
      </c>
      <c r="M3" s="793"/>
      <c r="N3" s="892"/>
      <c r="O3" s="8"/>
      <c r="Q3" s="34"/>
      <c r="R3" s="34"/>
      <c r="CA3" s="578"/>
      <c r="CC3" s="557"/>
    </row>
    <row r="4" spans="2:81" ht="11.25" customHeight="1" x14ac:dyDescent="0.25">
      <c r="B4" s="151"/>
      <c r="C4" s="151"/>
      <c r="D4" s="151"/>
      <c r="E4" s="151"/>
      <c r="F4" s="151"/>
      <c r="G4" s="141"/>
      <c r="H4" s="141"/>
      <c r="I4" s="141"/>
      <c r="J4" s="141"/>
      <c r="K4" s="141"/>
      <c r="L4" s="141"/>
      <c r="M4" s="141"/>
      <c r="N4" s="141"/>
      <c r="O4" s="8"/>
      <c r="Q4" s="34"/>
      <c r="R4" s="34"/>
      <c r="CA4" s="588">
        <f>Length*Width/43560</f>
        <v>0</v>
      </c>
      <c r="CB4" s="583">
        <f>Length*Width</f>
        <v>0</v>
      </c>
      <c r="CC4" s="584">
        <f>CB4/1000</f>
        <v>0</v>
      </c>
    </row>
    <row r="5" spans="2:81" ht="14.25" customHeight="1" x14ac:dyDescent="0.25">
      <c r="B5" s="151" t="s">
        <v>438</v>
      </c>
      <c r="C5" s="793"/>
      <c r="D5" s="793"/>
      <c r="E5" s="793"/>
      <c r="F5" s="793"/>
      <c r="G5" s="141"/>
      <c r="H5" s="141" t="s">
        <v>757</v>
      </c>
      <c r="I5" s="141"/>
      <c r="J5" s="890"/>
      <c r="K5" s="891"/>
      <c r="L5" s="892"/>
      <c r="M5" s="892"/>
      <c r="N5" s="892"/>
      <c r="O5" s="8"/>
      <c r="P5" s="24" t="str">
        <f>RIGHT(J5,3)</f>
        <v/>
      </c>
      <c r="Q5" s="34"/>
      <c r="R5" s="34"/>
      <c r="CA5" s="576" t="s">
        <v>772</v>
      </c>
      <c r="CB5" s="522"/>
      <c r="CC5" s="577"/>
    </row>
    <row r="6" spans="2:81" ht="11.25" customHeight="1" x14ac:dyDescent="0.25">
      <c r="B6" s="151"/>
      <c r="C6" s="151"/>
      <c r="D6" s="151"/>
      <c r="E6" s="151"/>
      <c r="F6" s="151"/>
      <c r="G6" s="141"/>
      <c r="H6" s="141"/>
      <c r="I6" s="141"/>
      <c r="J6" s="141"/>
      <c r="K6" s="141"/>
      <c r="L6" s="141"/>
      <c r="M6" s="141"/>
      <c r="N6" s="141"/>
      <c r="O6" s="8"/>
      <c r="Q6" s="34"/>
      <c r="R6" s="34"/>
      <c r="CA6" s="578">
        <v>45</v>
      </c>
      <c r="CB6" s="480"/>
      <c r="CC6" s="580"/>
    </row>
    <row r="7" spans="2:81" ht="16.5" customHeight="1" x14ac:dyDescent="0.25">
      <c r="B7" s="152" t="s">
        <v>310</v>
      </c>
      <c r="C7" s="780"/>
      <c r="D7" s="780"/>
      <c r="E7" s="780"/>
      <c r="F7" s="780"/>
      <c r="G7" s="794" t="s">
        <v>0</v>
      </c>
      <c r="H7" s="794"/>
      <c r="I7" s="794"/>
      <c r="J7" s="883"/>
      <c r="K7" s="883"/>
      <c r="L7" s="883"/>
      <c r="M7" s="883"/>
      <c r="N7" s="883"/>
      <c r="O7" s="8"/>
      <c r="Q7" s="34"/>
      <c r="R7" s="34"/>
      <c r="CA7" s="578">
        <v>90</v>
      </c>
      <c r="CB7" s="480"/>
      <c r="CC7" s="580"/>
    </row>
    <row r="8" spans="2:81" ht="11.25" customHeight="1" x14ac:dyDescent="0.25">
      <c r="B8" s="151"/>
      <c r="C8" s="158"/>
      <c r="D8" s="158"/>
      <c r="E8" s="158"/>
      <c r="F8" s="158"/>
      <c r="G8" s="151"/>
      <c r="H8" s="151"/>
      <c r="I8" s="151"/>
      <c r="J8" s="884"/>
      <c r="K8" s="884"/>
      <c r="L8" s="884"/>
      <c r="M8" s="884"/>
      <c r="N8" s="884"/>
      <c r="O8" s="8"/>
      <c r="Q8" s="34"/>
      <c r="R8" s="34"/>
      <c r="CA8" s="579" cm="1">
        <f t="array" ref="CA8">LengthA*WidthA/43560</f>
        <v>9.2975206611570244E-2</v>
      </c>
      <c r="CB8" s="581">
        <f>LengthA*WidthA</f>
        <v>4050</v>
      </c>
      <c r="CC8" s="582">
        <f>CB8/1000</f>
        <v>4.05</v>
      </c>
    </row>
    <row r="9" spans="2:81" ht="19.5" customHeight="1" x14ac:dyDescent="0.25">
      <c r="B9" s="151" t="s">
        <v>312</v>
      </c>
      <c r="C9" s="352"/>
      <c r="D9" s="574"/>
      <c r="E9" s="896"/>
      <c r="F9" s="896"/>
      <c r="G9" s="115"/>
      <c r="I9" s="157"/>
      <c r="O9" s="8"/>
      <c r="Q9" s="34"/>
      <c r="R9" s="34"/>
    </row>
    <row r="10" spans="2:81" ht="13.5" customHeight="1" x14ac:dyDescent="0.25">
      <c r="B10" s="152"/>
      <c r="C10" s="152"/>
      <c r="D10" s="152"/>
      <c r="E10" s="885" t="str">
        <f>IF(C9="CStP","Enhancement","")</f>
        <v/>
      </c>
      <c r="F10" s="886"/>
      <c r="G10" s="152"/>
      <c r="H10" s="795" t="s">
        <v>435</v>
      </c>
      <c r="I10" s="796"/>
      <c r="J10" s="797"/>
      <c r="K10" s="798"/>
      <c r="L10" s="798"/>
      <c r="M10" s="798"/>
      <c r="N10" s="799"/>
      <c r="O10" s="8"/>
      <c r="Q10" s="34"/>
      <c r="R10" s="34"/>
    </row>
    <row r="11" spans="2:81" ht="14.25" customHeight="1" x14ac:dyDescent="0.25">
      <c r="B11" s="889" t="s">
        <v>414</v>
      </c>
      <c r="C11" s="889"/>
      <c r="D11" s="889"/>
      <c r="E11" s="889"/>
      <c r="F11" s="889"/>
      <c r="G11" s="116"/>
      <c r="H11" s="796"/>
      <c r="I11" s="796"/>
      <c r="J11" s="800"/>
      <c r="K11" s="801"/>
      <c r="L11" s="801"/>
      <c r="M11" s="801"/>
      <c r="N11" s="802"/>
      <c r="O11" s="8"/>
      <c r="Q11" s="34"/>
      <c r="R11" s="34"/>
    </row>
    <row r="12" spans="2:81" ht="12" customHeight="1" x14ac:dyDescent="0.25">
      <c r="E12" s="5"/>
      <c r="G12" s="116"/>
      <c r="H12" s="13"/>
      <c r="I12" s="13"/>
      <c r="J12" s="573"/>
      <c r="K12" s="573"/>
      <c r="L12" s="573"/>
      <c r="M12" s="573"/>
      <c r="N12" s="573"/>
      <c r="O12" s="8"/>
      <c r="Q12" s="34"/>
      <c r="R12" s="34"/>
    </row>
    <row r="13" spans="2:81" s="16" customFormat="1" ht="18.75" customHeight="1" x14ac:dyDescent="0.25">
      <c r="B13" s="118"/>
      <c r="C13" s="572"/>
      <c r="D13" s="895"/>
      <c r="E13" s="895"/>
      <c r="F13" s="895"/>
      <c r="G13" s="781" t="s">
        <v>1</v>
      </c>
      <c r="H13" s="781"/>
      <c r="I13" s="781"/>
      <c r="J13" s="781"/>
      <c r="K13" s="781"/>
      <c r="L13" s="782" t="s">
        <v>2</v>
      </c>
      <c r="M13" s="782"/>
      <c r="N13" s="782"/>
      <c r="O13" s="8"/>
      <c r="P13" s="25"/>
      <c r="Q13" s="35"/>
      <c r="R13" s="35"/>
    </row>
    <row r="14" spans="2:81" s="89" customFormat="1" ht="13.9" customHeight="1" x14ac:dyDescent="0.25">
      <c r="B14" s="803" t="s">
        <v>487</v>
      </c>
      <c r="C14" s="804"/>
      <c r="D14" s="804"/>
      <c r="E14" s="119"/>
      <c r="F14" s="120"/>
      <c r="G14" s="805"/>
      <c r="H14" s="805"/>
      <c r="I14" s="805"/>
      <c r="J14" s="805"/>
      <c r="K14" s="805"/>
      <c r="L14" s="806"/>
      <c r="M14" s="807"/>
      <c r="N14" s="808"/>
      <c r="O14" s="8"/>
      <c r="P14" s="87"/>
      <c r="Q14" s="88"/>
      <c r="R14" s="88"/>
    </row>
    <row r="15" spans="2:81" s="89" customFormat="1" ht="13.9" customHeight="1" x14ac:dyDescent="0.25">
      <c r="B15" s="803" t="s">
        <v>3</v>
      </c>
      <c r="C15" s="804"/>
      <c r="D15" s="804"/>
      <c r="E15" s="804"/>
      <c r="F15" s="121"/>
      <c r="G15" s="840"/>
      <c r="H15" s="840"/>
      <c r="I15" s="840"/>
      <c r="J15" s="840"/>
      <c r="K15" s="840"/>
      <c r="L15" s="806"/>
      <c r="M15" s="807"/>
      <c r="N15" s="808"/>
      <c r="O15" s="8"/>
      <c r="P15" s="87"/>
      <c r="Q15" s="88"/>
      <c r="R15" s="88"/>
    </row>
    <row r="16" spans="2:81" s="89" customFormat="1" ht="13.9" customHeight="1" x14ac:dyDescent="0.25">
      <c r="B16" s="803" t="s">
        <v>4</v>
      </c>
      <c r="C16" s="804"/>
      <c r="D16" s="804"/>
      <c r="E16" s="122"/>
      <c r="F16" s="121"/>
      <c r="G16" s="840"/>
      <c r="H16" s="840"/>
      <c r="I16" s="840"/>
      <c r="J16" s="840"/>
      <c r="K16" s="840"/>
      <c r="L16" s="816">
        <f>N54</f>
        <v>0</v>
      </c>
      <c r="M16" s="826"/>
      <c r="N16" s="827"/>
      <c r="O16" s="8"/>
      <c r="P16" s="87"/>
      <c r="Q16" s="88"/>
      <c r="R16" s="88"/>
    </row>
    <row r="17" spans="1:22" s="89" customFormat="1" ht="13.9" customHeight="1" x14ac:dyDescent="0.25">
      <c r="A17" s="86"/>
      <c r="B17" s="123" t="s">
        <v>5</v>
      </c>
      <c r="C17" s="124"/>
      <c r="D17" s="124"/>
      <c r="E17" s="122"/>
      <c r="F17" s="121"/>
      <c r="G17" s="843"/>
      <c r="H17" s="844"/>
      <c r="I17" s="844"/>
      <c r="J17" s="590" t="str">
        <f>IF(CC4&gt;0,CC4,"")</f>
        <v/>
      </c>
      <c r="K17" s="591" t="str">
        <f>IF(CC4&gt;0,"1000 sqft. Units","")</f>
        <v/>
      </c>
      <c r="L17" s="816">
        <f>L54</f>
        <v>0</v>
      </c>
      <c r="M17" s="817"/>
      <c r="N17" s="818"/>
      <c r="O17" s="8"/>
      <c r="P17" s="87"/>
      <c r="Q17" s="88"/>
      <c r="R17" s="88"/>
    </row>
    <row r="18" spans="1:22" s="89" customFormat="1" ht="13.9" customHeight="1" x14ac:dyDescent="0.25">
      <c r="A18" s="86"/>
      <c r="B18" s="819" t="s">
        <v>326</v>
      </c>
      <c r="C18" s="820"/>
      <c r="D18" s="820"/>
      <c r="E18" s="820"/>
      <c r="F18" s="821"/>
      <c r="G18" s="822" t="str">
        <f>DATA!N33</f>
        <v/>
      </c>
      <c r="H18" s="823"/>
      <c r="I18" s="823"/>
      <c r="J18" s="823"/>
      <c r="K18" s="824"/>
      <c r="L18" s="825"/>
      <c r="M18" s="826"/>
      <c r="N18" s="827"/>
      <c r="O18" s="8"/>
      <c r="P18" s="87"/>
      <c r="Q18" s="88"/>
      <c r="R18" s="88"/>
    </row>
    <row r="19" spans="1:22" s="89" customFormat="1" ht="13.9" customHeight="1" x14ac:dyDescent="0.25">
      <c r="A19" s="86"/>
      <c r="B19" s="819" t="s">
        <v>463</v>
      </c>
      <c r="C19" s="841"/>
      <c r="D19" s="841"/>
      <c r="E19" s="841"/>
      <c r="F19" s="842"/>
      <c r="G19" s="837"/>
      <c r="H19" s="838"/>
      <c r="I19" s="838"/>
      <c r="J19" s="838"/>
      <c r="K19" s="839"/>
      <c r="L19" s="834"/>
      <c r="M19" s="835"/>
      <c r="N19" s="836"/>
      <c r="O19" s="8"/>
      <c r="P19" s="87"/>
      <c r="Q19" s="88"/>
      <c r="R19" s="88"/>
    </row>
    <row r="20" spans="1:22" s="89" customFormat="1" ht="13.9" customHeight="1" x14ac:dyDescent="0.25">
      <c r="A20" s="86"/>
      <c r="B20" s="819" t="s">
        <v>6</v>
      </c>
      <c r="C20" s="820"/>
      <c r="D20" s="820"/>
      <c r="E20" s="820"/>
      <c r="F20" s="821"/>
      <c r="G20" s="828" t="str">
        <f>IF(G16="Broadcast","Surface Applied",IFERROR(U30,"")&amp;IF(P_inch_first="",""," inch"))</f>
        <v/>
      </c>
      <c r="H20" s="828"/>
      <c r="I20" s="828"/>
      <c r="J20" s="828"/>
      <c r="K20" s="828"/>
      <c r="L20" s="806"/>
      <c r="M20" s="807"/>
      <c r="N20" s="808"/>
      <c r="O20" s="8"/>
      <c r="P20" s="87"/>
      <c r="Q20" s="88"/>
      <c r="R20" s="88"/>
    </row>
    <row r="21" spans="1:22" s="89" customFormat="1" ht="13.9" customHeight="1" x14ac:dyDescent="0.25">
      <c r="A21" s="86"/>
      <c r="B21" s="803" t="s">
        <v>7</v>
      </c>
      <c r="C21" s="804"/>
      <c r="D21" s="804"/>
      <c r="E21" s="122"/>
      <c r="F21" s="121"/>
      <c r="G21" s="840"/>
      <c r="H21" s="840"/>
      <c r="I21" s="840"/>
      <c r="J21" s="840"/>
      <c r="K21" s="840"/>
      <c r="L21" s="806"/>
      <c r="M21" s="807"/>
      <c r="N21" s="808"/>
      <c r="O21" s="8"/>
      <c r="P21" s="87"/>
      <c r="Q21" s="88"/>
      <c r="R21" s="88"/>
    </row>
    <row r="22" spans="1:22" x14ac:dyDescent="0.2">
      <c r="A22" s="17"/>
      <c r="B22" s="856" t="s">
        <v>8</v>
      </c>
      <c r="C22" s="857"/>
      <c r="D22" s="857"/>
      <c r="E22" s="857"/>
      <c r="F22" s="857"/>
      <c r="G22" s="857"/>
      <c r="H22" s="125"/>
      <c r="I22" s="105"/>
      <c r="J22" s="105"/>
      <c r="K22" s="105"/>
      <c r="L22" s="105"/>
      <c r="M22" s="105"/>
      <c r="N22" s="105"/>
      <c r="O22" s="106"/>
      <c r="P22" s="106"/>
      <c r="Q22" s="36"/>
      <c r="R22" s="36"/>
    </row>
    <row r="23" spans="1:22" s="18" customFormat="1" x14ac:dyDescent="0.2">
      <c r="B23" s="832"/>
      <c r="C23" s="833"/>
      <c r="D23" s="833"/>
      <c r="E23" s="833"/>
      <c r="F23" s="833"/>
      <c r="G23" s="832" t="s">
        <v>9</v>
      </c>
      <c r="H23" s="833"/>
      <c r="I23" s="833"/>
      <c r="J23" s="832"/>
      <c r="K23" s="833"/>
      <c r="L23" s="833"/>
      <c r="M23" s="833"/>
      <c r="N23" s="833"/>
      <c r="O23" s="166"/>
      <c r="P23" s="26"/>
      <c r="Q23" s="37"/>
      <c r="R23" s="37"/>
    </row>
    <row r="24" spans="1:22" s="18" customFormat="1" ht="11.25" x14ac:dyDescent="0.2">
      <c r="B24" s="848" t="s">
        <v>10</v>
      </c>
      <c r="C24" s="848"/>
      <c r="D24" s="848"/>
      <c r="E24" s="848"/>
      <c r="F24" s="848"/>
      <c r="G24" s="850"/>
      <c r="H24" s="851"/>
      <c r="I24" s="852"/>
      <c r="J24" s="849" t="s">
        <v>884</v>
      </c>
      <c r="K24" s="849"/>
      <c r="L24" s="849"/>
      <c r="M24" s="849"/>
      <c r="N24" s="849"/>
      <c r="O24" s="167"/>
      <c r="P24" s="27"/>
      <c r="Q24" s="38"/>
      <c r="R24" s="38"/>
    </row>
    <row r="25" spans="1:22" s="18" customFormat="1" ht="11.25" x14ac:dyDescent="0.2">
      <c r="B25" s="848"/>
      <c r="C25" s="848"/>
      <c r="D25" s="848"/>
      <c r="E25" s="848"/>
      <c r="F25" s="848"/>
      <c r="G25" s="853"/>
      <c r="H25" s="854"/>
      <c r="I25" s="855"/>
      <c r="J25" s="849"/>
      <c r="K25" s="849"/>
      <c r="L25" s="849"/>
      <c r="M25" s="849"/>
      <c r="N25" s="849"/>
      <c r="O25" s="167"/>
      <c r="P25" s="27"/>
      <c r="Q25" s="38"/>
      <c r="R25" s="38"/>
    </row>
    <row r="26" spans="1:22" s="18" customFormat="1" ht="11.25" x14ac:dyDescent="0.2">
      <c r="B26" s="848" t="s">
        <v>12</v>
      </c>
      <c r="C26" s="848"/>
      <c r="D26" s="848"/>
      <c r="E26" s="848"/>
      <c r="F26" s="848"/>
      <c r="G26" s="850"/>
      <c r="H26" s="851"/>
      <c r="I26" s="852"/>
      <c r="J26" s="849"/>
      <c r="K26" s="849"/>
      <c r="L26" s="849"/>
      <c r="M26" s="849"/>
      <c r="N26" s="849"/>
      <c r="O26" s="167"/>
      <c r="P26" s="27"/>
      <c r="Q26" s="38"/>
      <c r="R26" s="38"/>
    </row>
    <row r="27" spans="1:22" s="18" customFormat="1" ht="11.25" customHeight="1" x14ac:dyDescent="0.2">
      <c r="B27" s="848"/>
      <c r="C27" s="848"/>
      <c r="D27" s="848"/>
      <c r="E27" s="848"/>
      <c r="F27" s="848"/>
      <c r="G27" s="853"/>
      <c r="H27" s="854"/>
      <c r="I27" s="855"/>
      <c r="J27" s="849"/>
      <c r="K27" s="849"/>
      <c r="L27" s="849"/>
      <c r="M27" s="849"/>
      <c r="N27" s="849"/>
      <c r="O27" s="167"/>
      <c r="P27" s="27"/>
      <c r="Q27" s="38"/>
      <c r="R27" s="38"/>
    </row>
    <row r="28" spans="1:22" s="18" customFormat="1" ht="11.25" x14ac:dyDescent="0.2">
      <c r="A28" s="19"/>
      <c r="B28" s="126"/>
      <c r="C28" s="126"/>
      <c r="D28" s="126"/>
      <c r="E28" s="127"/>
      <c r="F28" s="128"/>
      <c r="G28" s="129"/>
      <c r="H28" s="129"/>
      <c r="I28" s="129"/>
      <c r="J28" s="130"/>
      <c r="K28" s="130"/>
      <c r="L28" s="130"/>
      <c r="P28" s="27"/>
      <c r="Q28" s="38"/>
      <c r="R28" s="38"/>
    </row>
    <row r="29" spans="1:22" s="16" customFormat="1" ht="18.75" customHeight="1" x14ac:dyDescent="0.25">
      <c r="B29" s="829" t="str">
        <f>IF(J10="","","Prepared Mix # Selected:")</f>
        <v/>
      </c>
      <c r="C29" s="830"/>
      <c r="D29" s="830"/>
      <c r="E29" s="830"/>
      <c r="F29" s="150" t="s">
        <v>14</v>
      </c>
      <c r="G29" s="143"/>
      <c r="H29" s="143"/>
      <c r="I29" s="143"/>
      <c r="J29" s="143"/>
      <c r="K29" s="143"/>
      <c r="L29" s="143"/>
      <c r="M29" s="143"/>
      <c r="N29" s="144"/>
      <c r="O29" s="18"/>
      <c r="P29" s="28"/>
      <c r="Q29" s="39"/>
      <c r="R29" s="39"/>
      <c r="U29" s="16" t="s">
        <v>764</v>
      </c>
    </row>
    <row r="30" spans="1:22" s="18" customFormat="1" ht="11.25" customHeight="1" x14ac:dyDescent="0.2">
      <c r="B30" s="810"/>
      <c r="C30" s="811"/>
      <c r="D30" s="811"/>
      <c r="E30" s="812"/>
      <c r="F30" s="831" t="s">
        <v>16</v>
      </c>
      <c r="G30" s="831"/>
      <c r="H30" s="831"/>
      <c r="I30" s="831" t="s">
        <v>426</v>
      </c>
      <c r="J30" s="858" t="s">
        <v>427</v>
      </c>
      <c r="K30" s="809" t="s">
        <v>428</v>
      </c>
      <c r="L30" s="809" t="s">
        <v>17</v>
      </c>
      <c r="M30" s="809" t="s">
        <v>429</v>
      </c>
      <c r="N30" s="809" t="s">
        <v>18</v>
      </c>
      <c r="O30" s="168"/>
      <c r="P30" s="29"/>
      <c r="Q30" s="40"/>
      <c r="R30" s="40"/>
      <c r="S30" s="20"/>
      <c r="U30" s="18" t="e">
        <f>VLOOKUP(MIN(T33:T47),T33:V47,3,FALSE)</f>
        <v>#N/A</v>
      </c>
    </row>
    <row r="31" spans="1:22" s="18" customFormat="1" ht="12.75" customHeight="1" x14ac:dyDescent="0.2">
      <c r="B31" s="813"/>
      <c r="C31" s="814"/>
      <c r="D31" s="814"/>
      <c r="E31" s="815"/>
      <c r="F31" s="831"/>
      <c r="G31" s="831"/>
      <c r="H31" s="831"/>
      <c r="I31" s="831"/>
      <c r="J31" s="859"/>
      <c r="K31" s="809"/>
      <c r="L31" s="809"/>
      <c r="M31" s="809"/>
      <c r="N31" s="809"/>
      <c r="O31" s="168"/>
      <c r="P31" s="29"/>
      <c r="Q31" s="40"/>
      <c r="R31" s="40"/>
      <c r="S31" s="20"/>
    </row>
    <row r="32" spans="1:22" s="18" customFormat="1" ht="14.25" customHeight="1" x14ac:dyDescent="0.2">
      <c r="A32" s="21">
        <v>22</v>
      </c>
      <c r="B32" s="636" t="s">
        <v>15</v>
      </c>
      <c r="C32" s="159"/>
      <c r="D32" s="159"/>
      <c r="E32" s="160"/>
      <c r="F32" s="831"/>
      <c r="G32" s="831"/>
      <c r="H32" s="831"/>
      <c r="I32" s="831"/>
      <c r="J32" s="860"/>
      <c r="K32" s="809"/>
      <c r="L32" s="809"/>
      <c r="M32" s="809"/>
      <c r="N32" s="809"/>
      <c r="O32" s="168" t="s">
        <v>417</v>
      </c>
      <c r="P32" s="112" t="s">
        <v>19</v>
      </c>
      <c r="Q32" s="113" t="s">
        <v>20</v>
      </c>
      <c r="R32" s="114" t="s">
        <v>21</v>
      </c>
      <c r="S32" s="20"/>
      <c r="T32" s="76" t="s">
        <v>319</v>
      </c>
      <c r="U32" s="76" t="s">
        <v>320</v>
      </c>
      <c r="V32" s="76" t="s">
        <v>321</v>
      </c>
    </row>
    <row r="33" spans="1:22" s="18" customFormat="1" ht="10.9" customHeight="1" x14ac:dyDescent="0.2">
      <c r="A33" s="21">
        <v>21</v>
      </c>
      <c r="B33" s="1172"/>
      <c r="C33" s="1173"/>
      <c r="D33" s="1173"/>
      <c r="E33" s="1174"/>
      <c r="F33" s="845"/>
      <c r="G33" s="846"/>
      <c r="H33" s="847"/>
      <c r="I33" s="342"/>
      <c r="J33" s="183" t="str">
        <f t="shared" ref="J33:J47" si="0">IFERROR(IF(OR(B33="",B33=0,$G$16=""),"",IF(OR(COUNTIF(B33, "*Rye, Cereal*"),COUNTIF(B33, "*Triticale*"),COUNTIF(B33, "*Wheat, Winter*")),VLOOKUP(B33,SpeciesTable,2,FALSE),IF(G$16="Broadcast",VLOOKUP(B33,SpeciesTable,2,FALSE)*1.5,VLOOKUP(B33,SpeciesTable,2,FALSE)))),"")</f>
        <v/>
      </c>
      <c r="K33" s="356" t="str">
        <f>IFERROR(IF(OR(B33="",B33=0),"",I33*J33),"")</f>
        <v/>
      </c>
      <c r="L33" s="575" t="str">
        <f>IFERROR(IF(OR(B33="",B33=0),"",$G$17),"")</f>
        <v/>
      </c>
      <c r="M33" s="354" t="str">
        <f>IFERROR(IF(OR(B33="",B33=0),"",K33*L33),"")</f>
        <v/>
      </c>
      <c r="N33" s="161" t="str">
        <f t="shared" ref="N33" si="1">IFERROR(IF(OR(B33="",B33=0),"",VLOOKUP(B33,SpeciesTable,3,FALSE)),"")</f>
        <v/>
      </c>
      <c r="O33" s="180" t="str">
        <f>IFERROR(M33/$M$48,"")</f>
        <v/>
      </c>
      <c r="P33" s="27" t="str">
        <f t="shared" ref="P33" si="2">_xlfn.IFNA(IF(ISTEXT(B33),VLOOKUP(B33,SpeciesTable,4,FALSE)," "),"")</f>
        <v xml:space="preserve"> </v>
      </c>
      <c r="Q33" s="38" t="str">
        <f>IFERROR(IF(ISTEXT(B33),(P33*K33),""),"")</f>
        <v/>
      </c>
      <c r="R33" s="38" t="str">
        <f>IFERROR(IF(ISTEXT(B33),(Q33*L33),""),"")</f>
        <v/>
      </c>
      <c r="T33" s="18" t="str">
        <f>IFERROR(U33+V33,"")</f>
        <v/>
      </c>
      <c r="U33" s="18" t="str">
        <f t="shared" ref="U33" si="3">IFERROR(VALUE(LEFT(N33,SEARCH(" ",N33)-1)),"")</f>
        <v/>
      </c>
      <c r="V33" s="18" t="str">
        <f t="shared" ref="V33" si="4">IFERROR(VALUE(RIGHT(N33,LEN(N33)-FIND("@",SUBSTITUTE(N33,"-","@",LEN(N33)-LEN(SUBSTITUTE(N33,"-",""))),1))),"")</f>
        <v/>
      </c>
    </row>
    <row r="34" spans="1:22" s="18" customFormat="1" ht="10.9" customHeight="1" x14ac:dyDescent="0.2">
      <c r="A34" s="21">
        <v>22</v>
      </c>
      <c r="B34" s="1172"/>
      <c r="C34" s="1173"/>
      <c r="D34" s="1173"/>
      <c r="E34" s="1174"/>
      <c r="F34" s="845"/>
      <c r="G34" s="846"/>
      <c r="H34" s="847"/>
      <c r="I34" s="342"/>
      <c r="J34" s="183" t="str">
        <f t="shared" si="0"/>
        <v/>
      </c>
      <c r="K34" s="356" t="str">
        <f t="shared" ref="K34:K47" si="5">IFERROR(IF(OR(B34="",B34=0),"",I34*J34),"")</f>
        <v/>
      </c>
      <c r="L34" s="575" t="str">
        <f t="shared" ref="L34:L47" si="6">IFERROR(IF(OR(B34="",B34=0),"",$G$17),"")</f>
        <v/>
      </c>
      <c r="M34" s="354" t="str">
        <f t="shared" ref="M34:M47" si="7">IFERROR(IF(OR(B34="",B34=0),"",K34*L34),"")</f>
        <v/>
      </c>
      <c r="N34" s="161" t="str">
        <f t="shared" ref="N34:N47" si="8">IFERROR(IF(OR(B34="",B34=0),"",VLOOKUP(B34,SpeciesTable,3,FALSE)),"")</f>
        <v/>
      </c>
      <c r="O34" s="180" t="str">
        <f t="shared" ref="O34:O47" si="9">IFERROR(M34/$M$48,"")</f>
        <v/>
      </c>
      <c r="P34" s="27" t="str">
        <f t="shared" ref="P34:P47" si="10">_xlfn.IFNA(IF(ISTEXT(B34),VLOOKUP(B34,SpeciesTable,4,FALSE)," "),"")</f>
        <v xml:space="preserve"> </v>
      </c>
      <c r="Q34" s="38" t="str">
        <f t="shared" ref="Q34:Q47" si="11">IFERROR(IF(ISTEXT(B34),(P34*K34),""),"")</f>
        <v/>
      </c>
      <c r="R34" s="38" t="str">
        <f t="shared" ref="R34:R47" si="12">IFERROR(IF(ISTEXT(B34),(Q34*L34),""),"")</f>
        <v/>
      </c>
      <c r="T34" s="18" t="str">
        <f t="shared" ref="T34:T47" si="13">IFERROR(U34+V34,"")</f>
        <v/>
      </c>
      <c r="U34" s="18" t="str">
        <f t="shared" ref="U34:U47" si="14">IFERROR(VALUE(LEFT(N34,SEARCH(" ",N34)-1)),"")</f>
        <v/>
      </c>
      <c r="V34" s="18" t="str">
        <f t="shared" ref="V34:V47" si="15">IFERROR(VALUE(RIGHT(N34,LEN(N34)-FIND("@",SUBSTITUTE(N34,"-","@",LEN(N34)-LEN(SUBSTITUTE(N34,"-",""))),1))),"")</f>
        <v/>
      </c>
    </row>
    <row r="35" spans="1:22" s="18" customFormat="1" ht="10.9" customHeight="1" x14ac:dyDescent="0.2">
      <c r="A35" s="21">
        <v>22</v>
      </c>
      <c r="B35" s="1172"/>
      <c r="C35" s="1173"/>
      <c r="D35" s="1173"/>
      <c r="E35" s="1174"/>
      <c r="F35" s="845"/>
      <c r="G35" s="846"/>
      <c r="H35" s="847"/>
      <c r="I35" s="342"/>
      <c r="J35" s="183" t="str">
        <f t="shared" si="0"/>
        <v/>
      </c>
      <c r="K35" s="356" t="str">
        <f t="shared" si="5"/>
        <v/>
      </c>
      <c r="L35" s="575" t="str">
        <f t="shared" si="6"/>
        <v/>
      </c>
      <c r="M35" s="354" t="str">
        <f t="shared" si="7"/>
        <v/>
      </c>
      <c r="N35" s="161" t="str">
        <f t="shared" si="8"/>
        <v/>
      </c>
      <c r="O35" s="180" t="str">
        <f t="shared" si="9"/>
        <v/>
      </c>
      <c r="P35" s="27" t="str">
        <f t="shared" si="10"/>
        <v xml:space="preserve"> </v>
      </c>
      <c r="Q35" s="38" t="str">
        <f t="shared" si="11"/>
        <v/>
      </c>
      <c r="R35" s="38" t="str">
        <f t="shared" si="12"/>
        <v/>
      </c>
      <c r="T35" s="18" t="str">
        <f t="shared" si="13"/>
        <v/>
      </c>
      <c r="U35" s="18" t="str">
        <f t="shared" si="14"/>
        <v/>
      </c>
      <c r="V35" s="18" t="str">
        <f t="shared" si="15"/>
        <v/>
      </c>
    </row>
    <row r="36" spans="1:22" s="18" customFormat="1" ht="10.9" customHeight="1" x14ac:dyDescent="0.2">
      <c r="A36" s="21">
        <v>22</v>
      </c>
      <c r="B36" s="1172"/>
      <c r="C36" s="1173"/>
      <c r="D36" s="1173"/>
      <c r="E36" s="1174"/>
      <c r="F36" s="845"/>
      <c r="G36" s="846"/>
      <c r="H36" s="847"/>
      <c r="I36" s="342"/>
      <c r="J36" s="183" t="str">
        <f t="shared" si="0"/>
        <v/>
      </c>
      <c r="K36" s="356" t="str">
        <f t="shared" si="5"/>
        <v/>
      </c>
      <c r="L36" s="575" t="str">
        <f t="shared" si="6"/>
        <v/>
      </c>
      <c r="M36" s="354" t="str">
        <f t="shared" si="7"/>
        <v/>
      </c>
      <c r="N36" s="161" t="str">
        <f t="shared" si="8"/>
        <v/>
      </c>
      <c r="O36" s="180" t="str">
        <f t="shared" si="9"/>
        <v/>
      </c>
      <c r="P36" s="27" t="str">
        <f t="shared" si="10"/>
        <v xml:space="preserve"> </v>
      </c>
      <c r="Q36" s="38" t="str">
        <f t="shared" si="11"/>
        <v/>
      </c>
      <c r="R36" s="38" t="str">
        <f t="shared" si="12"/>
        <v/>
      </c>
      <c r="T36" s="18" t="str">
        <f t="shared" si="13"/>
        <v/>
      </c>
      <c r="U36" s="18" t="str">
        <f t="shared" si="14"/>
        <v/>
      </c>
      <c r="V36" s="18" t="str">
        <f t="shared" si="15"/>
        <v/>
      </c>
    </row>
    <row r="37" spans="1:22" s="18" customFormat="1" ht="10.9" customHeight="1" x14ac:dyDescent="0.2">
      <c r="A37" s="21">
        <v>22</v>
      </c>
      <c r="B37" s="1172"/>
      <c r="C37" s="1173"/>
      <c r="D37" s="1173"/>
      <c r="E37" s="1174"/>
      <c r="F37" s="845"/>
      <c r="G37" s="846"/>
      <c r="H37" s="847"/>
      <c r="I37" s="342"/>
      <c r="J37" s="183" t="str">
        <f t="shared" si="0"/>
        <v/>
      </c>
      <c r="K37" s="356" t="str">
        <f t="shared" si="5"/>
        <v/>
      </c>
      <c r="L37" s="575" t="str">
        <f t="shared" si="6"/>
        <v/>
      </c>
      <c r="M37" s="354" t="str">
        <f t="shared" si="7"/>
        <v/>
      </c>
      <c r="N37" s="161" t="str">
        <f t="shared" si="8"/>
        <v/>
      </c>
      <c r="O37" s="180" t="str">
        <f t="shared" si="9"/>
        <v/>
      </c>
      <c r="P37" s="27" t="str">
        <f t="shared" si="10"/>
        <v xml:space="preserve"> </v>
      </c>
      <c r="Q37" s="38" t="str">
        <f t="shared" si="11"/>
        <v/>
      </c>
      <c r="R37" s="38" t="str">
        <f t="shared" si="12"/>
        <v/>
      </c>
      <c r="T37" s="18" t="str">
        <f t="shared" si="13"/>
        <v/>
      </c>
      <c r="U37" s="18" t="str">
        <f t="shared" si="14"/>
        <v/>
      </c>
      <c r="V37" s="18" t="str">
        <f t="shared" si="15"/>
        <v/>
      </c>
    </row>
    <row r="38" spans="1:22" s="18" customFormat="1" ht="10.9" customHeight="1" x14ac:dyDescent="0.2">
      <c r="A38" s="21">
        <v>22</v>
      </c>
      <c r="B38" s="1172"/>
      <c r="C38" s="1173"/>
      <c r="D38" s="1173"/>
      <c r="E38" s="1174"/>
      <c r="F38" s="845"/>
      <c r="G38" s="846"/>
      <c r="H38" s="847"/>
      <c r="I38" s="342"/>
      <c r="J38" s="183" t="str">
        <f t="shared" si="0"/>
        <v/>
      </c>
      <c r="K38" s="356" t="str">
        <f t="shared" si="5"/>
        <v/>
      </c>
      <c r="L38" s="575" t="str">
        <f t="shared" si="6"/>
        <v/>
      </c>
      <c r="M38" s="354" t="str">
        <f t="shared" si="7"/>
        <v/>
      </c>
      <c r="N38" s="161" t="str">
        <f t="shared" si="8"/>
        <v/>
      </c>
      <c r="O38" s="180" t="str">
        <f t="shared" si="9"/>
        <v/>
      </c>
      <c r="P38" s="27" t="str">
        <f t="shared" si="10"/>
        <v xml:space="preserve"> </v>
      </c>
      <c r="Q38" s="38" t="str">
        <f t="shared" si="11"/>
        <v/>
      </c>
      <c r="R38" s="38" t="str">
        <f t="shared" si="12"/>
        <v/>
      </c>
      <c r="T38" s="18" t="str">
        <f t="shared" si="13"/>
        <v/>
      </c>
      <c r="U38" s="18" t="str">
        <f t="shared" si="14"/>
        <v/>
      </c>
      <c r="V38" s="18" t="str">
        <f t="shared" si="15"/>
        <v/>
      </c>
    </row>
    <row r="39" spans="1:22" s="18" customFormat="1" ht="11.1" customHeight="1" x14ac:dyDescent="0.2">
      <c r="A39" s="21">
        <v>22</v>
      </c>
      <c r="B39" s="1172"/>
      <c r="C39" s="1173"/>
      <c r="D39" s="1173"/>
      <c r="E39" s="1174"/>
      <c r="F39" s="845"/>
      <c r="G39" s="846"/>
      <c r="H39" s="847"/>
      <c r="I39" s="342"/>
      <c r="J39" s="183" t="str">
        <f t="shared" si="0"/>
        <v/>
      </c>
      <c r="K39" s="356" t="str">
        <f t="shared" si="5"/>
        <v/>
      </c>
      <c r="L39" s="575" t="str">
        <f t="shared" si="6"/>
        <v/>
      </c>
      <c r="M39" s="354" t="str">
        <f t="shared" si="7"/>
        <v/>
      </c>
      <c r="N39" s="161" t="str">
        <f t="shared" si="8"/>
        <v/>
      </c>
      <c r="O39" s="180" t="str">
        <f t="shared" si="9"/>
        <v/>
      </c>
      <c r="P39" s="27" t="str">
        <f t="shared" si="10"/>
        <v xml:space="preserve"> </v>
      </c>
      <c r="Q39" s="38" t="str">
        <f t="shared" si="11"/>
        <v/>
      </c>
      <c r="R39" s="38" t="str">
        <f t="shared" si="12"/>
        <v/>
      </c>
      <c r="T39" s="18" t="str">
        <f t="shared" si="13"/>
        <v/>
      </c>
      <c r="U39" s="18" t="str">
        <f t="shared" si="14"/>
        <v/>
      </c>
      <c r="V39" s="18" t="str">
        <f t="shared" si="15"/>
        <v/>
      </c>
    </row>
    <row r="40" spans="1:22" s="18" customFormat="1" ht="11.25" customHeight="1" x14ac:dyDescent="0.2">
      <c r="A40" s="21">
        <v>22</v>
      </c>
      <c r="B40" s="1172"/>
      <c r="C40" s="1173"/>
      <c r="D40" s="1173"/>
      <c r="E40" s="1174"/>
      <c r="F40" s="845"/>
      <c r="G40" s="846"/>
      <c r="H40" s="847"/>
      <c r="I40" s="342"/>
      <c r="J40" s="183" t="str">
        <f t="shared" si="0"/>
        <v/>
      </c>
      <c r="K40" s="356" t="str">
        <f t="shared" si="5"/>
        <v/>
      </c>
      <c r="L40" s="575" t="str">
        <f t="shared" si="6"/>
        <v/>
      </c>
      <c r="M40" s="354" t="str">
        <f t="shared" si="7"/>
        <v/>
      </c>
      <c r="N40" s="161" t="str">
        <f t="shared" si="8"/>
        <v/>
      </c>
      <c r="O40" s="180" t="str">
        <f t="shared" si="9"/>
        <v/>
      </c>
      <c r="P40" s="27" t="str">
        <f t="shared" si="10"/>
        <v xml:space="preserve"> </v>
      </c>
      <c r="Q40" s="38" t="str">
        <f t="shared" si="11"/>
        <v/>
      </c>
      <c r="R40" s="38" t="str">
        <f t="shared" si="12"/>
        <v/>
      </c>
      <c r="T40" s="18" t="str">
        <f t="shared" si="13"/>
        <v/>
      </c>
      <c r="U40" s="18" t="str">
        <f t="shared" si="14"/>
        <v/>
      </c>
      <c r="V40" s="18" t="str">
        <f t="shared" si="15"/>
        <v/>
      </c>
    </row>
    <row r="41" spans="1:22" s="18" customFormat="1" ht="11.25" x14ac:dyDescent="0.2">
      <c r="A41" s="21">
        <v>22</v>
      </c>
      <c r="B41" s="1172"/>
      <c r="C41" s="1173"/>
      <c r="D41" s="1173"/>
      <c r="E41" s="1174"/>
      <c r="F41" s="845"/>
      <c r="G41" s="846"/>
      <c r="H41" s="847"/>
      <c r="I41" s="342"/>
      <c r="J41" s="183" t="str">
        <f t="shared" si="0"/>
        <v/>
      </c>
      <c r="K41" s="356" t="str">
        <f t="shared" si="5"/>
        <v/>
      </c>
      <c r="L41" s="575" t="str">
        <f t="shared" si="6"/>
        <v/>
      </c>
      <c r="M41" s="354" t="str">
        <f t="shared" si="7"/>
        <v/>
      </c>
      <c r="N41" s="161" t="str">
        <f t="shared" si="8"/>
        <v/>
      </c>
      <c r="O41" s="180" t="str">
        <f t="shared" si="9"/>
        <v/>
      </c>
      <c r="P41" s="27" t="str">
        <f t="shared" si="10"/>
        <v xml:space="preserve"> </v>
      </c>
      <c r="Q41" s="38" t="str">
        <f t="shared" si="11"/>
        <v/>
      </c>
      <c r="R41" s="38" t="str">
        <f t="shared" si="12"/>
        <v/>
      </c>
      <c r="T41" s="18" t="str">
        <f t="shared" si="13"/>
        <v/>
      </c>
      <c r="U41" s="18" t="str">
        <f t="shared" si="14"/>
        <v/>
      </c>
      <c r="V41" s="18" t="str">
        <f t="shared" si="15"/>
        <v/>
      </c>
    </row>
    <row r="42" spans="1:22" s="18" customFormat="1" ht="11.25" x14ac:dyDescent="0.2">
      <c r="A42" s="21">
        <v>22</v>
      </c>
      <c r="B42" s="1172"/>
      <c r="C42" s="1173"/>
      <c r="D42" s="1173"/>
      <c r="E42" s="1174"/>
      <c r="F42" s="845"/>
      <c r="G42" s="846"/>
      <c r="H42" s="847"/>
      <c r="I42" s="342"/>
      <c r="J42" s="183" t="str">
        <f t="shared" si="0"/>
        <v/>
      </c>
      <c r="K42" s="356" t="str">
        <f t="shared" si="5"/>
        <v/>
      </c>
      <c r="L42" s="575" t="str">
        <f t="shared" si="6"/>
        <v/>
      </c>
      <c r="M42" s="354" t="str">
        <f t="shared" si="7"/>
        <v/>
      </c>
      <c r="N42" s="161" t="str">
        <f t="shared" si="8"/>
        <v/>
      </c>
      <c r="O42" s="180" t="str">
        <f t="shared" si="9"/>
        <v/>
      </c>
      <c r="P42" s="27" t="str">
        <f t="shared" si="10"/>
        <v xml:space="preserve"> </v>
      </c>
      <c r="Q42" s="38" t="str">
        <f t="shared" si="11"/>
        <v/>
      </c>
      <c r="R42" s="38" t="str">
        <f t="shared" si="12"/>
        <v/>
      </c>
      <c r="T42" s="18" t="str">
        <f t="shared" si="13"/>
        <v/>
      </c>
      <c r="U42" s="18" t="str">
        <f t="shared" si="14"/>
        <v/>
      </c>
      <c r="V42" s="18" t="str">
        <f t="shared" si="15"/>
        <v/>
      </c>
    </row>
    <row r="43" spans="1:22" s="18" customFormat="1" ht="11.25" x14ac:dyDescent="0.2">
      <c r="A43" s="21">
        <v>22</v>
      </c>
      <c r="B43" s="1172"/>
      <c r="C43" s="1173"/>
      <c r="D43" s="1173"/>
      <c r="E43" s="1174"/>
      <c r="F43" s="845"/>
      <c r="G43" s="846"/>
      <c r="H43" s="847"/>
      <c r="I43" s="342"/>
      <c r="J43" s="183" t="str">
        <f t="shared" si="0"/>
        <v/>
      </c>
      <c r="K43" s="356" t="str">
        <f t="shared" si="5"/>
        <v/>
      </c>
      <c r="L43" s="575" t="str">
        <f t="shared" si="6"/>
        <v/>
      </c>
      <c r="M43" s="354" t="str">
        <f t="shared" si="7"/>
        <v/>
      </c>
      <c r="N43" s="161" t="str">
        <f t="shared" si="8"/>
        <v/>
      </c>
      <c r="O43" s="180" t="str">
        <f t="shared" si="9"/>
        <v/>
      </c>
      <c r="P43" s="27" t="str">
        <f t="shared" si="10"/>
        <v xml:space="preserve"> </v>
      </c>
      <c r="Q43" s="38" t="str">
        <f t="shared" si="11"/>
        <v/>
      </c>
      <c r="R43" s="38" t="str">
        <f t="shared" si="12"/>
        <v/>
      </c>
      <c r="T43" s="18" t="str">
        <f t="shared" si="13"/>
        <v/>
      </c>
      <c r="U43" s="18" t="str">
        <f t="shared" si="14"/>
        <v/>
      </c>
      <c r="V43" s="18" t="str">
        <f t="shared" si="15"/>
        <v/>
      </c>
    </row>
    <row r="44" spans="1:22" s="18" customFormat="1" ht="11.25" x14ac:dyDescent="0.2">
      <c r="A44" s="21">
        <v>22</v>
      </c>
      <c r="B44" s="1172"/>
      <c r="C44" s="1173"/>
      <c r="D44" s="1173"/>
      <c r="E44" s="1174"/>
      <c r="F44" s="845"/>
      <c r="G44" s="846"/>
      <c r="H44" s="847"/>
      <c r="I44" s="342"/>
      <c r="J44" s="183" t="str">
        <f t="shared" si="0"/>
        <v/>
      </c>
      <c r="K44" s="356" t="str">
        <f t="shared" si="5"/>
        <v/>
      </c>
      <c r="L44" s="575" t="str">
        <f t="shared" si="6"/>
        <v/>
      </c>
      <c r="M44" s="354" t="str">
        <f t="shared" si="7"/>
        <v/>
      </c>
      <c r="N44" s="161" t="str">
        <f t="shared" si="8"/>
        <v/>
      </c>
      <c r="O44" s="180" t="str">
        <f t="shared" si="9"/>
        <v/>
      </c>
      <c r="P44" s="27" t="str">
        <f t="shared" si="10"/>
        <v xml:space="preserve"> </v>
      </c>
      <c r="Q44" s="38" t="str">
        <f t="shared" si="11"/>
        <v/>
      </c>
      <c r="R44" s="38" t="str">
        <f t="shared" si="12"/>
        <v/>
      </c>
      <c r="T44" s="18" t="str">
        <f t="shared" si="13"/>
        <v/>
      </c>
      <c r="U44" s="18" t="str">
        <f t="shared" si="14"/>
        <v/>
      </c>
      <c r="V44" s="18" t="str">
        <f t="shared" si="15"/>
        <v/>
      </c>
    </row>
    <row r="45" spans="1:22" s="18" customFormat="1" ht="11.25" x14ac:dyDescent="0.2">
      <c r="A45" s="21">
        <v>22</v>
      </c>
      <c r="B45" s="1172"/>
      <c r="C45" s="1173"/>
      <c r="D45" s="1173"/>
      <c r="E45" s="1174"/>
      <c r="F45" s="845"/>
      <c r="G45" s="846"/>
      <c r="H45" s="847"/>
      <c r="I45" s="342"/>
      <c r="J45" s="183" t="str">
        <f t="shared" si="0"/>
        <v/>
      </c>
      <c r="K45" s="356" t="str">
        <f t="shared" si="5"/>
        <v/>
      </c>
      <c r="L45" s="575" t="str">
        <f t="shared" si="6"/>
        <v/>
      </c>
      <c r="M45" s="354" t="str">
        <f t="shared" si="7"/>
        <v/>
      </c>
      <c r="N45" s="161" t="str">
        <f t="shared" si="8"/>
        <v/>
      </c>
      <c r="O45" s="180" t="str">
        <f t="shared" si="9"/>
        <v/>
      </c>
      <c r="P45" s="27" t="str">
        <f t="shared" si="10"/>
        <v xml:space="preserve"> </v>
      </c>
      <c r="Q45" s="38" t="str">
        <f t="shared" si="11"/>
        <v/>
      </c>
      <c r="R45" s="38" t="str">
        <f t="shared" si="12"/>
        <v/>
      </c>
      <c r="T45" s="18" t="str">
        <f t="shared" si="13"/>
        <v/>
      </c>
      <c r="U45" s="18" t="str">
        <f t="shared" si="14"/>
        <v/>
      </c>
      <c r="V45" s="18" t="str">
        <f t="shared" si="15"/>
        <v/>
      </c>
    </row>
    <row r="46" spans="1:22" s="18" customFormat="1" ht="11.25" x14ac:dyDescent="0.2">
      <c r="A46" s="21">
        <v>22</v>
      </c>
      <c r="B46" s="1172"/>
      <c r="C46" s="1173"/>
      <c r="D46" s="1173"/>
      <c r="E46" s="1174"/>
      <c r="F46" s="845"/>
      <c r="G46" s="846"/>
      <c r="H46" s="847"/>
      <c r="I46" s="342"/>
      <c r="J46" s="183" t="str">
        <f t="shared" si="0"/>
        <v/>
      </c>
      <c r="K46" s="356" t="str">
        <f t="shared" si="5"/>
        <v/>
      </c>
      <c r="L46" s="575" t="str">
        <f t="shared" si="6"/>
        <v/>
      </c>
      <c r="M46" s="354" t="str">
        <f t="shared" si="7"/>
        <v/>
      </c>
      <c r="N46" s="161" t="str">
        <f t="shared" si="8"/>
        <v/>
      </c>
      <c r="O46" s="180" t="str">
        <f t="shared" si="9"/>
        <v/>
      </c>
      <c r="P46" s="27" t="str">
        <f t="shared" si="10"/>
        <v xml:space="preserve"> </v>
      </c>
      <c r="Q46" s="38" t="str">
        <f t="shared" si="11"/>
        <v/>
      </c>
      <c r="R46" s="38" t="str">
        <f t="shared" si="12"/>
        <v/>
      </c>
      <c r="T46" s="18" t="str">
        <f t="shared" si="13"/>
        <v/>
      </c>
      <c r="U46" s="18" t="str">
        <f t="shared" si="14"/>
        <v/>
      </c>
      <c r="V46" s="18" t="str">
        <f t="shared" si="15"/>
        <v/>
      </c>
    </row>
    <row r="47" spans="1:22" s="18" customFormat="1" ht="11.25" x14ac:dyDescent="0.2">
      <c r="A47" s="21">
        <v>22</v>
      </c>
      <c r="B47" s="1172"/>
      <c r="C47" s="1173"/>
      <c r="D47" s="1173"/>
      <c r="E47" s="1174"/>
      <c r="F47" s="845"/>
      <c r="G47" s="846"/>
      <c r="H47" s="847"/>
      <c r="I47" s="342"/>
      <c r="J47" s="183" t="str">
        <f t="shared" si="0"/>
        <v/>
      </c>
      <c r="K47" s="356" t="str">
        <f t="shared" si="5"/>
        <v/>
      </c>
      <c r="L47" s="575" t="str">
        <f t="shared" si="6"/>
        <v/>
      </c>
      <c r="M47" s="354" t="str">
        <f t="shared" si="7"/>
        <v/>
      </c>
      <c r="N47" s="161" t="str">
        <f t="shared" si="8"/>
        <v/>
      </c>
      <c r="O47" s="180" t="str">
        <f t="shared" si="9"/>
        <v/>
      </c>
      <c r="P47" s="27" t="str">
        <f t="shared" si="10"/>
        <v xml:space="preserve"> </v>
      </c>
      <c r="Q47" s="38" t="str">
        <f t="shared" si="11"/>
        <v/>
      </c>
      <c r="R47" s="38" t="str">
        <f t="shared" si="12"/>
        <v/>
      </c>
      <c r="T47" s="18" t="str">
        <f t="shared" si="13"/>
        <v/>
      </c>
      <c r="U47" s="18" t="str">
        <f t="shared" si="14"/>
        <v/>
      </c>
      <c r="V47" s="18" t="str">
        <f t="shared" si="15"/>
        <v/>
      </c>
    </row>
    <row r="48" spans="1:22" s="18" customFormat="1" x14ac:dyDescent="0.2">
      <c r="A48" s="21">
        <v>28</v>
      </c>
      <c r="B48" s="867" t="str">
        <f>IF(COUNTIF(P_species, "*/5*")&gt;0,'Table 1 Purpose rating'!O69&amp;'Table 1 Purpose rating'!O70&amp;'Table 1 Purpose rating'!O71,"")</f>
        <v/>
      </c>
      <c r="C48" s="868"/>
      <c r="D48" s="868"/>
      <c r="E48" s="869"/>
      <c r="F48" s="864" t="s">
        <v>22</v>
      </c>
      <c r="G48" s="865"/>
      <c r="H48" s="866"/>
      <c r="I48" s="162">
        <f>SUM(I33:I47)</f>
        <v>0</v>
      </c>
      <c r="J48" s="205"/>
      <c r="K48" s="163">
        <f>SUM(K33:K47)</f>
        <v>0</v>
      </c>
      <c r="L48" s="585">
        <f>G17</f>
        <v>0</v>
      </c>
      <c r="M48" s="163">
        <f>SUM(M33:M47)</f>
        <v>0</v>
      </c>
      <c r="N48" s="156"/>
      <c r="O48" s="112"/>
      <c r="P48" s="27">
        <f>SUM(P33:P47)</f>
        <v>0</v>
      </c>
      <c r="Q48" s="27">
        <f>SUM(Q33:Q47)</f>
        <v>0</v>
      </c>
      <c r="R48" s="27">
        <f>SUM(R33:R47)</f>
        <v>0</v>
      </c>
    </row>
    <row r="49" spans="1:18" s="18" customFormat="1" ht="15" customHeight="1" x14ac:dyDescent="0.2">
      <c r="A49" s="21"/>
      <c r="B49" s="870"/>
      <c r="C49" s="871"/>
      <c r="D49" s="871"/>
      <c r="E49" s="872"/>
      <c r="F49" s="111"/>
      <c r="G49" s="111"/>
      <c r="H49" s="154"/>
      <c r="I49" s="155"/>
      <c r="J49" s="153"/>
      <c r="K49" s="102"/>
      <c r="L49" s="103"/>
      <c r="M49" s="104"/>
      <c r="N49" s="142"/>
      <c r="P49" s="30"/>
      <c r="Q49" s="41"/>
      <c r="R49" s="41"/>
    </row>
    <row r="50" spans="1:18" s="18" customFormat="1" ht="18" customHeight="1" x14ac:dyDescent="0.25">
      <c r="A50" s="21"/>
      <c r="B50" s="145"/>
      <c r="C50" s="146"/>
      <c r="D50" s="146"/>
      <c r="E50" s="146"/>
      <c r="F50" s="149" t="s">
        <v>23</v>
      </c>
      <c r="G50" s="146"/>
      <c r="H50" s="146"/>
      <c r="I50" s="147"/>
      <c r="J50" s="147"/>
      <c r="K50" s="147"/>
      <c r="L50" s="148"/>
      <c r="M50" s="589">
        <f>IF(CC8&gt;0,CC8,"")</f>
        <v>4.05</v>
      </c>
      <c r="N50" s="586" t="str">
        <f>IF(CC8&gt;0,"1000 sqft. Units","")</f>
        <v>1000 sqft. Units</v>
      </c>
      <c r="P50" s="27"/>
      <c r="Q50" s="38"/>
      <c r="R50" s="38"/>
    </row>
    <row r="51" spans="1:18" s="18" customFormat="1" ht="11.65" customHeight="1" x14ac:dyDescent="0.2">
      <c r="A51" s="21"/>
      <c r="B51" s="131"/>
      <c r="I51" s="132"/>
      <c r="J51" s="878" t="s">
        <v>442</v>
      </c>
      <c r="L51" s="875" t="s">
        <v>424</v>
      </c>
      <c r="M51" s="133"/>
      <c r="N51" s="134"/>
      <c r="O51" s="135"/>
      <c r="P51" s="27"/>
      <c r="Q51" s="38"/>
      <c r="R51" s="38"/>
    </row>
    <row r="52" spans="1:18" s="18" customFormat="1" ht="11.65" customHeight="1" x14ac:dyDescent="0.2">
      <c r="A52" s="21"/>
      <c r="B52" s="131"/>
      <c r="I52" s="132"/>
      <c r="J52" s="879"/>
      <c r="L52" s="876"/>
      <c r="M52" s="135"/>
      <c r="N52" s="344" t="s">
        <v>516</v>
      </c>
      <c r="O52" s="135"/>
      <c r="P52" s="27"/>
      <c r="Q52" s="38"/>
      <c r="R52" s="38"/>
    </row>
    <row r="53" spans="1:18" s="18" customFormat="1" ht="11.65" customHeight="1" x14ac:dyDescent="0.2">
      <c r="A53" s="21"/>
      <c r="B53" s="131"/>
      <c r="I53" s="136"/>
      <c r="J53" s="880"/>
      <c r="L53" s="877"/>
      <c r="M53" s="135"/>
      <c r="N53" s="344" t="s">
        <v>517</v>
      </c>
      <c r="O53" s="135"/>
      <c r="P53" s="27"/>
      <c r="Q53" s="38"/>
      <c r="R53" s="38"/>
    </row>
    <row r="54" spans="1:18" s="18" customFormat="1" ht="11.65" customHeight="1" x14ac:dyDescent="0.2">
      <c r="A54" s="21"/>
      <c r="B54" s="137"/>
      <c r="C54" s="138"/>
      <c r="D54" s="138"/>
      <c r="E54" s="138"/>
      <c r="F54" s="138"/>
      <c r="G54" s="138"/>
      <c r="H54" s="138"/>
      <c r="I54" s="139"/>
      <c r="J54" s="355"/>
      <c r="L54" s="587"/>
      <c r="M54" s="140"/>
      <c r="N54" s="345"/>
      <c r="O54" s="135"/>
      <c r="P54" s="27"/>
      <c r="Q54" s="38"/>
      <c r="R54" s="38"/>
    </row>
    <row r="55" spans="1:18" s="18" customFormat="1" ht="46.5" x14ac:dyDescent="0.2">
      <c r="A55" s="21"/>
      <c r="B55" s="861" t="s">
        <v>15</v>
      </c>
      <c r="C55" s="862"/>
      <c r="D55" s="862"/>
      <c r="E55" s="863"/>
      <c r="F55" s="903" t="s">
        <v>300</v>
      </c>
      <c r="G55" s="904"/>
      <c r="H55" s="199" t="s">
        <v>500</v>
      </c>
      <c r="I55" s="164" t="s">
        <v>299</v>
      </c>
      <c r="J55" s="157" t="s">
        <v>462</v>
      </c>
      <c r="K55" s="181" t="s">
        <v>421</v>
      </c>
      <c r="L55" s="182" t="s">
        <v>425</v>
      </c>
      <c r="M55" s="200" t="s">
        <v>420</v>
      </c>
      <c r="N55" s="199" t="s">
        <v>423</v>
      </c>
      <c r="P55" s="168"/>
      <c r="Q55" s="27"/>
      <c r="R55" s="38"/>
    </row>
    <row r="56" spans="1:18" s="18" customFormat="1" ht="11.25" x14ac:dyDescent="0.2">
      <c r="A56" s="21"/>
      <c r="B56" s="1172"/>
      <c r="C56" s="1173"/>
      <c r="D56" s="1173"/>
      <c r="E56" s="1174"/>
      <c r="F56" s="881"/>
      <c r="G56" s="882"/>
      <c r="H56" s="204"/>
      <c r="I56" s="336"/>
      <c r="J56" s="337"/>
      <c r="K56" s="163">
        <f>IFERROR(IF(OR(I56="",I56&gt;=0.85),IF(J56&gt;0,$J56*H56,$J$54*H56),IF(J56&gt;0,$J56*H56*I56,$J$54*H56*I56)),"")</f>
        <v>0</v>
      </c>
      <c r="L56" s="205" t="str">
        <f t="shared" ref="L56:L70" si="16">IFERROR(IF(OR(B56="",B56=0),"",L$54),"")</f>
        <v/>
      </c>
      <c r="M56" s="163" t="str">
        <f t="shared" ref="M56:M70" si="17">IFERROR(IF(OR(B56="",B56=0),"",K56/L56),"")</f>
        <v/>
      </c>
      <c r="N56" s="165" t="str">
        <f t="shared" ref="N56:N70" si="18">IFERROR(IF($N$54="","",IF(B56="","",M56/IF(OR(COUNTIF(B56, "*Rye, Cereal*"),COUNTIF(B56, "*Triticale*"),COUNTIF(B56, "*Wheat, Winter*")),VLOOKUP(B56,SpeciesTable,2,FALSE),IF(L$16="Broadcast",VLOOKUP(B56,SpeciesTable,2,FALSE)*1.5,VLOOKUP(B56,SpeciesTable,2,FALSE))))),"")</f>
        <v/>
      </c>
      <c r="P56" s="169"/>
      <c r="Q56" s="27"/>
      <c r="R56" s="38"/>
    </row>
    <row r="57" spans="1:18" s="18" customFormat="1" ht="12.75" customHeight="1" x14ac:dyDescent="0.2">
      <c r="A57" s="21"/>
      <c r="B57" s="1172"/>
      <c r="C57" s="1173"/>
      <c r="D57" s="1173"/>
      <c r="E57" s="1174"/>
      <c r="F57" s="881"/>
      <c r="G57" s="882"/>
      <c r="H57" s="204"/>
      <c r="I57" s="336"/>
      <c r="J57" s="337"/>
      <c r="K57" s="163">
        <f t="shared" ref="K57:K70" si="19">IFERROR(IF(OR(I57="",I57&gt;=0.85),IF(J57&gt;0,$J57*H57,$J$54*H57),IF(J57&gt;0,$J57*H57*I57,$J$54*H57*I57)),"")</f>
        <v>0</v>
      </c>
      <c r="L57" s="205" t="str">
        <f t="shared" si="16"/>
        <v/>
      </c>
      <c r="M57" s="163" t="str">
        <f t="shared" si="17"/>
        <v/>
      </c>
      <c r="N57" s="165" t="str">
        <f t="shared" si="18"/>
        <v/>
      </c>
      <c r="P57" s="169"/>
      <c r="Q57" s="27"/>
      <c r="R57" s="38"/>
    </row>
    <row r="58" spans="1:18" s="18" customFormat="1" ht="11.25" customHeight="1" x14ac:dyDescent="0.2">
      <c r="A58" s="21"/>
      <c r="B58" s="1172"/>
      <c r="C58" s="1173"/>
      <c r="D58" s="1173"/>
      <c r="E58" s="1174"/>
      <c r="F58" s="881"/>
      <c r="G58" s="882"/>
      <c r="H58" s="204"/>
      <c r="I58" s="336"/>
      <c r="J58" s="337"/>
      <c r="K58" s="163">
        <f t="shared" si="19"/>
        <v>0</v>
      </c>
      <c r="L58" s="205" t="str">
        <f t="shared" si="16"/>
        <v/>
      </c>
      <c r="M58" s="163" t="str">
        <f t="shared" si="17"/>
        <v/>
      </c>
      <c r="N58" s="165" t="str">
        <f t="shared" si="18"/>
        <v/>
      </c>
      <c r="P58" s="169"/>
      <c r="Q58" s="27"/>
      <c r="R58" s="38"/>
    </row>
    <row r="59" spans="1:18" s="18" customFormat="1" ht="11.25" customHeight="1" x14ac:dyDescent="0.2">
      <c r="A59" s="21"/>
      <c r="B59" s="1172"/>
      <c r="C59" s="1173"/>
      <c r="D59" s="1173"/>
      <c r="E59" s="1174"/>
      <c r="F59" s="881"/>
      <c r="G59" s="882"/>
      <c r="H59" s="204"/>
      <c r="I59" s="336"/>
      <c r="J59" s="337"/>
      <c r="K59" s="163">
        <f t="shared" si="19"/>
        <v>0</v>
      </c>
      <c r="L59" s="205" t="str">
        <f t="shared" si="16"/>
        <v/>
      </c>
      <c r="M59" s="163" t="str">
        <f t="shared" si="17"/>
        <v/>
      </c>
      <c r="N59" s="165" t="str">
        <f t="shared" si="18"/>
        <v/>
      </c>
      <c r="P59" s="169"/>
      <c r="Q59" s="27"/>
      <c r="R59" s="38"/>
    </row>
    <row r="60" spans="1:18" s="18" customFormat="1" ht="11.25" x14ac:dyDescent="0.2">
      <c r="A60" s="21"/>
      <c r="B60" s="1172"/>
      <c r="C60" s="1173"/>
      <c r="D60" s="1173"/>
      <c r="E60" s="1174"/>
      <c r="F60" s="881"/>
      <c r="G60" s="882"/>
      <c r="H60" s="204"/>
      <c r="I60" s="336"/>
      <c r="J60" s="337"/>
      <c r="K60" s="163">
        <f t="shared" si="19"/>
        <v>0</v>
      </c>
      <c r="L60" s="205" t="str">
        <f t="shared" si="16"/>
        <v/>
      </c>
      <c r="M60" s="163" t="str">
        <f t="shared" si="17"/>
        <v/>
      </c>
      <c r="N60" s="165" t="str">
        <f t="shared" si="18"/>
        <v/>
      </c>
      <c r="P60" s="169"/>
      <c r="Q60" s="27"/>
      <c r="R60" s="38"/>
    </row>
    <row r="61" spans="1:18" s="18" customFormat="1" ht="11.25" x14ac:dyDescent="0.2">
      <c r="A61" s="21"/>
      <c r="B61" s="1172"/>
      <c r="C61" s="1173"/>
      <c r="D61" s="1173"/>
      <c r="E61" s="1174"/>
      <c r="F61" s="881"/>
      <c r="G61" s="882"/>
      <c r="H61" s="204"/>
      <c r="I61" s="336"/>
      <c r="J61" s="337"/>
      <c r="K61" s="163">
        <f t="shared" si="19"/>
        <v>0</v>
      </c>
      <c r="L61" s="205" t="str">
        <f t="shared" si="16"/>
        <v/>
      </c>
      <c r="M61" s="163" t="str">
        <f t="shared" si="17"/>
        <v/>
      </c>
      <c r="N61" s="165" t="str">
        <f t="shared" si="18"/>
        <v/>
      </c>
      <c r="P61" s="169"/>
      <c r="Q61" s="27"/>
      <c r="R61" s="38"/>
    </row>
    <row r="62" spans="1:18" s="18" customFormat="1" ht="11.25" customHeight="1" x14ac:dyDescent="0.2">
      <c r="A62" s="21"/>
      <c r="B62" s="1172"/>
      <c r="C62" s="1173"/>
      <c r="D62" s="1173"/>
      <c r="E62" s="1174"/>
      <c r="F62" s="881"/>
      <c r="G62" s="882"/>
      <c r="H62" s="204"/>
      <c r="I62" s="336"/>
      <c r="J62" s="337"/>
      <c r="K62" s="163">
        <f t="shared" si="19"/>
        <v>0</v>
      </c>
      <c r="L62" s="205" t="str">
        <f t="shared" si="16"/>
        <v/>
      </c>
      <c r="M62" s="163" t="str">
        <f t="shared" si="17"/>
        <v/>
      </c>
      <c r="N62" s="165" t="str">
        <f t="shared" si="18"/>
        <v/>
      </c>
      <c r="P62" s="169"/>
      <c r="Q62" s="27"/>
      <c r="R62" s="38"/>
    </row>
    <row r="63" spans="1:18" s="18" customFormat="1" ht="12.75" customHeight="1" x14ac:dyDescent="0.2">
      <c r="A63" s="21"/>
      <c r="B63" s="1172"/>
      <c r="C63" s="1173"/>
      <c r="D63" s="1173"/>
      <c r="E63" s="1174"/>
      <c r="F63" s="881"/>
      <c r="G63" s="882"/>
      <c r="H63" s="204"/>
      <c r="I63" s="336"/>
      <c r="J63" s="337"/>
      <c r="K63" s="163">
        <f t="shared" si="19"/>
        <v>0</v>
      </c>
      <c r="L63" s="205" t="str">
        <f t="shared" si="16"/>
        <v/>
      </c>
      <c r="M63" s="163" t="str">
        <f t="shared" si="17"/>
        <v/>
      </c>
      <c r="N63" s="165" t="str">
        <f t="shared" si="18"/>
        <v/>
      </c>
      <c r="P63" s="169"/>
      <c r="Q63" s="27"/>
      <c r="R63" s="38"/>
    </row>
    <row r="64" spans="1:18" s="18" customFormat="1" ht="11.25" x14ac:dyDescent="0.2">
      <c r="A64" s="21"/>
      <c r="B64" s="1172"/>
      <c r="C64" s="1173"/>
      <c r="D64" s="1173"/>
      <c r="E64" s="1174"/>
      <c r="F64" s="881"/>
      <c r="G64" s="882"/>
      <c r="H64" s="204"/>
      <c r="I64" s="336"/>
      <c r="J64" s="337"/>
      <c r="K64" s="163">
        <f t="shared" si="19"/>
        <v>0</v>
      </c>
      <c r="L64" s="205" t="str">
        <f t="shared" si="16"/>
        <v/>
      </c>
      <c r="M64" s="163" t="str">
        <f t="shared" si="17"/>
        <v/>
      </c>
      <c r="N64" s="165" t="str">
        <f t="shared" si="18"/>
        <v/>
      </c>
      <c r="P64" s="169"/>
      <c r="Q64" s="27"/>
      <c r="R64" s="38"/>
    </row>
    <row r="65" spans="1:18" s="18" customFormat="1" ht="11.25" x14ac:dyDescent="0.2">
      <c r="A65" s="21"/>
      <c r="B65" s="1172"/>
      <c r="C65" s="1173"/>
      <c r="D65" s="1173"/>
      <c r="E65" s="1174"/>
      <c r="F65" s="881"/>
      <c r="G65" s="882"/>
      <c r="H65" s="204"/>
      <c r="I65" s="336"/>
      <c r="J65" s="337"/>
      <c r="K65" s="163">
        <f t="shared" si="19"/>
        <v>0</v>
      </c>
      <c r="L65" s="205" t="str">
        <f t="shared" si="16"/>
        <v/>
      </c>
      <c r="M65" s="163" t="str">
        <f t="shared" si="17"/>
        <v/>
      </c>
      <c r="N65" s="165" t="str">
        <f t="shared" si="18"/>
        <v/>
      </c>
      <c r="P65" s="169"/>
      <c r="Q65" s="27"/>
      <c r="R65" s="38"/>
    </row>
    <row r="66" spans="1:18" s="18" customFormat="1" ht="11.25" x14ac:dyDescent="0.2">
      <c r="A66" s="21"/>
      <c r="B66" s="1172"/>
      <c r="C66" s="1173"/>
      <c r="D66" s="1173"/>
      <c r="E66" s="1174"/>
      <c r="F66" s="881"/>
      <c r="G66" s="882"/>
      <c r="H66" s="204"/>
      <c r="I66" s="336"/>
      <c r="J66" s="337"/>
      <c r="K66" s="163">
        <f t="shared" si="19"/>
        <v>0</v>
      </c>
      <c r="L66" s="205" t="str">
        <f t="shared" si="16"/>
        <v/>
      </c>
      <c r="M66" s="163" t="str">
        <f t="shared" si="17"/>
        <v/>
      </c>
      <c r="N66" s="165" t="str">
        <f t="shared" si="18"/>
        <v/>
      </c>
      <c r="P66" s="169"/>
      <c r="Q66" s="27"/>
      <c r="R66" s="38"/>
    </row>
    <row r="67" spans="1:18" s="18" customFormat="1" ht="11.25" x14ac:dyDescent="0.2">
      <c r="A67" s="21"/>
      <c r="B67" s="1172"/>
      <c r="C67" s="1173"/>
      <c r="D67" s="1173"/>
      <c r="E67" s="1174"/>
      <c r="F67" s="881"/>
      <c r="G67" s="882"/>
      <c r="H67" s="204"/>
      <c r="I67" s="336"/>
      <c r="J67" s="337"/>
      <c r="K67" s="163">
        <f t="shared" si="19"/>
        <v>0</v>
      </c>
      <c r="L67" s="205" t="str">
        <f t="shared" si="16"/>
        <v/>
      </c>
      <c r="M67" s="163" t="str">
        <f t="shared" si="17"/>
        <v/>
      </c>
      <c r="N67" s="165" t="str">
        <f t="shared" si="18"/>
        <v/>
      </c>
      <c r="P67" s="169"/>
      <c r="Q67" s="27"/>
      <c r="R67" s="38"/>
    </row>
    <row r="68" spans="1:18" s="18" customFormat="1" ht="11.25" x14ac:dyDescent="0.2">
      <c r="A68" s="21"/>
      <c r="B68" s="1172"/>
      <c r="C68" s="1173"/>
      <c r="D68" s="1173"/>
      <c r="E68" s="1174"/>
      <c r="F68" s="881"/>
      <c r="G68" s="882"/>
      <c r="H68" s="204"/>
      <c r="I68" s="336"/>
      <c r="J68" s="337"/>
      <c r="K68" s="163">
        <f t="shared" si="19"/>
        <v>0</v>
      </c>
      <c r="L68" s="205" t="str">
        <f t="shared" si="16"/>
        <v/>
      </c>
      <c r="M68" s="163" t="str">
        <f t="shared" si="17"/>
        <v/>
      </c>
      <c r="N68" s="165" t="str">
        <f t="shared" si="18"/>
        <v/>
      </c>
      <c r="P68" s="169"/>
      <c r="Q68" s="27"/>
      <c r="R68" s="38"/>
    </row>
    <row r="69" spans="1:18" s="18" customFormat="1" ht="11.25" x14ac:dyDescent="0.2">
      <c r="A69" s="21"/>
      <c r="B69" s="1172"/>
      <c r="C69" s="1173"/>
      <c r="D69" s="1173"/>
      <c r="E69" s="1174"/>
      <c r="F69" s="881"/>
      <c r="G69" s="882"/>
      <c r="H69" s="204"/>
      <c r="I69" s="336"/>
      <c r="J69" s="337"/>
      <c r="K69" s="163">
        <f t="shared" si="19"/>
        <v>0</v>
      </c>
      <c r="L69" s="205" t="str">
        <f t="shared" si="16"/>
        <v/>
      </c>
      <c r="M69" s="163" t="str">
        <f t="shared" si="17"/>
        <v/>
      </c>
      <c r="N69" s="165" t="str">
        <f t="shared" si="18"/>
        <v/>
      </c>
      <c r="P69" s="169"/>
      <c r="Q69" s="27"/>
      <c r="R69" s="38"/>
    </row>
    <row r="70" spans="1:18" s="18" customFormat="1" ht="11.25" x14ac:dyDescent="0.2">
      <c r="A70" s="21"/>
      <c r="B70" s="1172"/>
      <c r="C70" s="1173"/>
      <c r="D70" s="1173"/>
      <c r="E70" s="1174"/>
      <c r="F70" s="881"/>
      <c r="G70" s="882"/>
      <c r="H70" s="204"/>
      <c r="I70" s="336"/>
      <c r="J70" s="337"/>
      <c r="K70" s="163">
        <f t="shared" si="19"/>
        <v>0</v>
      </c>
      <c r="L70" s="205" t="str">
        <f t="shared" si="16"/>
        <v/>
      </c>
      <c r="M70" s="163" t="str">
        <f t="shared" si="17"/>
        <v/>
      </c>
      <c r="N70" s="165" t="str">
        <f t="shared" si="18"/>
        <v/>
      </c>
      <c r="P70" s="169"/>
      <c r="Q70" s="27"/>
      <c r="R70" s="38"/>
    </row>
    <row r="71" spans="1:18" s="18" customFormat="1" ht="14.25" customHeight="1" x14ac:dyDescent="0.2">
      <c r="E71" s="76"/>
      <c r="F71" s="224"/>
      <c r="G71" s="224" t="s">
        <v>434</v>
      </c>
      <c r="H71" s="225">
        <f>SUMIFS(H56:H70,J56:J70,"")</f>
        <v>0</v>
      </c>
      <c r="I71" s="112" t="s">
        <v>422</v>
      </c>
      <c r="J71" s="226">
        <f>SUM(J56:J70)+A_Bulk</f>
        <v>0</v>
      </c>
      <c r="K71" s="226">
        <f>SUM(K56:K70)</f>
        <v>0</v>
      </c>
      <c r="L71" s="226">
        <f>L54</f>
        <v>0</v>
      </c>
      <c r="M71" s="226">
        <f t="shared" ref="M71:N71" si="20">SUM(M56:M70)</f>
        <v>0</v>
      </c>
      <c r="N71" s="225">
        <f t="shared" si="20"/>
        <v>0</v>
      </c>
      <c r="O71" s="170"/>
      <c r="P71" s="27"/>
      <c r="Q71" s="38"/>
      <c r="R71" s="38"/>
    </row>
    <row r="72" spans="1:18" s="18" customFormat="1" ht="12.75" customHeight="1" x14ac:dyDescent="0.2">
      <c r="B72" s="227"/>
      <c r="C72" s="227"/>
      <c r="N72" s="153"/>
      <c r="O72" s="170"/>
      <c r="P72" s="31"/>
      <c r="Q72" s="42"/>
      <c r="R72" s="42"/>
    </row>
    <row r="73" spans="1:18" s="18" customFormat="1" ht="12.75" customHeight="1" x14ac:dyDescent="0.2">
      <c r="B73" s="76" t="s">
        <v>443</v>
      </c>
      <c r="E73" s="76"/>
      <c r="F73" s="76"/>
      <c r="G73" s="112"/>
      <c r="H73" s="112"/>
      <c r="J73" s="76"/>
      <c r="K73" s="905"/>
      <c r="L73" s="906"/>
      <c r="M73" s="906"/>
      <c r="N73" s="228"/>
      <c r="O73" s="170"/>
      <c r="P73" s="32"/>
      <c r="Q73" s="43"/>
      <c r="R73" s="43"/>
    </row>
    <row r="74" spans="1:18" s="18" customFormat="1" x14ac:dyDescent="0.2">
      <c r="B74" s="76" t="s">
        <v>444</v>
      </c>
      <c r="C74" s="907"/>
      <c r="D74" s="908"/>
      <c r="E74" s="908"/>
      <c r="F74" s="908"/>
      <c r="G74" s="908"/>
      <c r="H74" s="908"/>
      <c r="I74" s="203"/>
      <c r="K74" s="76"/>
      <c r="L74" s="76" t="s">
        <v>303</v>
      </c>
      <c r="M74" s="196"/>
      <c r="N74" s="196"/>
      <c r="O74" s="170"/>
      <c r="P74" s="27"/>
      <c r="Q74" s="38"/>
      <c r="R74" s="38"/>
    </row>
    <row r="75" spans="1:18" s="18" customFormat="1" ht="13.5" customHeight="1" x14ac:dyDescent="0.2">
      <c r="D75" s="76"/>
      <c r="E75" s="229"/>
      <c r="F75" s="112" t="s">
        <v>305</v>
      </c>
      <c r="G75" s="112"/>
      <c r="I75" s="18" t="s">
        <v>304</v>
      </c>
      <c r="K75" s="76"/>
      <c r="L75" s="76" t="s">
        <v>448</v>
      </c>
      <c r="M75" s="112" t="s">
        <v>25</v>
      </c>
      <c r="N75" s="112" t="s">
        <v>26</v>
      </c>
      <c r="O75" s="170"/>
      <c r="P75" s="27"/>
      <c r="Q75" s="38"/>
      <c r="R75" s="38"/>
    </row>
    <row r="76" spans="1:18" s="18" customFormat="1" ht="11.25" x14ac:dyDescent="0.2">
      <c r="D76" s="76"/>
      <c r="E76" s="76"/>
      <c r="F76" s="112"/>
      <c r="G76" s="112"/>
      <c r="J76" s="873" t="s">
        <v>490</v>
      </c>
      <c r="M76" s="230" t="b">
        <v>0</v>
      </c>
      <c r="N76" s="230" t="b">
        <v>0</v>
      </c>
      <c r="O76" s="170"/>
      <c r="P76" s="27"/>
      <c r="Q76" s="38"/>
      <c r="R76" s="38"/>
    </row>
    <row r="77" spans="1:18" s="18" customFormat="1" x14ac:dyDescent="0.2">
      <c r="B77" s="18" t="s">
        <v>27</v>
      </c>
      <c r="C77" s="907"/>
      <c r="D77" s="908"/>
      <c r="E77" s="908"/>
      <c r="F77" s="908"/>
      <c r="G77" s="908"/>
      <c r="H77" s="908"/>
      <c r="I77" s="203"/>
      <c r="J77" s="874"/>
      <c r="K77" s="901" t="s">
        <v>497</v>
      </c>
      <c r="L77" s="902"/>
      <c r="M77" s="902"/>
      <c r="N77" s="902"/>
      <c r="O77" s="170"/>
    </row>
    <row r="78" spans="1:18" s="18" customFormat="1" ht="13.5" customHeight="1" x14ac:dyDescent="0.2">
      <c r="E78" s="229"/>
      <c r="F78" s="112" t="s">
        <v>305</v>
      </c>
      <c r="G78" s="112"/>
      <c r="I78" s="18" t="s">
        <v>304</v>
      </c>
      <c r="K78" s="898"/>
      <c r="L78" s="899"/>
      <c r="M78" s="899"/>
      <c r="N78" s="900"/>
      <c r="O78" s="170"/>
      <c r="P78" s="31"/>
      <c r="Q78" s="42"/>
      <c r="R78" s="42"/>
    </row>
    <row r="79" spans="1:18" s="18" customFormat="1" ht="13.5" customHeight="1" x14ac:dyDescent="0.35">
      <c r="C79" s="893" t="str">
        <f>IF(OR(J7="Reduce sheet, rill, and wind erosion",J7="Maintain or increase soil organic matter")," Check if SD Efficiency Evaluation was used","")</f>
        <v/>
      </c>
      <c r="D79" s="894"/>
      <c r="E79" s="894"/>
      <c r="F79" s="894"/>
      <c r="G79" s="894"/>
      <c r="H79" s="894"/>
      <c r="I79" s="894"/>
      <c r="K79" s="136" t="str">
        <f>IFERROR(VLOOKUP(K78,DATA!AG2:AI7,3,FALSE),"")</f>
        <v/>
      </c>
      <c r="L79" s="340"/>
      <c r="M79" s="339" t="str">
        <f>IFERROR(VLOOKUP(K78,DATA!AG2:AH7,2),"")</f>
        <v/>
      </c>
      <c r="N79" s="338"/>
      <c r="O79" s="170"/>
      <c r="P79" s="32"/>
      <c r="Q79" s="43"/>
      <c r="R79" s="43"/>
    </row>
    <row r="80" spans="1:18" s="18" customFormat="1" ht="15" customHeight="1" x14ac:dyDescent="0.2">
      <c r="C80" s="76"/>
      <c r="E80" s="22"/>
      <c r="F80" s="22"/>
      <c r="H80" s="112"/>
      <c r="K80" s="392"/>
      <c r="L80" s="393"/>
      <c r="M80" s="394"/>
      <c r="N80" s="136"/>
      <c r="O80" s="170"/>
      <c r="P80" s="31"/>
      <c r="Q80" s="42"/>
      <c r="R80" s="42"/>
    </row>
    <row r="81" spans="2:14" s="18" customFormat="1" ht="11.25" x14ac:dyDescent="0.2">
      <c r="B81" s="198" t="s">
        <v>453</v>
      </c>
      <c r="C81" s="783"/>
      <c r="D81" s="784"/>
      <c r="E81" s="784"/>
      <c r="F81" s="784"/>
      <c r="G81" s="784"/>
      <c r="H81" s="784"/>
      <c r="I81" s="784"/>
      <c r="J81" s="784"/>
      <c r="K81" s="784"/>
      <c r="L81" s="784"/>
      <c r="M81" s="784"/>
      <c r="N81" s="785"/>
    </row>
    <row r="82" spans="2:14" s="18" customFormat="1" ht="11.25" x14ac:dyDescent="0.2">
      <c r="B82" s="197"/>
      <c r="C82" s="786"/>
      <c r="D82" s="787"/>
      <c r="E82" s="787"/>
      <c r="F82" s="787"/>
      <c r="G82" s="787"/>
      <c r="H82" s="787"/>
      <c r="I82" s="787"/>
      <c r="J82" s="787"/>
      <c r="K82" s="787"/>
      <c r="L82" s="787"/>
      <c r="M82" s="787"/>
      <c r="N82" s="788"/>
    </row>
    <row r="83" spans="2:14" x14ac:dyDescent="0.2">
      <c r="B83" s="142"/>
      <c r="C83" s="789"/>
      <c r="D83" s="790"/>
      <c r="E83" s="790"/>
      <c r="F83" s="790"/>
      <c r="G83" s="790"/>
      <c r="H83" s="790"/>
      <c r="I83" s="790"/>
      <c r="J83" s="790"/>
      <c r="K83" s="790"/>
      <c r="L83" s="790"/>
      <c r="M83" s="790"/>
      <c r="N83" s="791"/>
    </row>
  </sheetData>
  <sheetProtection algorithmName="SHA-512" hashValue="jhDfIt7kktCff+PqLtUNoX8NvIDtYrd8Lip2sALGiFDpmF0Ctk7y/Dd+dG9lNdfOb5d6cbQYVZqOfg9rU5vs3w==" saltValue="N62laexpNZxdnus1VLNVgg==" spinCount="100000" sheet="1" scenarios="1" formatCells="0" formatColumns="0" formatRows="0" sort="0" autoFilter="0"/>
  <mergeCells count="133">
    <mergeCell ref="J7:N8"/>
    <mergeCell ref="E10:F10"/>
    <mergeCell ref="C1:L1"/>
    <mergeCell ref="B11:F11"/>
    <mergeCell ref="J5:N5"/>
    <mergeCell ref="M3:N3"/>
    <mergeCell ref="C79:I79"/>
    <mergeCell ref="D13:F13"/>
    <mergeCell ref="E9:F9"/>
    <mergeCell ref="J3:K3"/>
    <mergeCell ref="K78:N78"/>
    <mergeCell ref="K77:N77"/>
    <mergeCell ref="F65:G65"/>
    <mergeCell ref="F66:G66"/>
    <mergeCell ref="F67:G67"/>
    <mergeCell ref="F68:G68"/>
    <mergeCell ref="F69:G69"/>
    <mergeCell ref="F70:G70"/>
    <mergeCell ref="F55:G55"/>
    <mergeCell ref="F63:G63"/>
    <mergeCell ref="F64:G64"/>
    <mergeCell ref="K73:M73"/>
    <mergeCell ref="C77:H77"/>
    <mergeCell ref="C74:H74"/>
    <mergeCell ref="B68:E68"/>
    <mergeCell ref="B69:E69"/>
    <mergeCell ref="B70:E70"/>
    <mergeCell ref="B62:E62"/>
    <mergeCell ref="B63:E63"/>
    <mergeCell ref="B64:E64"/>
    <mergeCell ref="J76:J77"/>
    <mergeCell ref="L51:L53"/>
    <mergeCell ref="J51:J53"/>
    <mergeCell ref="F56:G56"/>
    <mergeCell ref="F57:G57"/>
    <mergeCell ref="F58:G58"/>
    <mergeCell ref="F59:G59"/>
    <mergeCell ref="F60:G60"/>
    <mergeCell ref="F61:G61"/>
    <mergeCell ref="F62:G62"/>
    <mergeCell ref="B67:E67"/>
    <mergeCell ref="B65:E65"/>
    <mergeCell ref="B66:E66"/>
    <mergeCell ref="B59:E59"/>
    <mergeCell ref="B60:E60"/>
    <mergeCell ref="B61:E61"/>
    <mergeCell ref="B56:E56"/>
    <mergeCell ref="B57:E57"/>
    <mergeCell ref="B58:E58"/>
    <mergeCell ref="B55:E55"/>
    <mergeCell ref="K30:K32"/>
    <mergeCell ref="F48:H48"/>
    <mergeCell ref="B48:E49"/>
    <mergeCell ref="B39:E39"/>
    <mergeCell ref="F39:H39"/>
    <mergeCell ref="B40:E40"/>
    <mergeCell ref="F40:H40"/>
    <mergeCell ref="B42:E42"/>
    <mergeCell ref="F41:H41"/>
    <mergeCell ref="F42:H42"/>
    <mergeCell ref="B43:E43"/>
    <mergeCell ref="F43:H43"/>
    <mergeCell ref="B44:E44"/>
    <mergeCell ref="F44:H44"/>
    <mergeCell ref="B37:E37"/>
    <mergeCell ref="F37:H37"/>
    <mergeCell ref="F46:H46"/>
    <mergeCell ref="B47:E47"/>
    <mergeCell ref="F47:H47"/>
    <mergeCell ref="B45:E45"/>
    <mergeCell ref="F45:H45"/>
    <mergeCell ref="B46:E46"/>
    <mergeCell ref="B38:E38"/>
    <mergeCell ref="F38:H38"/>
    <mergeCell ref="B21:D21"/>
    <mergeCell ref="G21:K21"/>
    <mergeCell ref="L21:N21"/>
    <mergeCell ref="B24:F25"/>
    <mergeCell ref="J24:N27"/>
    <mergeCell ref="B26:F27"/>
    <mergeCell ref="G24:I25"/>
    <mergeCell ref="G26:I27"/>
    <mergeCell ref="B22:G22"/>
    <mergeCell ref="N30:N32"/>
    <mergeCell ref="B33:E33"/>
    <mergeCell ref="F33:H33"/>
    <mergeCell ref="B34:E34"/>
    <mergeCell ref="F34:H34"/>
    <mergeCell ref="B35:E35"/>
    <mergeCell ref="L30:L32"/>
    <mergeCell ref="B36:E36"/>
    <mergeCell ref="F36:H36"/>
    <mergeCell ref="F35:H35"/>
    <mergeCell ref="F30:H32"/>
    <mergeCell ref="J30:J32"/>
    <mergeCell ref="G23:I23"/>
    <mergeCell ref="I30:I32"/>
    <mergeCell ref="J23:N23"/>
    <mergeCell ref="B23:F23"/>
    <mergeCell ref="L19:N19"/>
    <mergeCell ref="G19:K19"/>
    <mergeCell ref="B15:E15"/>
    <mergeCell ref="G15:K15"/>
    <mergeCell ref="L15:N15"/>
    <mergeCell ref="B16:D16"/>
    <mergeCell ref="G16:K16"/>
    <mergeCell ref="L16:N16"/>
    <mergeCell ref="B19:F19"/>
    <mergeCell ref="G17:I17"/>
    <mergeCell ref="B41:E41"/>
    <mergeCell ref="C7:F7"/>
    <mergeCell ref="G13:K13"/>
    <mergeCell ref="L13:N13"/>
    <mergeCell ref="C81:N83"/>
    <mergeCell ref="C3:F3"/>
    <mergeCell ref="G3:I3"/>
    <mergeCell ref="C5:F5"/>
    <mergeCell ref="G7:I7"/>
    <mergeCell ref="H10:I11"/>
    <mergeCell ref="J10:N11"/>
    <mergeCell ref="B14:D14"/>
    <mergeCell ref="G14:K14"/>
    <mergeCell ref="L14:N14"/>
    <mergeCell ref="M30:M32"/>
    <mergeCell ref="B30:E31"/>
    <mergeCell ref="L17:N17"/>
    <mergeCell ref="B18:F18"/>
    <mergeCell ref="G18:K18"/>
    <mergeCell ref="L18:N18"/>
    <mergeCell ref="B20:F20"/>
    <mergeCell ref="G20:K20"/>
    <mergeCell ref="L20:N20"/>
    <mergeCell ref="B29:E29"/>
  </mergeCells>
  <phoneticPr fontId="23" type="noConversion"/>
  <conditionalFormatting sqref="K17:N17">
    <cfRule type="expression" dxfId="17" priority="4">
      <formula>IF($CA$8&gt;0,TRUE,FALSE)</formula>
    </cfRule>
  </conditionalFormatting>
  <conditionalFormatting sqref="L33:L48">
    <cfRule type="expression" dxfId="16" priority="3">
      <formula>IF($CA$4&gt;0,TRUE,FALSE)</formula>
    </cfRule>
  </conditionalFormatting>
  <conditionalFormatting sqref="L56:L71 L54">
    <cfRule type="expression" dxfId="15" priority="2">
      <formula>IF($CA$8&gt;0,TRUE,FALSE)</formula>
    </cfRule>
  </conditionalFormatting>
  <conditionalFormatting sqref="G17:I17">
    <cfRule type="expression" dxfId="14" priority="1">
      <formula>IF($CA$4&gt;0,TRUE,FALSE)</formula>
    </cfRule>
  </conditionalFormatting>
  <dataValidations count="4">
    <dataValidation type="list" allowBlank="1" showInputMessage="1" showErrorMessage="1" sqref="G28:I28" xr:uid="{84C1AFCE-2912-4648-A734-FC23F18BE17C}">
      <formula1>Termination</formula1>
    </dataValidation>
    <dataValidation type="list" allowBlank="1" showInputMessage="1" showErrorMessage="1" sqref="B55:E55" xr:uid="{84D93109-3D4E-4C77-845E-626C6AF2CD86}">
      <formula1>#REF!</formula1>
    </dataValidation>
    <dataValidation type="list" allowBlank="1" showInputMessage="1" showErrorMessage="1" sqref="K78" xr:uid="{74E5140C-E8AF-48DE-B3A3-BC9A2CCD1438}">
      <formula1>cert</formula1>
    </dataValidation>
    <dataValidation type="list" allowBlank="1" showInputMessage="1" showErrorMessage="1" sqref="E9:F9" xr:uid="{BBDFD8F1-0DFB-44DB-A2EE-AE7EA6AFE9BE}">
      <formula1>IF($C$9="CStP",CStP,"")</formula1>
    </dataValidation>
  </dataValidations>
  <hyperlinks>
    <hyperlink ref="B2" location="'Video Tutorial'!A1" display="Video Tutorial" xr:uid="{52B940F7-B476-405A-8843-8B2DCDFA85F4}"/>
    <hyperlink ref="B11" r:id="rId1" xr:uid="{B5844E9B-DA5F-4DF4-A846-B084801351D3}"/>
    <hyperlink ref="B11:F11" r:id="rId2" display="SD_Cover_Crop_Technical_Note_16.pdf" xr:uid="{09072491-EE6A-4D2D-87E0-4C93919B5AB7}"/>
  </hyperlinks>
  <printOptions horizontalCentered="1" verticalCentered="1"/>
  <pageMargins left="0.25" right="0.25" top="0.75" bottom="0.75" header="0.3" footer="0"/>
  <pageSetup scale="64" orientation="portrait" horizontalDpi="4294967293" r:id="rId3"/>
  <headerFooter>
    <oddHeader>&amp;L&amp;"Arial,Bold"&amp;8UNITED STATES DEPARTMENT OF AGRICULTURE
NATURAL RESOURCES CONSERVATION SERVICE&amp;R&amp;"Arial,Bold"&amp;9SD-JS-340
12/2020</oddHeader>
  </headerFooter>
  <colBreaks count="1" manualBreakCount="1">
    <brk id="15" max="1048575" man="1"/>
  </colBreaks>
  <drawing r:id="rId4"/>
  <legacyDrawing r:id="rId5"/>
  <mc:AlternateContent xmlns:mc="http://schemas.openxmlformats.org/markup-compatibility/2006">
    <mc:Choice Requires="x14">
      <controls>
        <mc:AlternateContent xmlns:mc="http://schemas.openxmlformats.org/markup-compatibility/2006">
          <mc:Choice Requires="x14">
            <control shapeId="1026" r:id="rId6" name="Button 2">
              <controlPr defaultSize="0" print="0" autoFill="0" autoPict="0" macro="[0]!CopyPlanned">
                <anchor moveWithCells="1">
                  <from>
                    <xdr:col>1</xdr:col>
                    <xdr:colOff>771525</xdr:colOff>
                    <xdr:row>54</xdr:row>
                    <xdr:rowOff>38100</xdr:rowOff>
                  </from>
                  <to>
                    <xdr:col>4</xdr:col>
                    <xdr:colOff>104775</xdr:colOff>
                    <xdr:row>54</xdr:row>
                    <xdr:rowOff>266700</xdr:rowOff>
                  </to>
                </anchor>
              </controlPr>
            </control>
          </mc:Choice>
        </mc:AlternateContent>
        <mc:AlternateContent xmlns:mc="http://schemas.openxmlformats.org/markup-compatibility/2006">
          <mc:Choice Requires="x14">
            <control shapeId="1058" r:id="rId7" name="Button 34">
              <controlPr defaultSize="0" print="0" autoFill="0" autoPict="0" macro="[0]!Go_To_Prepared_Mixes">
                <anchor moveWithCells="1" sizeWithCells="1">
                  <from>
                    <xdr:col>9</xdr:col>
                    <xdr:colOff>0</xdr:colOff>
                    <xdr:row>8</xdr:row>
                    <xdr:rowOff>76200</xdr:rowOff>
                  </from>
                  <to>
                    <xdr:col>11</xdr:col>
                    <xdr:colOff>133350</xdr:colOff>
                    <xdr:row>8</xdr:row>
                    <xdr:rowOff>219075</xdr:rowOff>
                  </to>
                </anchor>
              </controlPr>
            </control>
          </mc:Choice>
        </mc:AlternateContent>
        <mc:AlternateContent xmlns:mc="http://schemas.openxmlformats.org/markup-compatibility/2006">
          <mc:Choice Requires="x14">
            <control shapeId="1065" r:id="rId8" name="Button 41">
              <controlPr defaultSize="0" print="0" autoFill="0" autoPict="0" macro="[0]!Build_show">
                <anchor moveWithCells="1" sizeWithCells="1">
                  <from>
                    <xdr:col>12</xdr:col>
                    <xdr:colOff>104775</xdr:colOff>
                    <xdr:row>28</xdr:row>
                    <xdr:rowOff>28575</xdr:rowOff>
                  </from>
                  <to>
                    <xdr:col>13</xdr:col>
                    <xdr:colOff>762000</xdr:colOff>
                    <xdr:row>28</xdr:row>
                    <xdr:rowOff>209550</xdr:rowOff>
                  </to>
                </anchor>
              </controlPr>
            </control>
          </mc:Choice>
        </mc:AlternateContent>
        <mc:AlternateContent xmlns:mc="http://schemas.openxmlformats.org/markup-compatibility/2006">
          <mc:Choice Requires="x14">
            <control shapeId="1081" r:id="rId9" name="Check Box 57">
              <controlPr defaultSize="0" autoFill="0" autoLine="0" autoPict="0" macro="[0]!CheckBox57_Click">
                <anchor moveWithCells="1">
                  <from>
                    <xdr:col>13</xdr:col>
                    <xdr:colOff>295275</xdr:colOff>
                    <xdr:row>72</xdr:row>
                    <xdr:rowOff>228600</xdr:rowOff>
                  </from>
                  <to>
                    <xdr:col>13</xdr:col>
                    <xdr:colOff>590550</xdr:colOff>
                    <xdr:row>74</xdr:row>
                    <xdr:rowOff>9525</xdr:rowOff>
                  </to>
                </anchor>
              </controlPr>
            </control>
          </mc:Choice>
        </mc:AlternateContent>
        <mc:AlternateContent xmlns:mc="http://schemas.openxmlformats.org/markup-compatibility/2006">
          <mc:Choice Requires="x14">
            <control shapeId="1083" r:id="rId10" name="Check Box 59">
              <controlPr defaultSize="0" autoFill="0" autoLine="0" autoPict="0" macro="[0]!CheckBox59_Click">
                <anchor moveWithCells="1">
                  <from>
                    <xdr:col>12</xdr:col>
                    <xdr:colOff>295275</xdr:colOff>
                    <xdr:row>72</xdr:row>
                    <xdr:rowOff>228600</xdr:rowOff>
                  </from>
                  <to>
                    <xdr:col>12</xdr:col>
                    <xdr:colOff>590550</xdr:colOff>
                    <xdr:row>74</xdr:row>
                    <xdr:rowOff>9525</xdr:rowOff>
                  </to>
                </anchor>
              </controlPr>
            </control>
          </mc:Choice>
        </mc:AlternateContent>
        <mc:AlternateContent xmlns:mc="http://schemas.openxmlformats.org/markup-compatibility/2006">
          <mc:Choice Requires="x14">
            <control shapeId="1095" r:id="rId11" name="Button 71">
              <controlPr defaultSize="0" print="0" autoFill="0" autoPict="0" macro="[0]!Go_To_Table_1_Purpose_rating">
                <anchor moveWithCells="1" sizeWithCells="1">
                  <from>
                    <xdr:col>1</xdr:col>
                    <xdr:colOff>819150</xdr:colOff>
                    <xdr:row>31</xdr:row>
                    <xdr:rowOff>19050</xdr:rowOff>
                  </from>
                  <to>
                    <xdr:col>4</xdr:col>
                    <xdr:colOff>133350</xdr:colOff>
                    <xdr:row>31</xdr:row>
                    <xdr:rowOff>161925</xdr:rowOff>
                  </to>
                </anchor>
              </controlPr>
            </control>
          </mc:Choice>
        </mc:AlternateContent>
        <mc:AlternateContent xmlns:mc="http://schemas.openxmlformats.org/markup-compatibility/2006">
          <mc:Choice Requires="x14">
            <control shapeId="1096" r:id="rId12" name="Button 72">
              <controlPr defaultSize="0" print="0" autoFill="0" autoPict="0" macro="[0]!protectpswrd">
                <anchor moveWithCells="1" sizeWithCells="1">
                  <from>
                    <xdr:col>52</xdr:col>
                    <xdr:colOff>47625</xdr:colOff>
                    <xdr:row>0</xdr:row>
                    <xdr:rowOff>38100</xdr:rowOff>
                  </from>
                  <to>
                    <xdr:col>54</xdr:col>
                    <xdr:colOff>104775</xdr:colOff>
                    <xdr:row>1</xdr:row>
                    <xdr:rowOff>28575</xdr:rowOff>
                  </to>
                </anchor>
              </controlPr>
            </control>
          </mc:Choice>
        </mc:AlternateContent>
        <mc:AlternateContent xmlns:mc="http://schemas.openxmlformats.org/markup-compatibility/2006">
          <mc:Choice Requires="x14">
            <control shapeId="1097" r:id="rId13" name="Button 73">
              <controlPr defaultSize="0" print="0" autoFill="0" autoPict="0" macro="[0]!Unprotectpswrd">
                <anchor moveWithCells="1" sizeWithCells="1">
                  <from>
                    <xdr:col>52</xdr:col>
                    <xdr:colOff>66675</xdr:colOff>
                    <xdr:row>2</xdr:row>
                    <xdr:rowOff>57150</xdr:rowOff>
                  </from>
                  <to>
                    <xdr:col>54</xdr:col>
                    <xdr:colOff>95250</xdr:colOff>
                    <xdr:row>3</xdr:row>
                    <xdr:rowOff>133350</xdr:rowOff>
                  </to>
                </anchor>
              </controlPr>
            </control>
          </mc:Choice>
        </mc:AlternateContent>
        <mc:AlternateContent xmlns:mc="http://schemas.openxmlformats.org/markup-compatibility/2006">
          <mc:Choice Requires="x14">
            <control shapeId="1099" r:id="rId14" name="Button 75">
              <controlPr defaultSize="0" print="0" autoFill="0" autoPict="0" macro="[0]!Sheet112.gotoprint">
                <anchor moveWithCells="1" sizeWithCells="1">
                  <from>
                    <xdr:col>12</xdr:col>
                    <xdr:colOff>504825</xdr:colOff>
                    <xdr:row>0</xdr:row>
                    <xdr:rowOff>47625</xdr:rowOff>
                  </from>
                  <to>
                    <xdr:col>13</xdr:col>
                    <xdr:colOff>533400</xdr:colOff>
                    <xdr:row>0</xdr:row>
                    <xdr:rowOff>238125</xdr:rowOff>
                  </to>
                </anchor>
              </controlPr>
            </control>
          </mc:Choice>
        </mc:AlternateContent>
        <mc:AlternateContent xmlns:mc="http://schemas.openxmlformats.org/markup-compatibility/2006">
          <mc:Choice Requires="x14">
            <control shapeId="1111" r:id="rId15" name="Button 87">
              <controlPr defaultSize="0" print="0" autoFill="0" autoPict="0" macro="[0]!Go_To_Seed_Tag_Examples">
                <anchor moveWithCells="1" sizeWithCells="1">
                  <from>
                    <xdr:col>7</xdr:col>
                    <xdr:colOff>9525</xdr:colOff>
                    <xdr:row>52</xdr:row>
                    <xdr:rowOff>28575</xdr:rowOff>
                  </from>
                  <to>
                    <xdr:col>8</xdr:col>
                    <xdr:colOff>0</xdr:colOff>
                    <xdr:row>53</xdr:row>
                    <xdr:rowOff>114300</xdr:rowOff>
                  </to>
                </anchor>
              </controlPr>
            </control>
          </mc:Choice>
        </mc:AlternateContent>
        <mc:AlternateContent xmlns:mc="http://schemas.openxmlformats.org/markup-compatibility/2006">
          <mc:Choice Requires="x14">
            <control shapeId="1116" r:id="rId16" name="Check Box 92">
              <controlPr defaultSize="0" autoFill="0" autoLine="0" autoPict="0">
                <anchor moveWithCells="1">
                  <from>
                    <xdr:col>1</xdr:col>
                    <xdr:colOff>561975</xdr:colOff>
                    <xdr:row>77</xdr:row>
                    <xdr:rowOff>114300</xdr:rowOff>
                  </from>
                  <to>
                    <xdr:col>1</xdr:col>
                    <xdr:colOff>914400</xdr:colOff>
                    <xdr:row>78</xdr:row>
                    <xdr:rowOff>133350</xdr:rowOff>
                  </to>
                </anchor>
              </controlPr>
            </control>
          </mc:Choice>
        </mc:AlternateContent>
        <mc:AlternateContent xmlns:mc="http://schemas.openxmlformats.org/markup-compatibility/2006">
          <mc:Choice Requires="x14">
            <control shapeId="1119" r:id="rId17" name="Button 95">
              <controlPr defaultSize="0" print="0" autoFill="0" autoPict="0" macro="[0]!Button95_Click">
                <anchor moveWithCells="1" sizeWithCells="1">
                  <from>
                    <xdr:col>3</xdr:col>
                    <xdr:colOff>9525</xdr:colOff>
                    <xdr:row>16</xdr:row>
                    <xdr:rowOff>28575</xdr:rowOff>
                  </from>
                  <to>
                    <xdr:col>5</xdr:col>
                    <xdr:colOff>371475</xdr:colOff>
                    <xdr:row>16</xdr:row>
                    <xdr:rowOff>161925</xdr:rowOff>
                  </to>
                </anchor>
              </controlPr>
            </control>
          </mc:Choice>
        </mc:AlternateContent>
        <mc:AlternateContent xmlns:mc="http://schemas.openxmlformats.org/markup-compatibility/2006">
          <mc:Choice Requires="x14">
            <control shapeId="1120" r:id="rId18" name="Button 96">
              <controlPr defaultSize="0" print="0" autoFill="0" autoPict="0" macro="[0]!Button96_Click">
                <anchor moveWithCells="1" sizeWithCells="1">
                  <from>
                    <xdr:col>10</xdr:col>
                    <xdr:colOff>628650</xdr:colOff>
                    <xdr:row>49</xdr:row>
                    <xdr:rowOff>38100</xdr:rowOff>
                  </from>
                  <to>
                    <xdr:col>11</xdr:col>
                    <xdr:colOff>609600</xdr:colOff>
                    <xdr:row>49</xdr:row>
                    <xdr:rowOff>209550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xr:uid="{9386D1AF-F2BB-46B4-B6F3-F552DD6791EB}">
          <x14:formula1>
            <xm:f>DATA!$R$2:$R$4</xm:f>
          </x14:formula1>
          <xm:sqref>N54 G16:K16</xm:sqref>
        </x14:dataValidation>
        <x14:dataValidation type="list" allowBlank="1" showInputMessage="1" showErrorMessage="1" xr:uid="{1E081880-ED65-4646-B155-5585FBBD871B}">
          <x14:formula1>
            <xm:f>DATA!$P$2:$P$6</xm:f>
          </x14:formula1>
          <xm:sqref>G15:K15</xm:sqref>
        </x14:dataValidation>
        <x14:dataValidation type="list" errorStyle="information" allowBlank="1" showInputMessage="1" showErrorMessage="1" xr:uid="{544CBC6F-3C13-42B2-B5DA-775E2CE55003}">
          <x14:formula1>
            <xm:f>DATA!$P$2:$P$6</xm:f>
          </x14:formula1>
          <xm:sqref>L15:N15</xm:sqref>
        </x14:dataValidation>
        <x14:dataValidation type="list" allowBlank="1" showInputMessage="1" showErrorMessage="1" xr:uid="{1874EE7A-AB13-4A8E-92B5-69809F2E6EDF}">
          <x14:formula1>
            <xm:f>DATA!$AC$2:$AC$9</xm:f>
          </x14:formula1>
          <xm:sqref>C9</xm:sqref>
        </x14:dataValidation>
        <x14:dataValidation type="list" allowBlank="1" showInputMessage="1" showErrorMessage="1" xr:uid="{2A62BF33-5D15-44B7-87A3-D47BAB387508}">
          <x14:formula1>
            <xm:f>DATA!$T$2:$T$54</xm:f>
          </x14:formula1>
          <xm:sqref>B33:E47 B56:E70</xm:sqref>
        </x14:dataValidation>
        <x14:dataValidation type="list" allowBlank="1" showInputMessage="1" showErrorMessage="1" xr:uid="{DF636375-8294-43F7-976E-721E6D46B708}">
          <x14:formula1>
            <xm:f>DATA!$L$2:$L$8</xm:f>
          </x14:formula1>
          <xm:sqref>G21:K21</xm:sqref>
        </x14:dataValidation>
        <x14:dataValidation type="list" allowBlank="1" showInputMessage="1" showErrorMessage="1" xr:uid="{799B2BA1-A269-4B70-A639-2ED53B247EA3}">
          <x14:formula1>
            <xm:f>DATA!$AA$2:$AA$71</xm:f>
          </x14:formula1>
          <xm:sqref>C7:F7</xm:sqref>
        </x14:dataValidation>
        <x14:dataValidation type="list" errorStyle="information" allowBlank="1" showInputMessage="1" showErrorMessage="1" xr:uid="{0073C90B-776D-4D94-96B8-879E387A2EE6}">
          <x14:formula1>
            <xm:f>DATA!$AK$2:$AK$12</xm:f>
          </x14:formula1>
          <xm:sqref>L20:N20</xm:sqref>
        </x14:dataValidation>
        <x14:dataValidation type="list" errorStyle="information" allowBlank="1" showInputMessage="1" showErrorMessage="1" xr:uid="{EC0438CA-C952-46F3-970C-FC2904E80D66}">
          <x14:formula1>
            <xm:f>DATA!$L$2:$L$8</xm:f>
          </x14:formula1>
          <xm:sqref>L21:N21</xm:sqref>
        </x14:dataValidation>
        <x14:dataValidation type="list" allowBlank="1" showInputMessage="1" showErrorMessage="1" xr:uid="{C3AB91C0-A3E4-4E48-B010-63ACE679619C}">
          <x14:formula1>
            <xm:f>DATA!$W$2:$W$34</xm:f>
          </x14:formula1>
          <xm:sqref>G24:I27</xm:sqref>
        </x14:dataValidation>
        <x14:dataValidation type="list" allowBlank="1" showInputMessage="1" showErrorMessage="1" xr:uid="{17C5F825-34C8-4640-8207-E0DCF6386686}">
          <x14:formula1>
            <xm:f>IF($P$5="340",CC,IF($P$5="810",AF,DATA!$J$59))</xm:f>
          </x14:formula1>
          <xm:sqref>J7:N7</xm:sqref>
        </x14:dataValidation>
        <x14:dataValidation type="list" allowBlank="1" showInputMessage="1" showErrorMessage="1" xr:uid="{70A94EA2-F5AB-4680-B510-1969724B8E7F}">
          <x14:formula1>
            <xm:f>DATA!$B$60:$B$73</xm:f>
          </x14:formula1>
          <xm:sqref>J12:N12</xm:sqref>
        </x14:dataValidation>
        <x14:dataValidation type="list" allowBlank="1" showInputMessage="1" showErrorMessage="1" xr:uid="{4D2263B3-9CB8-4FF0-B1EC-5EF86DC073F1}">
          <x14:formula1>
            <xm:f>DATA!$E$60:$E$62</xm:f>
          </x14:formula1>
          <xm:sqref>J5:K5</xm:sqref>
        </x14:dataValidation>
        <x14:dataValidation type="list" allowBlank="1" showInputMessage="1" showErrorMessage="1" xr:uid="{869E235D-1BBD-4D33-B64D-52869C9BF248}">
          <x14:formula1>
            <xm:f>DATA!$B$60:$B$75</xm:f>
          </x14:formula1>
          <xm:sqref>J10:N11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6D6C9-0507-4B55-8531-33005ADEF33C}">
  <sheetPr codeName="Sheet6"/>
  <dimension ref="A1:I317"/>
  <sheetViews>
    <sheetView showGridLines="0" zoomScale="120" zoomScaleNormal="120" workbookViewId="0">
      <selection activeCell="A3" sqref="A3:I3"/>
    </sheetView>
  </sheetViews>
  <sheetFormatPr defaultRowHeight="12.75" x14ac:dyDescent="0.2"/>
  <cols>
    <col min="2" max="2" width="20" customWidth="1"/>
    <col min="3" max="3" width="10.85546875" customWidth="1"/>
    <col min="4" max="4" width="3.42578125" customWidth="1"/>
    <col min="5" max="5" width="2.42578125" customWidth="1"/>
    <col min="9" max="9" width="14" customWidth="1"/>
    <col min="14" max="14" width="15.28515625" customWidth="1"/>
    <col min="15" max="15" width="10.85546875" customWidth="1"/>
    <col min="16" max="16" width="3.42578125" customWidth="1"/>
    <col min="17" max="17" width="2.42578125" customWidth="1"/>
    <col min="18" max="18" width="3.42578125" customWidth="1"/>
    <col min="19" max="19" width="3.7109375" customWidth="1"/>
    <col min="20" max="20" width="6.28515625" customWidth="1"/>
    <col min="21" max="21" width="11.7109375" customWidth="1"/>
  </cols>
  <sheetData>
    <row r="1" spans="1:9" ht="27.75" customHeight="1" x14ac:dyDescent="0.2">
      <c r="A1" s="946" t="s">
        <v>798</v>
      </c>
      <c r="B1" s="947"/>
      <c r="C1" s="947"/>
      <c r="D1" s="947"/>
      <c r="E1" s="947"/>
      <c r="F1" s="947"/>
      <c r="G1" s="947"/>
      <c r="H1" s="947"/>
      <c r="I1" s="948"/>
    </row>
    <row r="2" spans="1:9" s="173" customFormat="1" ht="20.25" customHeight="1" thickBot="1" x14ac:dyDescent="0.25">
      <c r="A2" s="950" t="s">
        <v>851</v>
      </c>
      <c r="B2" s="951"/>
      <c r="C2" s="951"/>
      <c r="D2" s="951"/>
      <c r="E2" s="951"/>
      <c r="F2" s="951"/>
      <c r="G2" s="951"/>
      <c r="H2" s="951"/>
      <c r="I2" s="952"/>
    </row>
    <row r="3" spans="1:9" ht="30" customHeight="1" x14ac:dyDescent="0.2">
      <c r="A3" s="949" t="s">
        <v>902</v>
      </c>
      <c r="B3" s="949"/>
      <c r="C3" s="949"/>
      <c r="D3" s="949"/>
      <c r="E3" s="949"/>
      <c r="F3" s="949"/>
      <c r="G3" s="949"/>
      <c r="H3" s="949"/>
      <c r="I3" s="949"/>
    </row>
    <row r="4" spans="1:9" ht="27" customHeight="1" x14ac:dyDescent="0.2"/>
    <row r="5" spans="1:9" ht="13.5" customHeight="1" x14ac:dyDescent="0.2"/>
    <row r="6" spans="1:9" ht="13.5" customHeight="1" x14ac:dyDescent="0.2">
      <c r="B6" s="928" t="str">
        <f>DATA!B61</f>
        <v>1 Protection from Wind and Water Erosion</v>
      </c>
      <c r="C6" s="929"/>
      <c r="D6" s="929"/>
      <c r="E6" s="930"/>
      <c r="F6" s="924" t="s">
        <v>16</v>
      </c>
      <c r="G6" s="924"/>
      <c r="H6" s="924"/>
      <c r="I6" s="924" t="s">
        <v>775</v>
      </c>
    </row>
    <row r="7" spans="1:9" ht="13.5" customHeight="1" x14ac:dyDescent="0.2">
      <c r="B7" s="931"/>
      <c r="C7" s="932"/>
      <c r="D7" s="932"/>
      <c r="E7" s="933"/>
      <c r="F7" s="924"/>
      <c r="G7" s="924"/>
      <c r="H7" s="924"/>
      <c r="I7" s="924"/>
    </row>
    <row r="8" spans="1:9" ht="13.5" customHeight="1" x14ac:dyDescent="0.2">
      <c r="B8" s="107" t="s">
        <v>15</v>
      </c>
      <c r="C8" s="109"/>
      <c r="D8" s="109"/>
      <c r="E8" s="110"/>
      <c r="F8" s="924"/>
      <c r="G8" s="924"/>
      <c r="H8" s="924"/>
      <c r="I8" s="924"/>
    </row>
    <row r="9" spans="1:9" ht="13.5" customHeight="1" x14ac:dyDescent="0.2">
      <c r="B9" s="940" t="s">
        <v>90</v>
      </c>
      <c r="C9" s="941"/>
      <c r="D9" s="941"/>
      <c r="E9" s="942"/>
      <c r="F9" s="915"/>
      <c r="G9" s="916"/>
      <c r="H9" s="917"/>
      <c r="I9" s="353">
        <v>0.15</v>
      </c>
    </row>
    <row r="10" spans="1:9" ht="13.5" customHeight="1" x14ac:dyDescent="0.2">
      <c r="B10" s="937" t="s">
        <v>97</v>
      </c>
      <c r="C10" s="938"/>
      <c r="D10" s="938"/>
      <c r="E10" s="939"/>
      <c r="F10" s="915"/>
      <c r="G10" s="916"/>
      <c r="H10" s="917"/>
      <c r="I10" s="353">
        <v>0.25</v>
      </c>
    </row>
    <row r="11" spans="1:9" ht="13.5" customHeight="1" x14ac:dyDescent="0.2">
      <c r="B11" s="937" t="s">
        <v>98</v>
      </c>
      <c r="C11" s="938"/>
      <c r="D11" s="938"/>
      <c r="E11" s="939"/>
      <c r="F11" s="915"/>
      <c r="G11" s="916"/>
      <c r="H11" s="917"/>
      <c r="I11" s="353">
        <v>0.1</v>
      </c>
    </row>
    <row r="12" spans="1:9" ht="13.5" customHeight="1" x14ac:dyDescent="0.2">
      <c r="B12" s="937" t="s">
        <v>100</v>
      </c>
      <c r="C12" s="938"/>
      <c r="D12" s="938"/>
      <c r="E12" s="939"/>
      <c r="F12" s="915"/>
      <c r="G12" s="916"/>
      <c r="H12" s="917"/>
      <c r="I12" s="353">
        <v>0.12</v>
      </c>
    </row>
    <row r="13" spans="1:9" ht="13.5" customHeight="1" x14ac:dyDescent="0.2">
      <c r="B13" s="937" t="s">
        <v>101</v>
      </c>
      <c r="C13" s="938"/>
      <c r="D13" s="938"/>
      <c r="E13" s="939"/>
      <c r="F13" s="915"/>
      <c r="G13" s="916"/>
      <c r="H13" s="917"/>
      <c r="I13" s="353">
        <v>0.18</v>
      </c>
    </row>
    <row r="14" spans="1:9" ht="13.5" customHeight="1" x14ac:dyDescent="0.2">
      <c r="B14" s="937" t="s">
        <v>107</v>
      </c>
      <c r="C14" s="938"/>
      <c r="D14" s="938"/>
      <c r="E14" s="939"/>
      <c r="F14" s="915"/>
      <c r="G14" s="916"/>
      <c r="H14" s="917"/>
      <c r="I14" s="353">
        <v>0.1</v>
      </c>
    </row>
    <row r="15" spans="1:9" ht="13.5" customHeight="1" x14ac:dyDescent="0.2">
      <c r="B15" s="937" t="s">
        <v>117</v>
      </c>
      <c r="C15" s="938"/>
      <c r="D15" s="938"/>
      <c r="E15" s="939"/>
      <c r="F15" s="915"/>
      <c r="G15" s="916"/>
      <c r="H15" s="917"/>
      <c r="I15" s="353">
        <v>0.1</v>
      </c>
    </row>
    <row r="16" spans="1:9" ht="13.5" customHeight="1" x14ac:dyDescent="0.2">
      <c r="B16" s="937"/>
      <c r="C16" s="938"/>
      <c r="D16" s="938"/>
      <c r="E16" s="939"/>
      <c r="F16" s="915"/>
      <c r="G16" s="916"/>
      <c r="H16" s="917"/>
      <c r="I16" s="353"/>
    </row>
    <row r="17" spans="2:9" ht="13.5" customHeight="1" x14ac:dyDescent="0.2">
      <c r="B17" s="934"/>
      <c r="C17" s="935"/>
      <c r="D17" s="935"/>
      <c r="E17" s="936"/>
      <c r="F17" s="912"/>
      <c r="G17" s="913"/>
      <c r="H17" s="914"/>
      <c r="I17" s="353"/>
    </row>
    <row r="18" spans="2:9" x14ac:dyDescent="0.2">
      <c r="B18" s="934"/>
      <c r="C18" s="935"/>
      <c r="D18" s="935"/>
      <c r="E18" s="936"/>
      <c r="F18" s="912"/>
      <c r="G18" s="913"/>
      <c r="H18" s="914"/>
      <c r="I18" s="353"/>
    </row>
    <row r="19" spans="2:9" x14ac:dyDescent="0.2">
      <c r="B19" s="934"/>
      <c r="C19" s="935"/>
      <c r="D19" s="935"/>
      <c r="E19" s="936"/>
      <c r="F19" s="912"/>
      <c r="G19" s="913"/>
      <c r="H19" s="914"/>
      <c r="I19" s="353"/>
    </row>
    <row r="20" spans="2:9" x14ac:dyDescent="0.2">
      <c r="B20" s="934"/>
      <c r="C20" s="935"/>
      <c r="D20" s="935"/>
      <c r="E20" s="936"/>
      <c r="F20" s="912"/>
      <c r="G20" s="913"/>
      <c r="H20" s="914"/>
      <c r="I20" s="353"/>
    </row>
    <row r="21" spans="2:9" x14ac:dyDescent="0.2">
      <c r="B21" s="934"/>
      <c r="C21" s="935"/>
      <c r="D21" s="935"/>
      <c r="E21" s="936"/>
      <c r="F21" s="912"/>
      <c r="G21" s="913"/>
      <c r="H21" s="914"/>
      <c r="I21" s="353"/>
    </row>
    <row r="22" spans="2:9" x14ac:dyDescent="0.2">
      <c r="B22" s="934"/>
      <c r="C22" s="935"/>
      <c r="D22" s="935"/>
      <c r="E22" s="936"/>
      <c r="F22" s="912"/>
      <c r="G22" s="913"/>
      <c r="H22" s="914"/>
      <c r="I22" s="353"/>
    </row>
    <row r="23" spans="2:9" x14ac:dyDescent="0.2">
      <c r="B23" s="934"/>
      <c r="C23" s="935"/>
      <c r="D23" s="935"/>
      <c r="E23" s="936"/>
      <c r="F23" s="912"/>
      <c r="G23" s="913"/>
      <c r="H23" s="914"/>
      <c r="I23" s="353"/>
    </row>
    <row r="27" spans="2:9" x14ac:dyDescent="0.2">
      <c r="B27" s="928" t="str">
        <f>DATA!B62</f>
        <v>2 Increase Soil Organic Matter</v>
      </c>
      <c r="C27" s="929"/>
      <c r="D27" s="929"/>
      <c r="E27" s="930"/>
      <c r="F27" s="924" t="s">
        <v>16</v>
      </c>
      <c r="G27" s="924"/>
      <c r="H27" s="924"/>
      <c r="I27" s="924" t="s">
        <v>775</v>
      </c>
    </row>
    <row r="28" spans="2:9" x14ac:dyDescent="0.2">
      <c r="B28" s="931"/>
      <c r="C28" s="932"/>
      <c r="D28" s="932"/>
      <c r="E28" s="933"/>
      <c r="F28" s="924"/>
      <c r="G28" s="924"/>
      <c r="H28" s="924"/>
      <c r="I28" s="924"/>
    </row>
    <row r="29" spans="2:9" x14ac:dyDescent="0.2">
      <c r="B29" s="107" t="s">
        <v>15</v>
      </c>
      <c r="C29" s="109"/>
      <c r="D29" s="109"/>
      <c r="E29" s="110"/>
      <c r="F29" s="924"/>
      <c r="G29" s="924"/>
      <c r="H29" s="924"/>
      <c r="I29" s="924"/>
    </row>
    <row r="30" spans="2:9" x14ac:dyDescent="0.2">
      <c r="B30" s="940" t="s">
        <v>79</v>
      </c>
      <c r="C30" s="941"/>
      <c r="D30" s="941"/>
      <c r="E30" s="942"/>
      <c r="F30" s="915"/>
      <c r="G30" s="916"/>
      <c r="H30" s="917"/>
      <c r="I30" s="353">
        <v>0.12</v>
      </c>
    </row>
    <row r="31" spans="2:9" x14ac:dyDescent="0.2">
      <c r="B31" s="937" t="s">
        <v>74</v>
      </c>
      <c r="C31" s="938"/>
      <c r="D31" s="938"/>
      <c r="E31" s="939"/>
      <c r="F31" s="915"/>
      <c r="G31" s="916"/>
      <c r="H31" s="917"/>
      <c r="I31" s="353">
        <v>0.16</v>
      </c>
    </row>
    <row r="32" spans="2:9" x14ac:dyDescent="0.2">
      <c r="B32" s="937" t="s">
        <v>90</v>
      </c>
      <c r="C32" s="938"/>
      <c r="D32" s="938"/>
      <c r="E32" s="939"/>
      <c r="F32" s="915"/>
      <c r="G32" s="916"/>
      <c r="H32" s="917"/>
      <c r="I32" s="353">
        <v>0.1</v>
      </c>
    </row>
    <row r="33" spans="2:9" x14ac:dyDescent="0.2">
      <c r="B33" s="937" t="s">
        <v>93</v>
      </c>
      <c r="C33" s="938"/>
      <c r="D33" s="938"/>
      <c r="E33" s="939"/>
      <c r="F33" s="915"/>
      <c r="G33" s="916"/>
      <c r="H33" s="917"/>
      <c r="I33" s="353">
        <v>0.15</v>
      </c>
    </row>
    <row r="34" spans="2:9" x14ac:dyDescent="0.2">
      <c r="B34" s="937" t="s">
        <v>97</v>
      </c>
      <c r="C34" s="938"/>
      <c r="D34" s="938"/>
      <c r="E34" s="939"/>
      <c r="F34" s="915"/>
      <c r="G34" s="916"/>
      <c r="H34" s="917"/>
      <c r="I34" s="353">
        <v>0.12</v>
      </c>
    </row>
    <row r="35" spans="2:9" x14ac:dyDescent="0.2">
      <c r="B35" s="937" t="s">
        <v>100</v>
      </c>
      <c r="C35" s="938"/>
      <c r="D35" s="938"/>
      <c r="E35" s="939"/>
      <c r="F35" s="915"/>
      <c r="G35" s="916"/>
      <c r="H35" s="917"/>
      <c r="I35" s="353">
        <v>0.1</v>
      </c>
    </row>
    <row r="36" spans="2:9" x14ac:dyDescent="0.2">
      <c r="B36" s="937" t="s">
        <v>102</v>
      </c>
      <c r="C36" s="938"/>
      <c r="D36" s="938"/>
      <c r="E36" s="939"/>
      <c r="F36" s="915"/>
      <c r="G36" s="916"/>
      <c r="H36" s="917"/>
      <c r="I36" s="353">
        <v>0.1</v>
      </c>
    </row>
    <row r="37" spans="2:9" x14ac:dyDescent="0.2">
      <c r="B37" s="937" t="s">
        <v>105</v>
      </c>
      <c r="C37" s="938"/>
      <c r="D37" s="938"/>
      <c r="E37" s="939"/>
      <c r="F37" s="915"/>
      <c r="G37" s="916"/>
      <c r="H37" s="917"/>
      <c r="I37" s="353">
        <v>0.15</v>
      </c>
    </row>
    <row r="38" spans="2:9" x14ac:dyDescent="0.2">
      <c r="B38" s="934"/>
      <c r="C38" s="935"/>
      <c r="D38" s="935"/>
      <c r="E38" s="936"/>
      <c r="F38" s="912"/>
      <c r="G38" s="913"/>
      <c r="H38" s="914"/>
      <c r="I38" s="353"/>
    </row>
    <row r="39" spans="2:9" x14ac:dyDescent="0.2">
      <c r="B39" s="934"/>
      <c r="C39" s="935"/>
      <c r="D39" s="935"/>
      <c r="E39" s="936"/>
      <c r="F39" s="912"/>
      <c r="G39" s="913"/>
      <c r="H39" s="914"/>
      <c r="I39" s="353"/>
    </row>
    <row r="40" spans="2:9" x14ac:dyDescent="0.2">
      <c r="B40" s="934"/>
      <c r="C40" s="935"/>
      <c r="D40" s="935"/>
      <c r="E40" s="936"/>
      <c r="F40" s="912"/>
      <c r="G40" s="913"/>
      <c r="H40" s="914"/>
      <c r="I40" s="353"/>
    </row>
    <row r="41" spans="2:9" x14ac:dyDescent="0.2">
      <c r="B41" s="934"/>
      <c r="C41" s="935"/>
      <c r="D41" s="935"/>
      <c r="E41" s="936"/>
      <c r="F41" s="912"/>
      <c r="G41" s="913"/>
      <c r="H41" s="914"/>
      <c r="I41" s="353"/>
    </row>
    <row r="42" spans="2:9" x14ac:dyDescent="0.2">
      <c r="B42" s="934"/>
      <c r="C42" s="935"/>
      <c r="D42" s="935"/>
      <c r="E42" s="936"/>
      <c r="F42" s="912"/>
      <c r="G42" s="913"/>
      <c r="H42" s="914"/>
      <c r="I42" s="353"/>
    </row>
    <row r="43" spans="2:9" x14ac:dyDescent="0.2">
      <c r="B43" s="934"/>
      <c r="C43" s="935"/>
      <c r="D43" s="935"/>
      <c r="E43" s="936"/>
      <c r="F43" s="912"/>
      <c r="G43" s="913"/>
      <c r="H43" s="914"/>
      <c r="I43" s="353"/>
    </row>
    <row r="44" spans="2:9" x14ac:dyDescent="0.2">
      <c r="B44" s="934"/>
      <c r="C44" s="935"/>
      <c r="D44" s="935"/>
      <c r="E44" s="936"/>
      <c r="F44" s="912"/>
      <c r="G44" s="913"/>
      <c r="H44" s="914"/>
      <c r="I44" s="353"/>
    </row>
    <row r="48" spans="2:9" x14ac:dyDescent="0.2">
      <c r="B48" s="928" t="str">
        <f>DATA!B63</f>
        <v>3 Improved Soil Aggregation and Soil Organism Habitat (Soil Health)</v>
      </c>
      <c r="C48" s="929"/>
      <c r="D48" s="929"/>
      <c r="E48" s="930"/>
      <c r="F48" s="924" t="s">
        <v>16</v>
      </c>
      <c r="G48" s="924"/>
      <c r="H48" s="924"/>
      <c r="I48" s="924" t="s">
        <v>775</v>
      </c>
    </row>
    <row r="49" spans="2:9" x14ac:dyDescent="0.2">
      <c r="B49" s="931"/>
      <c r="C49" s="932"/>
      <c r="D49" s="932"/>
      <c r="E49" s="933"/>
      <c r="F49" s="924"/>
      <c r="G49" s="924"/>
      <c r="H49" s="924"/>
      <c r="I49" s="924"/>
    </row>
    <row r="50" spans="2:9" x14ac:dyDescent="0.2">
      <c r="B50" s="107" t="s">
        <v>15</v>
      </c>
      <c r="C50" s="109"/>
      <c r="D50" s="109"/>
      <c r="E50" s="110"/>
      <c r="F50" s="924"/>
      <c r="G50" s="924"/>
      <c r="H50" s="924"/>
      <c r="I50" s="924"/>
    </row>
    <row r="51" spans="2:9" x14ac:dyDescent="0.2">
      <c r="B51" s="940" t="s">
        <v>90</v>
      </c>
      <c r="C51" s="941"/>
      <c r="D51" s="941"/>
      <c r="E51" s="942"/>
      <c r="F51" s="915"/>
      <c r="G51" s="916"/>
      <c r="H51" s="917"/>
      <c r="I51" s="353">
        <v>0.14000000000000001</v>
      </c>
    </row>
    <row r="52" spans="2:9" x14ac:dyDescent="0.2">
      <c r="B52" s="937" t="s">
        <v>93</v>
      </c>
      <c r="C52" s="938"/>
      <c r="D52" s="938"/>
      <c r="E52" s="939"/>
      <c r="F52" s="915"/>
      <c r="G52" s="916"/>
      <c r="H52" s="917"/>
      <c r="I52" s="353">
        <v>0.1</v>
      </c>
    </row>
    <row r="53" spans="2:9" x14ac:dyDescent="0.2">
      <c r="B53" s="937" t="s">
        <v>97</v>
      </c>
      <c r="C53" s="938"/>
      <c r="D53" s="938"/>
      <c r="E53" s="939"/>
      <c r="F53" s="915"/>
      <c r="G53" s="916"/>
      <c r="H53" s="917"/>
      <c r="I53" s="353">
        <v>0.2</v>
      </c>
    </row>
    <row r="54" spans="2:9" x14ac:dyDescent="0.2">
      <c r="B54" s="937" t="s">
        <v>98</v>
      </c>
      <c r="C54" s="938"/>
      <c r="D54" s="938"/>
      <c r="E54" s="939"/>
      <c r="F54" s="915"/>
      <c r="G54" s="916"/>
      <c r="H54" s="917"/>
      <c r="I54" s="353">
        <v>0.12</v>
      </c>
    </row>
    <row r="55" spans="2:9" x14ac:dyDescent="0.2">
      <c r="B55" s="937" t="s">
        <v>100</v>
      </c>
      <c r="C55" s="938"/>
      <c r="D55" s="938"/>
      <c r="E55" s="939"/>
      <c r="F55" s="915"/>
      <c r="G55" s="916"/>
      <c r="H55" s="917"/>
      <c r="I55" s="353">
        <v>0.12</v>
      </c>
    </row>
    <row r="56" spans="2:9" x14ac:dyDescent="0.2">
      <c r="B56" s="937" t="s">
        <v>101</v>
      </c>
      <c r="C56" s="938"/>
      <c r="D56" s="938"/>
      <c r="E56" s="939"/>
      <c r="F56" s="915"/>
      <c r="G56" s="916"/>
      <c r="H56" s="917"/>
      <c r="I56" s="353">
        <v>0.1</v>
      </c>
    </row>
    <row r="57" spans="2:9" x14ac:dyDescent="0.2">
      <c r="B57" s="937" t="s">
        <v>109</v>
      </c>
      <c r="C57" s="938"/>
      <c r="D57" s="938"/>
      <c r="E57" s="939"/>
      <c r="F57" s="915"/>
      <c r="G57" s="916"/>
      <c r="H57" s="917"/>
      <c r="I57" s="353">
        <v>0.1</v>
      </c>
    </row>
    <row r="58" spans="2:9" x14ac:dyDescent="0.2">
      <c r="B58" s="937" t="s">
        <v>117</v>
      </c>
      <c r="C58" s="938"/>
      <c r="D58" s="938"/>
      <c r="E58" s="939"/>
      <c r="F58" s="915"/>
      <c r="G58" s="916"/>
      <c r="H58" s="917"/>
      <c r="I58" s="353">
        <v>0.12</v>
      </c>
    </row>
    <row r="59" spans="2:9" x14ac:dyDescent="0.2">
      <c r="B59" s="934"/>
      <c r="C59" s="935"/>
      <c r="D59" s="935"/>
      <c r="E59" s="936"/>
      <c r="F59" s="912"/>
      <c r="G59" s="913"/>
      <c r="H59" s="914"/>
      <c r="I59" s="353"/>
    </row>
    <row r="60" spans="2:9" x14ac:dyDescent="0.2">
      <c r="B60" s="934"/>
      <c r="C60" s="935"/>
      <c r="D60" s="935"/>
      <c r="E60" s="936"/>
      <c r="F60" s="912"/>
      <c r="G60" s="913"/>
      <c r="H60" s="914"/>
      <c r="I60" s="353"/>
    </row>
    <row r="61" spans="2:9" x14ac:dyDescent="0.2">
      <c r="B61" s="934"/>
      <c r="C61" s="935"/>
      <c r="D61" s="935"/>
      <c r="E61" s="936"/>
      <c r="F61" s="912"/>
      <c r="G61" s="913"/>
      <c r="H61" s="914"/>
      <c r="I61" s="353"/>
    </row>
    <row r="62" spans="2:9" x14ac:dyDescent="0.2">
      <c r="B62" s="934"/>
      <c r="C62" s="935"/>
      <c r="D62" s="935"/>
      <c r="E62" s="936"/>
      <c r="F62" s="912"/>
      <c r="G62" s="913"/>
      <c r="H62" s="914"/>
      <c r="I62" s="353"/>
    </row>
    <row r="63" spans="2:9" x14ac:dyDescent="0.2">
      <c r="B63" s="934"/>
      <c r="C63" s="935"/>
      <c r="D63" s="935"/>
      <c r="E63" s="936"/>
      <c r="F63" s="912"/>
      <c r="G63" s="913"/>
      <c r="H63" s="914"/>
      <c r="I63" s="353"/>
    </row>
    <row r="64" spans="2:9" x14ac:dyDescent="0.2">
      <c r="B64" s="934"/>
      <c r="C64" s="935"/>
      <c r="D64" s="935"/>
      <c r="E64" s="936"/>
      <c r="F64" s="912"/>
      <c r="G64" s="913"/>
      <c r="H64" s="914"/>
      <c r="I64" s="353"/>
    </row>
    <row r="65" spans="2:9" x14ac:dyDescent="0.2">
      <c r="B65" s="934"/>
      <c r="C65" s="935"/>
      <c r="D65" s="935"/>
      <c r="E65" s="936"/>
      <c r="F65" s="912"/>
      <c r="G65" s="913"/>
      <c r="H65" s="914"/>
      <c r="I65" s="353"/>
    </row>
    <row r="69" spans="2:9" x14ac:dyDescent="0.2">
      <c r="B69" s="928" t="str">
        <f>DATA!B64</f>
        <v>4 Improved Water Quality by Utilizing Excess Soil Nutrients</v>
      </c>
      <c r="C69" s="929"/>
      <c r="D69" s="929"/>
      <c r="E69" s="930"/>
      <c r="F69" s="924" t="s">
        <v>16</v>
      </c>
      <c r="G69" s="924"/>
      <c r="H69" s="924"/>
      <c r="I69" s="924" t="s">
        <v>775</v>
      </c>
    </row>
    <row r="70" spans="2:9" x14ac:dyDescent="0.2">
      <c r="B70" s="931"/>
      <c r="C70" s="932"/>
      <c r="D70" s="932"/>
      <c r="E70" s="933"/>
      <c r="F70" s="924"/>
      <c r="G70" s="924"/>
      <c r="H70" s="924"/>
      <c r="I70" s="924"/>
    </row>
    <row r="71" spans="2:9" x14ac:dyDescent="0.2">
      <c r="B71" s="107" t="s">
        <v>15</v>
      </c>
      <c r="C71" s="109"/>
      <c r="D71" s="109"/>
      <c r="E71" s="110"/>
      <c r="F71" s="924"/>
      <c r="G71" s="924"/>
      <c r="H71" s="924"/>
      <c r="I71" s="924"/>
    </row>
    <row r="72" spans="2:9" x14ac:dyDescent="0.2">
      <c r="B72" s="940" t="s">
        <v>74</v>
      </c>
      <c r="C72" s="941"/>
      <c r="D72" s="941"/>
      <c r="E72" s="942"/>
      <c r="F72" s="915"/>
      <c r="G72" s="916"/>
      <c r="H72" s="917"/>
      <c r="I72" s="353">
        <v>0.1</v>
      </c>
    </row>
    <row r="73" spans="2:9" x14ac:dyDescent="0.2">
      <c r="B73" s="937" t="s">
        <v>90</v>
      </c>
      <c r="C73" s="938"/>
      <c r="D73" s="938"/>
      <c r="E73" s="939"/>
      <c r="F73" s="915"/>
      <c r="G73" s="916"/>
      <c r="H73" s="917"/>
      <c r="I73" s="353">
        <v>0.15</v>
      </c>
    </row>
    <row r="74" spans="2:9" x14ac:dyDescent="0.2">
      <c r="B74" s="937" t="s">
        <v>97</v>
      </c>
      <c r="C74" s="938"/>
      <c r="D74" s="938"/>
      <c r="E74" s="939"/>
      <c r="F74" s="915"/>
      <c r="G74" s="916"/>
      <c r="H74" s="917"/>
      <c r="I74" s="353">
        <v>0.2</v>
      </c>
    </row>
    <row r="75" spans="2:9" x14ac:dyDescent="0.2">
      <c r="B75" s="937" t="s">
        <v>100</v>
      </c>
      <c r="C75" s="938"/>
      <c r="D75" s="938"/>
      <c r="E75" s="939"/>
      <c r="F75" s="915"/>
      <c r="G75" s="916"/>
      <c r="H75" s="917"/>
      <c r="I75" s="353">
        <v>0.15</v>
      </c>
    </row>
    <row r="76" spans="2:9" x14ac:dyDescent="0.2">
      <c r="B76" s="937" t="s">
        <v>101</v>
      </c>
      <c r="C76" s="938"/>
      <c r="D76" s="938"/>
      <c r="E76" s="939"/>
      <c r="F76" s="915"/>
      <c r="G76" s="916"/>
      <c r="H76" s="917"/>
      <c r="I76" s="353">
        <v>0.1</v>
      </c>
    </row>
    <row r="77" spans="2:9" x14ac:dyDescent="0.2">
      <c r="B77" s="937" t="s">
        <v>109</v>
      </c>
      <c r="C77" s="938"/>
      <c r="D77" s="938"/>
      <c r="E77" s="939"/>
      <c r="F77" s="915"/>
      <c r="G77" s="916"/>
      <c r="H77" s="917"/>
      <c r="I77" s="353">
        <v>0.15</v>
      </c>
    </row>
    <row r="78" spans="2:9" x14ac:dyDescent="0.2">
      <c r="B78" s="937" t="s">
        <v>117</v>
      </c>
      <c r="C78" s="938"/>
      <c r="D78" s="938"/>
      <c r="E78" s="939"/>
      <c r="F78" s="915"/>
      <c r="G78" s="916"/>
      <c r="H78" s="917"/>
      <c r="I78" s="353">
        <v>0.15</v>
      </c>
    </row>
    <row r="79" spans="2:9" x14ac:dyDescent="0.2">
      <c r="B79" s="937"/>
      <c r="C79" s="938"/>
      <c r="D79" s="938"/>
      <c r="E79" s="939"/>
      <c r="F79" s="915"/>
      <c r="G79" s="916"/>
      <c r="H79" s="917"/>
      <c r="I79" s="353"/>
    </row>
    <row r="80" spans="2:9" x14ac:dyDescent="0.2">
      <c r="B80" s="934"/>
      <c r="C80" s="935"/>
      <c r="D80" s="935"/>
      <c r="E80" s="936"/>
      <c r="F80" s="912"/>
      <c r="G80" s="913"/>
      <c r="H80" s="914"/>
      <c r="I80" s="353"/>
    </row>
    <row r="81" spans="2:9" x14ac:dyDescent="0.2">
      <c r="B81" s="934"/>
      <c r="C81" s="935"/>
      <c r="D81" s="935"/>
      <c r="E81" s="936"/>
      <c r="F81" s="912"/>
      <c r="G81" s="913"/>
      <c r="H81" s="914"/>
      <c r="I81" s="353"/>
    </row>
    <row r="82" spans="2:9" x14ac:dyDescent="0.2">
      <c r="B82" s="934"/>
      <c r="C82" s="935"/>
      <c r="D82" s="935"/>
      <c r="E82" s="936"/>
      <c r="F82" s="912"/>
      <c r="G82" s="913"/>
      <c r="H82" s="914"/>
      <c r="I82" s="353"/>
    </row>
    <row r="83" spans="2:9" x14ac:dyDescent="0.2">
      <c r="B83" s="934"/>
      <c r="C83" s="935"/>
      <c r="D83" s="935"/>
      <c r="E83" s="936"/>
      <c r="F83" s="912"/>
      <c r="G83" s="913"/>
      <c r="H83" s="914"/>
      <c r="I83" s="353"/>
    </row>
    <row r="84" spans="2:9" x14ac:dyDescent="0.2">
      <c r="B84" s="934"/>
      <c r="C84" s="935"/>
      <c r="D84" s="935"/>
      <c r="E84" s="936"/>
      <c r="F84" s="912"/>
      <c r="G84" s="913"/>
      <c r="H84" s="914"/>
      <c r="I84" s="353"/>
    </row>
    <row r="85" spans="2:9" x14ac:dyDescent="0.2">
      <c r="B85" s="934"/>
      <c r="C85" s="935"/>
      <c r="D85" s="935"/>
      <c r="E85" s="936"/>
      <c r="F85" s="912"/>
      <c r="G85" s="913"/>
      <c r="H85" s="914"/>
      <c r="I85" s="353"/>
    </row>
    <row r="86" spans="2:9" x14ac:dyDescent="0.2">
      <c r="B86" s="934"/>
      <c r="C86" s="935"/>
      <c r="D86" s="935"/>
      <c r="E86" s="936"/>
      <c r="F86" s="912"/>
      <c r="G86" s="913"/>
      <c r="H86" s="914"/>
      <c r="I86" s="353"/>
    </row>
    <row r="90" spans="2:9" x14ac:dyDescent="0.2">
      <c r="B90" s="928" t="str">
        <f>DATA!B65</f>
        <v xml:space="preserve">5 Reduction in Weed Pressure and Suppression of Pest Cycles </v>
      </c>
      <c r="C90" s="929"/>
      <c r="D90" s="929"/>
      <c r="E90" s="930"/>
      <c r="F90" s="924" t="s">
        <v>16</v>
      </c>
      <c r="G90" s="924"/>
      <c r="H90" s="924"/>
      <c r="I90" s="924" t="s">
        <v>775</v>
      </c>
    </row>
    <row r="91" spans="2:9" x14ac:dyDescent="0.2">
      <c r="B91" s="931"/>
      <c r="C91" s="932"/>
      <c r="D91" s="932"/>
      <c r="E91" s="933"/>
      <c r="F91" s="924"/>
      <c r="G91" s="924"/>
      <c r="H91" s="924"/>
      <c r="I91" s="924"/>
    </row>
    <row r="92" spans="2:9" x14ac:dyDescent="0.2">
      <c r="B92" s="107" t="s">
        <v>15</v>
      </c>
      <c r="C92" s="109"/>
      <c r="D92" s="109"/>
      <c r="E92" s="110"/>
      <c r="F92" s="924"/>
      <c r="G92" s="924"/>
      <c r="H92" s="924"/>
      <c r="I92" s="924"/>
    </row>
    <row r="93" spans="2:9" x14ac:dyDescent="0.2">
      <c r="B93" s="940" t="s">
        <v>61</v>
      </c>
      <c r="C93" s="941"/>
      <c r="D93" s="941"/>
      <c r="E93" s="942"/>
      <c r="F93" s="915"/>
      <c r="G93" s="916"/>
      <c r="H93" s="917"/>
      <c r="I93" s="353">
        <v>0.15</v>
      </c>
    </row>
    <row r="94" spans="2:9" x14ac:dyDescent="0.2">
      <c r="B94" s="937" t="s">
        <v>95</v>
      </c>
      <c r="C94" s="938"/>
      <c r="D94" s="938"/>
      <c r="E94" s="939"/>
      <c r="F94" s="915"/>
      <c r="G94" s="916"/>
      <c r="H94" s="917"/>
      <c r="I94" s="353">
        <v>0.1</v>
      </c>
    </row>
    <row r="95" spans="2:9" x14ac:dyDescent="0.2">
      <c r="B95" s="937" t="s">
        <v>97</v>
      </c>
      <c r="C95" s="938"/>
      <c r="D95" s="938"/>
      <c r="E95" s="939"/>
      <c r="F95" s="915"/>
      <c r="G95" s="916"/>
      <c r="H95" s="917"/>
      <c r="I95" s="353">
        <v>0.15</v>
      </c>
    </row>
    <row r="96" spans="2:9" x14ac:dyDescent="0.2">
      <c r="B96" s="937" t="s">
        <v>100</v>
      </c>
      <c r="C96" s="938"/>
      <c r="D96" s="938"/>
      <c r="E96" s="939"/>
      <c r="F96" s="915"/>
      <c r="G96" s="916"/>
      <c r="H96" s="917"/>
      <c r="I96" s="353">
        <v>0.15</v>
      </c>
    </row>
    <row r="97" spans="2:9" x14ac:dyDescent="0.2">
      <c r="B97" s="937" t="s">
        <v>101</v>
      </c>
      <c r="C97" s="938"/>
      <c r="D97" s="938"/>
      <c r="E97" s="939"/>
      <c r="F97" s="915"/>
      <c r="G97" s="916"/>
      <c r="H97" s="917"/>
      <c r="I97" s="353">
        <v>0.1</v>
      </c>
    </row>
    <row r="98" spans="2:9" x14ac:dyDescent="0.2">
      <c r="B98" s="943" t="s">
        <v>881</v>
      </c>
      <c r="C98" s="944"/>
      <c r="D98" s="944"/>
      <c r="E98" s="945"/>
      <c r="F98" s="915"/>
      <c r="G98" s="916"/>
      <c r="H98" s="917"/>
      <c r="I98" s="353">
        <v>0.35</v>
      </c>
    </row>
    <row r="99" spans="2:9" x14ac:dyDescent="0.2">
      <c r="B99" s="937"/>
      <c r="C99" s="938"/>
      <c r="D99" s="938"/>
      <c r="E99" s="939"/>
      <c r="F99" s="915"/>
      <c r="G99" s="916"/>
      <c r="H99" s="917"/>
      <c r="I99" s="353"/>
    </row>
    <row r="100" spans="2:9" x14ac:dyDescent="0.2">
      <c r="B100" s="937"/>
      <c r="C100" s="938"/>
      <c r="D100" s="938"/>
      <c r="E100" s="939"/>
      <c r="F100" s="915"/>
      <c r="G100" s="916"/>
      <c r="H100" s="917"/>
      <c r="I100" s="353"/>
    </row>
    <row r="101" spans="2:9" x14ac:dyDescent="0.2">
      <c r="B101" s="934"/>
      <c r="C101" s="935"/>
      <c r="D101" s="935"/>
      <c r="E101" s="936"/>
      <c r="F101" s="912"/>
      <c r="G101" s="913"/>
      <c r="H101" s="914"/>
      <c r="I101" s="353"/>
    </row>
    <row r="102" spans="2:9" x14ac:dyDescent="0.2">
      <c r="B102" s="934"/>
      <c r="C102" s="935"/>
      <c r="D102" s="935"/>
      <c r="E102" s="936"/>
      <c r="F102" s="912"/>
      <c r="G102" s="913"/>
      <c r="H102" s="914"/>
      <c r="I102" s="353"/>
    </row>
    <row r="103" spans="2:9" x14ac:dyDescent="0.2">
      <c r="B103" s="934"/>
      <c r="C103" s="935"/>
      <c r="D103" s="935"/>
      <c r="E103" s="936"/>
      <c r="F103" s="912"/>
      <c r="G103" s="913"/>
      <c r="H103" s="914"/>
      <c r="I103" s="353"/>
    </row>
    <row r="104" spans="2:9" x14ac:dyDescent="0.2">
      <c r="B104" s="934"/>
      <c r="C104" s="935"/>
      <c r="D104" s="935"/>
      <c r="E104" s="936"/>
      <c r="F104" s="912"/>
      <c r="G104" s="913"/>
      <c r="H104" s="914"/>
      <c r="I104" s="353"/>
    </row>
    <row r="105" spans="2:9" x14ac:dyDescent="0.2">
      <c r="B105" s="934"/>
      <c r="C105" s="935"/>
      <c r="D105" s="935"/>
      <c r="E105" s="936"/>
      <c r="F105" s="912"/>
      <c r="G105" s="913"/>
      <c r="H105" s="914"/>
      <c r="I105" s="353"/>
    </row>
    <row r="106" spans="2:9" x14ac:dyDescent="0.2">
      <c r="B106" s="934"/>
      <c r="C106" s="935"/>
      <c r="D106" s="935"/>
      <c r="E106" s="936"/>
      <c r="F106" s="912"/>
      <c r="G106" s="913"/>
      <c r="H106" s="914"/>
      <c r="I106" s="353"/>
    </row>
    <row r="107" spans="2:9" x14ac:dyDescent="0.2">
      <c r="B107" s="934"/>
      <c r="C107" s="935"/>
      <c r="D107" s="935"/>
      <c r="E107" s="936"/>
      <c r="F107" s="912"/>
      <c r="G107" s="913"/>
      <c r="H107" s="914"/>
      <c r="I107" s="353"/>
    </row>
    <row r="111" spans="2:9" x14ac:dyDescent="0.2">
      <c r="B111" s="928" t="str">
        <f>DATA!B66</f>
        <v>6 Moisture Management or Increase Soil Organic Matter</v>
      </c>
      <c r="C111" s="929"/>
      <c r="D111" s="929"/>
      <c r="E111" s="930"/>
      <c r="F111" s="924" t="s">
        <v>16</v>
      </c>
      <c r="G111" s="924"/>
      <c r="H111" s="924"/>
      <c r="I111" s="924" t="s">
        <v>775</v>
      </c>
    </row>
    <row r="112" spans="2:9" x14ac:dyDescent="0.2">
      <c r="B112" s="931"/>
      <c r="C112" s="932"/>
      <c r="D112" s="932"/>
      <c r="E112" s="933"/>
      <c r="F112" s="924"/>
      <c r="G112" s="924"/>
      <c r="H112" s="924"/>
      <c r="I112" s="924"/>
    </row>
    <row r="113" spans="2:9" x14ac:dyDescent="0.2">
      <c r="B113" s="107" t="s">
        <v>15</v>
      </c>
      <c r="C113" s="109"/>
      <c r="D113" s="109"/>
      <c r="E113" s="110"/>
      <c r="F113" s="924"/>
      <c r="G113" s="924"/>
      <c r="H113" s="924"/>
      <c r="I113" s="924"/>
    </row>
    <row r="114" spans="2:9" x14ac:dyDescent="0.2">
      <c r="B114" s="940" t="s">
        <v>61</v>
      </c>
      <c r="C114" s="941"/>
      <c r="D114" s="941"/>
      <c r="E114" s="942"/>
      <c r="F114" s="915"/>
      <c r="G114" s="916"/>
      <c r="H114" s="917"/>
      <c r="I114" s="353">
        <v>0.2</v>
      </c>
    </row>
    <row r="115" spans="2:9" x14ac:dyDescent="0.2">
      <c r="B115" s="937" t="s">
        <v>881</v>
      </c>
      <c r="C115" s="938"/>
      <c r="D115" s="938"/>
      <c r="E115" s="939"/>
      <c r="F115" s="915"/>
      <c r="G115" s="916"/>
      <c r="H115" s="917"/>
      <c r="I115" s="353">
        <v>0.6</v>
      </c>
    </row>
    <row r="116" spans="2:9" x14ac:dyDescent="0.2">
      <c r="B116" s="937" t="s">
        <v>102</v>
      </c>
      <c r="C116" s="938"/>
      <c r="D116" s="938"/>
      <c r="E116" s="939"/>
      <c r="F116" s="915"/>
      <c r="G116" s="916"/>
      <c r="H116" s="917"/>
      <c r="I116" s="353">
        <v>0.2</v>
      </c>
    </row>
    <row r="117" spans="2:9" x14ac:dyDescent="0.2">
      <c r="B117" s="937"/>
      <c r="C117" s="938"/>
      <c r="D117" s="938"/>
      <c r="E117" s="939"/>
      <c r="F117" s="915"/>
      <c r="G117" s="916"/>
      <c r="H117" s="917"/>
      <c r="I117" s="353"/>
    </row>
    <row r="118" spans="2:9" x14ac:dyDescent="0.2">
      <c r="B118" s="937"/>
      <c r="C118" s="938"/>
      <c r="D118" s="938"/>
      <c r="E118" s="939"/>
      <c r="F118" s="915"/>
      <c r="G118" s="916"/>
      <c r="H118" s="917"/>
      <c r="I118" s="353"/>
    </row>
    <row r="119" spans="2:9" x14ac:dyDescent="0.2">
      <c r="B119" s="937"/>
      <c r="C119" s="938"/>
      <c r="D119" s="938"/>
      <c r="E119" s="939"/>
      <c r="F119" s="915"/>
      <c r="G119" s="916"/>
      <c r="H119" s="917"/>
      <c r="I119" s="353"/>
    </row>
    <row r="120" spans="2:9" x14ac:dyDescent="0.2">
      <c r="B120" s="937"/>
      <c r="C120" s="938"/>
      <c r="D120" s="938"/>
      <c r="E120" s="939"/>
      <c r="F120" s="915"/>
      <c r="G120" s="916"/>
      <c r="H120" s="917"/>
      <c r="I120" s="353"/>
    </row>
    <row r="121" spans="2:9" x14ac:dyDescent="0.2">
      <c r="B121" s="937"/>
      <c r="C121" s="938"/>
      <c r="D121" s="938"/>
      <c r="E121" s="939"/>
      <c r="F121" s="915"/>
      <c r="G121" s="916"/>
      <c r="H121" s="917"/>
      <c r="I121" s="353"/>
    </row>
    <row r="122" spans="2:9" x14ac:dyDescent="0.2">
      <c r="B122" s="934"/>
      <c r="C122" s="935"/>
      <c r="D122" s="935"/>
      <c r="E122" s="936"/>
      <c r="F122" s="912"/>
      <c r="G122" s="913"/>
      <c r="H122" s="914"/>
      <c r="I122" s="353"/>
    </row>
    <row r="123" spans="2:9" x14ac:dyDescent="0.2">
      <c r="B123" s="934"/>
      <c r="C123" s="935"/>
      <c r="D123" s="935"/>
      <c r="E123" s="936"/>
      <c r="F123" s="912"/>
      <c r="G123" s="913"/>
      <c r="H123" s="914"/>
      <c r="I123" s="353"/>
    </row>
    <row r="124" spans="2:9" x14ac:dyDescent="0.2">
      <c r="B124" s="934"/>
      <c r="C124" s="935"/>
      <c r="D124" s="935"/>
      <c r="E124" s="936"/>
      <c r="F124" s="912"/>
      <c r="G124" s="913"/>
      <c r="H124" s="914"/>
      <c r="I124" s="353"/>
    </row>
    <row r="125" spans="2:9" x14ac:dyDescent="0.2">
      <c r="B125" s="934"/>
      <c r="C125" s="935"/>
      <c r="D125" s="935"/>
      <c r="E125" s="936"/>
      <c r="F125" s="912"/>
      <c r="G125" s="913"/>
      <c r="H125" s="914"/>
      <c r="I125" s="353"/>
    </row>
    <row r="126" spans="2:9" x14ac:dyDescent="0.2">
      <c r="B126" s="934"/>
      <c r="C126" s="935"/>
      <c r="D126" s="935"/>
      <c r="E126" s="936"/>
      <c r="F126" s="912"/>
      <c r="G126" s="913"/>
      <c r="H126" s="914"/>
      <c r="I126" s="353"/>
    </row>
    <row r="127" spans="2:9" x14ac:dyDescent="0.2">
      <c r="B127" s="934"/>
      <c r="C127" s="935"/>
      <c r="D127" s="935"/>
      <c r="E127" s="936"/>
      <c r="F127" s="912"/>
      <c r="G127" s="913"/>
      <c r="H127" s="914"/>
      <c r="I127" s="353"/>
    </row>
    <row r="128" spans="2:9" x14ac:dyDescent="0.2">
      <c r="B128" s="934"/>
      <c r="C128" s="935"/>
      <c r="D128" s="935"/>
      <c r="E128" s="936"/>
      <c r="F128" s="912"/>
      <c r="G128" s="913"/>
      <c r="H128" s="914"/>
      <c r="I128" s="353"/>
    </row>
    <row r="132" spans="2:9" x14ac:dyDescent="0.2">
      <c r="B132" s="928" t="str">
        <f>DATA!B67</f>
        <v xml:space="preserve">7 Soil Compaction Reduction </v>
      </c>
      <c r="C132" s="929"/>
      <c r="D132" s="929"/>
      <c r="E132" s="930"/>
      <c r="F132" s="924" t="s">
        <v>16</v>
      </c>
      <c r="G132" s="924"/>
      <c r="H132" s="924"/>
      <c r="I132" s="924" t="s">
        <v>775</v>
      </c>
    </row>
    <row r="133" spans="2:9" x14ac:dyDescent="0.2">
      <c r="B133" s="931"/>
      <c r="C133" s="932"/>
      <c r="D133" s="932"/>
      <c r="E133" s="933"/>
      <c r="F133" s="924"/>
      <c r="G133" s="924"/>
      <c r="H133" s="924"/>
      <c r="I133" s="924"/>
    </row>
    <row r="134" spans="2:9" x14ac:dyDescent="0.2">
      <c r="B134" s="107" t="s">
        <v>15</v>
      </c>
      <c r="C134" s="109"/>
      <c r="D134" s="109"/>
      <c r="E134" s="110"/>
      <c r="F134" s="924"/>
      <c r="G134" s="924"/>
      <c r="H134" s="924"/>
      <c r="I134" s="924"/>
    </row>
    <row r="135" spans="2:9" x14ac:dyDescent="0.2">
      <c r="B135" s="940" t="s">
        <v>83</v>
      </c>
      <c r="C135" s="941"/>
      <c r="D135" s="941"/>
      <c r="E135" s="942"/>
      <c r="F135" s="915"/>
      <c r="G135" s="916"/>
      <c r="H135" s="917"/>
      <c r="I135" s="353">
        <v>0.1</v>
      </c>
    </row>
    <row r="136" spans="2:9" x14ac:dyDescent="0.2">
      <c r="B136" s="937" t="s">
        <v>97</v>
      </c>
      <c r="C136" s="938"/>
      <c r="D136" s="938"/>
      <c r="E136" s="939"/>
      <c r="F136" s="915"/>
      <c r="G136" s="916"/>
      <c r="H136" s="917"/>
      <c r="I136" s="353">
        <v>0.2</v>
      </c>
    </row>
    <row r="137" spans="2:9" x14ac:dyDescent="0.2">
      <c r="B137" s="937" t="s">
        <v>98</v>
      </c>
      <c r="C137" s="938"/>
      <c r="D137" s="938"/>
      <c r="E137" s="939"/>
      <c r="F137" s="915"/>
      <c r="G137" s="916"/>
      <c r="H137" s="917"/>
      <c r="I137" s="353">
        <v>0.1</v>
      </c>
    </row>
    <row r="138" spans="2:9" x14ac:dyDescent="0.2">
      <c r="B138" s="937" t="s">
        <v>100</v>
      </c>
      <c r="C138" s="938"/>
      <c r="D138" s="938"/>
      <c r="E138" s="939"/>
      <c r="F138" s="915"/>
      <c r="G138" s="916"/>
      <c r="H138" s="917"/>
      <c r="I138" s="353">
        <v>0.15</v>
      </c>
    </row>
    <row r="139" spans="2:9" x14ac:dyDescent="0.2">
      <c r="B139" s="937" t="s">
        <v>101</v>
      </c>
      <c r="C139" s="938"/>
      <c r="D139" s="938"/>
      <c r="E139" s="939"/>
      <c r="F139" s="915"/>
      <c r="G139" s="916"/>
      <c r="H139" s="917"/>
      <c r="I139" s="353">
        <v>0.1</v>
      </c>
    </row>
    <row r="140" spans="2:9" x14ac:dyDescent="0.2">
      <c r="B140" s="937" t="s">
        <v>102</v>
      </c>
      <c r="C140" s="938"/>
      <c r="D140" s="938"/>
      <c r="E140" s="939"/>
      <c r="F140" s="915"/>
      <c r="G140" s="916"/>
      <c r="H140" s="917"/>
      <c r="I140" s="353">
        <v>0.2</v>
      </c>
    </row>
    <row r="141" spans="2:9" x14ac:dyDescent="0.2">
      <c r="B141" s="937" t="s">
        <v>109</v>
      </c>
      <c r="C141" s="938"/>
      <c r="D141" s="938"/>
      <c r="E141" s="939"/>
      <c r="F141" s="915"/>
      <c r="G141" s="916"/>
      <c r="H141" s="917"/>
      <c r="I141" s="353">
        <v>0.15</v>
      </c>
    </row>
    <row r="142" spans="2:9" x14ac:dyDescent="0.2">
      <c r="B142" s="937"/>
      <c r="C142" s="938"/>
      <c r="D142" s="938"/>
      <c r="E142" s="939"/>
      <c r="F142" s="915"/>
      <c r="G142" s="916"/>
      <c r="H142" s="917"/>
      <c r="I142" s="353"/>
    </row>
    <row r="143" spans="2:9" x14ac:dyDescent="0.2">
      <c r="B143" s="934"/>
      <c r="C143" s="935"/>
      <c r="D143" s="935"/>
      <c r="E143" s="936"/>
      <c r="F143" s="912"/>
      <c r="G143" s="913"/>
      <c r="H143" s="914"/>
      <c r="I143" s="353"/>
    </row>
    <row r="144" spans="2:9" x14ac:dyDescent="0.2">
      <c r="B144" s="934"/>
      <c r="C144" s="935"/>
      <c r="D144" s="935"/>
      <c r="E144" s="936"/>
      <c r="F144" s="912"/>
      <c r="G144" s="913"/>
      <c r="H144" s="914"/>
      <c r="I144" s="353"/>
    </row>
    <row r="145" spans="2:9" x14ac:dyDescent="0.2">
      <c r="B145" s="934"/>
      <c r="C145" s="935"/>
      <c r="D145" s="935"/>
      <c r="E145" s="936"/>
      <c r="F145" s="912"/>
      <c r="G145" s="913"/>
      <c r="H145" s="914"/>
      <c r="I145" s="353"/>
    </row>
    <row r="146" spans="2:9" x14ac:dyDescent="0.2">
      <c r="B146" s="934"/>
      <c r="C146" s="935"/>
      <c r="D146" s="935"/>
      <c r="E146" s="936"/>
      <c r="F146" s="912"/>
      <c r="G146" s="913"/>
      <c r="H146" s="914"/>
      <c r="I146" s="353"/>
    </row>
    <row r="147" spans="2:9" x14ac:dyDescent="0.2">
      <c r="B147" s="934"/>
      <c r="C147" s="935"/>
      <c r="D147" s="935"/>
      <c r="E147" s="936"/>
      <c r="F147" s="912"/>
      <c r="G147" s="913"/>
      <c r="H147" s="914"/>
      <c r="I147" s="353"/>
    </row>
    <row r="148" spans="2:9" x14ac:dyDescent="0.2">
      <c r="B148" s="934"/>
      <c r="C148" s="935"/>
      <c r="D148" s="935"/>
      <c r="E148" s="936"/>
      <c r="F148" s="912"/>
      <c r="G148" s="913"/>
      <c r="H148" s="914"/>
      <c r="I148" s="353"/>
    </row>
    <row r="149" spans="2:9" x14ac:dyDescent="0.2">
      <c r="B149" s="934"/>
      <c r="C149" s="935"/>
      <c r="D149" s="935"/>
      <c r="E149" s="936"/>
      <c r="F149" s="912"/>
      <c r="G149" s="913"/>
      <c r="H149" s="914"/>
      <c r="I149" s="353"/>
    </row>
    <row r="153" spans="2:9" x14ac:dyDescent="0.2">
      <c r="B153" s="928" t="str">
        <f>DATA!B68</f>
        <v xml:space="preserve">8 Nitrogen for Subsequent Crop </v>
      </c>
      <c r="C153" s="929"/>
      <c r="D153" s="929"/>
      <c r="E153" s="930"/>
      <c r="F153" s="924" t="s">
        <v>16</v>
      </c>
      <c r="G153" s="924"/>
      <c r="H153" s="924"/>
      <c r="I153" s="924" t="s">
        <v>775</v>
      </c>
    </row>
    <row r="154" spans="2:9" x14ac:dyDescent="0.2">
      <c r="B154" s="931"/>
      <c r="C154" s="932"/>
      <c r="D154" s="932"/>
      <c r="E154" s="933"/>
      <c r="F154" s="924"/>
      <c r="G154" s="924"/>
      <c r="H154" s="924"/>
      <c r="I154" s="924"/>
    </row>
    <row r="155" spans="2:9" x14ac:dyDescent="0.2">
      <c r="B155" s="107" t="s">
        <v>15</v>
      </c>
      <c r="C155" s="109"/>
      <c r="D155" s="109"/>
      <c r="E155" s="110"/>
      <c r="F155" s="924"/>
      <c r="G155" s="924"/>
      <c r="H155" s="924"/>
      <c r="I155" s="924"/>
    </row>
    <row r="156" spans="2:9" x14ac:dyDescent="0.2">
      <c r="B156" s="940" t="s">
        <v>81</v>
      </c>
      <c r="C156" s="941"/>
      <c r="D156" s="941"/>
      <c r="E156" s="942"/>
      <c r="F156" s="915"/>
      <c r="G156" s="916"/>
      <c r="H156" s="917"/>
      <c r="I156" s="353">
        <v>0.1</v>
      </c>
    </row>
    <row r="157" spans="2:9" x14ac:dyDescent="0.2">
      <c r="B157" s="937" t="s">
        <v>83</v>
      </c>
      <c r="C157" s="938"/>
      <c r="D157" s="938"/>
      <c r="E157" s="939"/>
      <c r="F157" s="915"/>
      <c r="G157" s="916"/>
      <c r="H157" s="917"/>
      <c r="I157" s="353">
        <v>0.1</v>
      </c>
    </row>
    <row r="158" spans="2:9" x14ac:dyDescent="0.2">
      <c r="B158" s="937" t="s">
        <v>86</v>
      </c>
      <c r="C158" s="938"/>
      <c r="D158" s="938"/>
      <c r="E158" s="939"/>
      <c r="F158" s="915"/>
      <c r="G158" s="916"/>
      <c r="H158" s="917"/>
      <c r="I158" s="353">
        <v>0.1</v>
      </c>
    </row>
    <row r="159" spans="2:9" x14ac:dyDescent="0.2">
      <c r="B159" s="937" t="s">
        <v>97</v>
      </c>
      <c r="C159" s="938"/>
      <c r="D159" s="938"/>
      <c r="E159" s="939"/>
      <c r="F159" s="915"/>
      <c r="G159" s="916"/>
      <c r="H159" s="917"/>
      <c r="I159" s="353">
        <v>0.15</v>
      </c>
    </row>
    <row r="160" spans="2:9" x14ac:dyDescent="0.2">
      <c r="B160" s="937" t="s">
        <v>98</v>
      </c>
      <c r="C160" s="938"/>
      <c r="D160" s="938"/>
      <c r="E160" s="939"/>
      <c r="F160" s="915"/>
      <c r="G160" s="916"/>
      <c r="H160" s="917"/>
      <c r="I160" s="353">
        <v>0.15</v>
      </c>
    </row>
    <row r="161" spans="2:9" x14ac:dyDescent="0.2">
      <c r="B161" s="937" t="s">
        <v>100</v>
      </c>
      <c r="C161" s="938"/>
      <c r="D161" s="938"/>
      <c r="E161" s="939"/>
      <c r="F161" s="915"/>
      <c r="G161" s="916"/>
      <c r="H161" s="917"/>
      <c r="I161" s="353">
        <v>0.1</v>
      </c>
    </row>
    <row r="162" spans="2:9" x14ac:dyDescent="0.2">
      <c r="B162" s="937" t="s">
        <v>116</v>
      </c>
      <c r="C162" s="938"/>
      <c r="D162" s="938"/>
      <c r="E162" s="939"/>
      <c r="F162" s="915"/>
      <c r="G162" s="916"/>
      <c r="H162" s="917"/>
      <c r="I162" s="353">
        <v>0.15</v>
      </c>
    </row>
    <row r="163" spans="2:9" x14ac:dyDescent="0.2">
      <c r="B163" s="937" t="s">
        <v>117</v>
      </c>
      <c r="C163" s="938"/>
      <c r="D163" s="938"/>
      <c r="E163" s="939"/>
      <c r="F163" s="915"/>
      <c r="G163" s="916"/>
      <c r="H163" s="917"/>
      <c r="I163" s="353">
        <v>0.15</v>
      </c>
    </row>
    <row r="164" spans="2:9" x14ac:dyDescent="0.2">
      <c r="B164" s="934"/>
      <c r="C164" s="935"/>
      <c r="D164" s="935"/>
      <c r="E164" s="936"/>
      <c r="F164" s="912"/>
      <c r="G164" s="913"/>
      <c r="H164" s="914"/>
      <c r="I164" s="353"/>
    </row>
    <row r="165" spans="2:9" x14ac:dyDescent="0.2">
      <c r="B165" s="934"/>
      <c r="C165" s="935"/>
      <c r="D165" s="935"/>
      <c r="E165" s="936"/>
      <c r="F165" s="912"/>
      <c r="G165" s="913"/>
      <c r="H165" s="914"/>
      <c r="I165" s="353"/>
    </row>
    <row r="166" spans="2:9" x14ac:dyDescent="0.2">
      <c r="B166" s="934"/>
      <c r="C166" s="935"/>
      <c r="D166" s="935"/>
      <c r="E166" s="936"/>
      <c r="F166" s="912"/>
      <c r="G166" s="913"/>
      <c r="H166" s="914"/>
      <c r="I166" s="353"/>
    </row>
    <row r="167" spans="2:9" x14ac:dyDescent="0.2">
      <c r="B167" s="934"/>
      <c r="C167" s="935"/>
      <c r="D167" s="935"/>
      <c r="E167" s="936"/>
      <c r="F167" s="912"/>
      <c r="G167" s="913"/>
      <c r="H167" s="914"/>
      <c r="I167" s="353"/>
    </row>
    <row r="168" spans="2:9" x14ac:dyDescent="0.2">
      <c r="B168" s="934"/>
      <c r="C168" s="935"/>
      <c r="D168" s="935"/>
      <c r="E168" s="936"/>
      <c r="F168" s="912"/>
      <c r="G168" s="913"/>
      <c r="H168" s="914"/>
      <c r="I168" s="353"/>
    </row>
    <row r="169" spans="2:9" x14ac:dyDescent="0.2">
      <c r="B169" s="934"/>
      <c r="C169" s="935"/>
      <c r="D169" s="935"/>
      <c r="E169" s="936"/>
      <c r="F169" s="912"/>
      <c r="G169" s="913"/>
      <c r="H169" s="914"/>
      <c r="I169" s="353"/>
    </row>
    <row r="170" spans="2:9" x14ac:dyDescent="0.2">
      <c r="B170" s="934"/>
      <c r="C170" s="935"/>
      <c r="D170" s="935"/>
      <c r="E170" s="936"/>
      <c r="F170" s="912"/>
      <c r="G170" s="913"/>
      <c r="H170" s="914"/>
      <c r="I170" s="353"/>
    </row>
    <row r="174" spans="2:9" ht="12.75" customHeight="1" x14ac:dyDescent="0.2">
      <c r="B174" s="928" t="str">
        <f>DATA!B69</f>
        <v>9 Concentration of Salts and Other Chemicals</v>
      </c>
      <c r="C174" s="929"/>
      <c r="D174" s="929"/>
      <c r="E174" s="930"/>
      <c r="F174" s="924" t="s">
        <v>16</v>
      </c>
      <c r="G174" s="924"/>
      <c r="H174" s="924"/>
      <c r="I174" s="924" t="s">
        <v>775</v>
      </c>
    </row>
    <row r="175" spans="2:9" x14ac:dyDescent="0.2">
      <c r="B175" s="931"/>
      <c r="C175" s="932"/>
      <c r="D175" s="932"/>
      <c r="E175" s="933"/>
      <c r="F175" s="924"/>
      <c r="G175" s="924"/>
      <c r="H175" s="924"/>
      <c r="I175" s="924"/>
    </row>
    <row r="176" spans="2:9" x14ac:dyDescent="0.2">
      <c r="B176" s="107" t="s">
        <v>15</v>
      </c>
      <c r="C176" s="109"/>
      <c r="D176" s="109"/>
      <c r="E176" s="110"/>
      <c r="F176" s="924"/>
      <c r="G176" s="924"/>
      <c r="H176" s="924"/>
      <c r="I176" s="924"/>
    </row>
    <row r="177" spans="2:9" x14ac:dyDescent="0.2">
      <c r="B177" s="940" t="s">
        <v>61</v>
      </c>
      <c r="C177" s="941"/>
      <c r="D177" s="941"/>
      <c r="E177" s="942"/>
      <c r="F177" s="915"/>
      <c r="G177" s="916"/>
      <c r="H177" s="917"/>
      <c r="I177" s="353">
        <v>0.5</v>
      </c>
    </row>
    <row r="178" spans="2:9" x14ac:dyDescent="0.2">
      <c r="B178" s="937" t="s">
        <v>101</v>
      </c>
      <c r="C178" s="938"/>
      <c r="D178" s="938"/>
      <c r="E178" s="939"/>
      <c r="F178" s="915"/>
      <c r="G178" s="916"/>
      <c r="H178" s="917"/>
      <c r="I178" s="353">
        <v>0.1</v>
      </c>
    </row>
    <row r="179" spans="2:9" x14ac:dyDescent="0.2">
      <c r="B179" s="937" t="s">
        <v>881</v>
      </c>
      <c r="C179" s="938"/>
      <c r="D179" s="938"/>
      <c r="E179" s="939"/>
      <c r="F179" s="915"/>
      <c r="G179" s="916"/>
      <c r="H179" s="917"/>
      <c r="I179" s="353">
        <v>0.4</v>
      </c>
    </row>
    <row r="180" spans="2:9" x14ac:dyDescent="0.2">
      <c r="B180" s="937"/>
      <c r="C180" s="938"/>
      <c r="D180" s="938"/>
      <c r="E180" s="939"/>
      <c r="F180" s="915"/>
      <c r="G180" s="916"/>
      <c r="H180" s="917"/>
      <c r="I180" s="353"/>
    </row>
    <row r="181" spans="2:9" x14ac:dyDescent="0.2">
      <c r="B181" s="937"/>
      <c r="C181" s="938"/>
      <c r="D181" s="938"/>
      <c r="E181" s="939"/>
      <c r="F181" s="915"/>
      <c r="G181" s="916"/>
      <c r="H181" s="917"/>
      <c r="I181" s="353"/>
    </row>
    <row r="182" spans="2:9" x14ac:dyDescent="0.2">
      <c r="B182" s="937"/>
      <c r="C182" s="938"/>
      <c r="D182" s="938"/>
      <c r="E182" s="939"/>
      <c r="F182" s="915"/>
      <c r="G182" s="916"/>
      <c r="H182" s="917"/>
      <c r="I182" s="353"/>
    </row>
    <row r="183" spans="2:9" x14ac:dyDescent="0.2">
      <c r="B183" s="937"/>
      <c r="C183" s="938"/>
      <c r="D183" s="938"/>
      <c r="E183" s="939"/>
      <c r="F183" s="915"/>
      <c r="G183" s="916"/>
      <c r="H183" s="917"/>
      <c r="I183" s="353"/>
    </row>
    <row r="184" spans="2:9" x14ac:dyDescent="0.2">
      <c r="B184" s="937"/>
      <c r="C184" s="938"/>
      <c r="D184" s="938"/>
      <c r="E184" s="939"/>
      <c r="F184" s="915"/>
      <c r="G184" s="916"/>
      <c r="H184" s="917"/>
      <c r="I184" s="353"/>
    </row>
    <row r="185" spans="2:9" x14ac:dyDescent="0.2">
      <c r="B185" s="934"/>
      <c r="C185" s="935"/>
      <c r="D185" s="935"/>
      <c r="E185" s="936"/>
      <c r="F185" s="912"/>
      <c r="G185" s="913"/>
      <c r="H185" s="914"/>
      <c r="I185" s="353"/>
    </row>
    <row r="186" spans="2:9" x14ac:dyDescent="0.2">
      <c r="B186" s="934"/>
      <c r="C186" s="935"/>
      <c r="D186" s="935"/>
      <c r="E186" s="936"/>
      <c r="F186" s="912"/>
      <c r="G186" s="913"/>
      <c r="H186" s="914"/>
      <c r="I186" s="353"/>
    </row>
    <row r="187" spans="2:9" x14ac:dyDescent="0.2">
      <c r="B187" s="934"/>
      <c r="C187" s="935"/>
      <c r="D187" s="935"/>
      <c r="E187" s="936"/>
      <c r="F187" s="912"/>
      <c r="G187" s="913"/>
      <c r="H187" s="914"/>
      <c r="I187" s="353"/>
    </row>
    <row r="188" spans="2:9" x14ac:dyDescent="0.2">
      <c r="B188" s="934"/>
      <c r="C188" s="935"/>
      <c r="D188" s="935"/>
      <c r="E188" s="936"/>
      <c r="F188" s="912"/>
      <c r="G188" s="913"/>
      <c r="H188" s="914"/>
      <c r="I188" s="353"/>
    </row>
    <row r="189" spans="2:9" x14ac:dyDescent="0.2">
      <c r="B189" s="934"/>
      <c r="C189" s="935"/>
      <c r="D189" s="935"/>
      <c r="E189" s="936"/>
      <c r="F189" s="912"/>
      <c r="G189" s="913"/>
      <c r="H189" s="914"/>
      <c r="I189" s="353"/>
    </row>
    <row r="190" spans="2:9" x14ac:dyDescent="0.2">
      <c r="B190" s="934"/>
      <c r="C190" s="935"/>
      <c r="D190" s="935"/>
      <c r="E190" s="936"/>
      <c r="F190" s="912"/>
      <c r="G190" s="913"/>
      <c r="H190" s="914"/>
      <c r="I190" s="353"/>
    </row>
    <row r="191" spans="2:9" x14ac:dyDescent="0.2">
      <c r="B191" s="934"/>
      <c r="C191" s="935"/>
      <c r="D191" s="935"/>
      <c r="E191" s="936"/>
      <c r="F191" s="912"/>
      <c r="G191" s="913"/>
      <c r="H191" s="914"/>
      <c r="I191" s="353"/>
    </row>
    <row r="195" spans="2:9" ht="12.75" customHeight="1" x14ac:dyDescent="0.2">
      <c r="B195" s="928" t="str">
        <f>DATA!B70</f>
        <v xml:space="preserve">10 Wildlife, Pollinator, and Beneficial Organism Improvement </v>
      </c>
      <c r="C195" s="929"/>
      <c r="D195" s="929"/>
      <c r="E195" s="930"/>
      <c r="F195" s="924" t="s">
        <v>16</v>
      </c>
      <c r="G195" s="924"/>
      <c r="H195" s="924"/>
      <c r="I195" s="924" t="s">
        <v>775</v>
      </c>
    </row>
    <row r="196" spans="2:9" x14ac:dyDescent="0.2">
      <c r="B196" s="931"/>
      <c r="C196" s="932"/>
      <c r="D196" s="932"/>
      <c r="E196" s="933"/>
      <c r="F196" s="924"/>
      <c r="G196" s="924"/>
      <c r="H196" s="924"/>
      <c r="I196" s="924"/>
    </row>
    <row r="197" spans="2:9" x14ac:dyDescent="0.2">
      <c r="B197" s="107" t="s">
        <v>15</v>
      </c>
      <c r="C197" s="109"/>
      <c r="D197" s="109"/>
      <c r="E197" s="110"/>
      <c r="F197" s="924"/>
      <c r="G197" s="924"/>
      <c r="H197" s="924"/>
      <c r="I197" s="924"/>
    </row>
    <row r="198" spans="2:9" x14ac:dyDescent="0.2">
      <c r="B198" s="940" t="s">
        <v>73</v>
      </c>
      <c r="C198" s="941"/>
      <c r="D198" s="941"/>
      <c r="E198" s="942"/>
      <c r="F198" s="915"/>
      <c r="G198" s="916"/>
      <c r="H198" s="917"/>
      <c r="I198" s="353">
        <v>0.1</v>
      </c>
    </row>
    <row r="199" spans="2:9" x14ac:dyDescent="0.2">
      <c r="B199" s="937" t="s">
        <v>77</v>
      </c>
      <c r="C199" s="938"/>
      <c r="D199" s="938"/>
      <c r="E199" s="939"/>
      <c r="F199" s="915"/>
      <c r="G199" s="916"/>
      <c r="H199" s="917"/>
      <c r="I199" s="353">
        <v>0.15</v>
      </c>
    </row>
    <row r="200" spans="2:9" x14ac:dyDescent="0.2">
      <c r="B200" s="937" t="s">
        <v>81</v>
      </c>
      <c r="C200" s="938"/>
      <c r="D200" s="938"/>
      <c r="E200" s="939"/>
      <c r="F200" s="915"/>
      <c r="G200" s="916"/>
      <c r="H200" s="917"/>
      <c r="I200" s="353">
        <v>0.1</v>
      </c>
    </row>
    <row r="201" spans="2:9" x14ac:dyDescent="0.2">
      <c r="B201" s="937" t="s">
        <v>86</v>
      </c>
      <c r="C201" s="938"/>
      <c r="D201" s="938"/>
      <c r="E201" s="939"/>
      <c r="F201" s="915"/>
      <c r="G201" s="916"/>
      <c r="H201" s="917"/>
      <c r="I201" s="353">
        <v>0.1</v>
      </c>
    </row>
    <row r="202" spans="2:9" x14ac:dyDescent="0.2">
      <c r="B202" s="937" t="s">
        <v>90</v>
      </c>
      <c r="C202" s="938"/>
      <c r="D202" s="938"/>
      <c r="E202" s="939"/>
      <c r="F202" s="915"/>
      <c r="G202" s="916"/>
      <c r="H202" s="917"/>
      <c r="I202" s="353">
        <v>0.1</v>
      </c>
    </row>
    <row r="203" spans="2:9" x14ac:dyDescent="0.2">
      <c r="B203" s="937" t="s">
        <v>98</v>
      </c>
      <c r="C203" s="938"/>
      <c r="D203" s="938"/>
      <c r="E203" s="939"/>
      <c r="F203" s="915"/>
      <c r="G203" s="916"/>
      <c r="H203" s="917"/>
      <c r="I203" s="353">
        <v>0.1</v>
      </c>
    </row>
    <row r="204" spans="2:9" x14ac:dyDescent="0.2">
      <c r="B204" s="937" t="s">
        <v>99</v>
      </c>
      <c r="C204" s="938"/>
      <c r="D204" s="938"/>
      <c r="E204" s="939"/>
      <c r="F204" s="915"/>
      <c r="G204" s="916"/>
      <c r="H204" s="917"/>
      <c r="I204" s="353">
        <v>0.15</v>
      </c>
    </row>
    <row r="205" spans="2:9" x14ac:dyDescent="0.2">
      <c r="B205" s="937" t="s">
        <v>109</v>
      </c>
      <c r="C205" s="938"/>
      <c r="D205" s="938"/>
      <c r="E205" s="939"/>
      <c r="F205" s="915"/>
      <c r="G205" s="916"/>
      <c r="H205" s="917"/>
      <c r="I205" s="353">
        <v>0.15</v>
      </c>
    </row>
    <row r="206" spans="2:9" x14ac:dyDescent="0.2">
      <c r="B206" s="934" t="s">
        <v>117</v>
      </c>
      <c r="C206" s="935"/>
      <c r="D206" s="935"/>
      <c r="E206" s="936"/>
      <c r="F206" s="912"/>
      <c r="G206" s="913"/>
      <c r="H206" s="914"/>
      <c r="I206" s="353">
        <v>0.05</v>
      </c>
    </row>
    <row r="207" spans="2:9" x14ac:dyDescent="0.2">
      <c r="B207" s="934"/>
      <c r="C207" s="935"/>
      <c r="D207" s="935"/>
      <c r="E207" s="936"/>
      <c r="F207" s="912"/>
      <c r="G207" s="913"/>
      <c r="H207" s="914"/>
      <c r="I207" s="353"/>
    </row>
    <row r="208" spans="2:9" x14ac:dyDescent="0.2">
      <c r="B208" s="934"/>
      <c r="C208" s="935"/>
      <c r="D208" s="935"/>
      <c r="E208" s="936"/>
      <c r="F208" s="912"/>
      <c r="G208" s="913"/>
      <c r="H208" s="914"/>
      <c r="I208" s="353"/>
    </row>
    <row r="209" spans="2:9" x14ac:dyDescent="0.2">
      <c r="B209" s="934"/>
      <c r="C209" s="935"/>
      <c r="D209" s="935"/>
      <c r="E209" s="936"/>
      <c r="F209" s="912"/>
      <c r="G209" s="913"/>
      <c r="H209" s="914"/>
      <c r="I209" s="353"/>
    </row>
    <row r="210" spans="2:9" x14ac:dyDescent="0.2">
      <c r="B210" s="934"/>
      <c r="C210" s="935"/>
      <c r="D210" s="935"/>
      <c r="E210" s="936"/>
      <c r="F210" s="912"/>
      <c r="G210" s="913"/>
      <c r="H210" s="914"/>
      <c r="I210" s="353"/>
    </row>
    <row r="211" spans="2:9" x14ac:dyDescent="0.2">
      <c r="B211" s="934"/>
      <c r="C211" s="935"/>
      <c r="D211" s="935"/>
      <c r="E211" s="936"/>
      <c r="F211" s="912"/>
      <c r="G211" s="913"/>
      <c r="H211" s="914"/>
      <c r="I211" s="353"/>
    </row>
    <row r="212" spans="2:9" x14ac:dyDescent="0.2">
      <c r="B212" s="934"/>
      <c r="C212" s="935"/>
      <c r="D212" s="935"/>
      <c r="E212" s="936"/>
      <c r="F212" s="912"/>
      <c r="G212" s="913"/>
      <c r="H212" s="914"/>
      <c r="I212" s="353"/>
    </row>
    <row r="216" spans="2:9" x14ac:dyDescent="0.2">
      <c r="B216" s="918" t="s">
        <v>892</v>
      </c>
      <c r="C216" s="919"/>
      <c r="D216" s="919"/>
      <c r="E216" s="920"/>
      <c r="F216" s="924" t="s">
        <v>16</v>
      </c>
      <c r="G216" s="924"/>
      <c r="H216" s="924"/>
      <c r="I216" s="924" t="s">
        <v>775</v>
      </c>
    </row>
    <row r="217" spans="2:9" x14ac:dyDescent="0.2">
      <c r="B217" s="921"/>
      <c r="C217" s="922"/>
      <c r="D217" s="922"/>
      <c r="E217" s="923"/>
      <c r="F217" s="924"/>
      <c r="G217" s="924"/>
      <c r="H217" s="924"/>
      <c r="I217" s="924"/>
    </row>
    <row r="218" spans="2:9" x14ac:dyDescent="0.2">
      <c r="B218" s="107" t="s">
        <v>15</v>
      </c>
      <c r="C218" s="109"/>
      <c r="D218" s="109"/>
      <c r="E218" s="110"/>
      <c r="F218" s="924"/>
      <c r="G218" s="924"/>
      <c r="H218" s="924"/>
      <c r="I218" s="924"/>
    </row>
    <row r="219" spans="2:9" x14ac:dyDescent="0.2">
      <c r="B219" s="925" t="s">
        <v>97</v>
      </c>
      <c r="C219" s="926"/>
      <c r="D219" s="926"/>
      <c r="E219" s="927"/>
      <c r="F219" s="915"/>
      <c r="G219" s="916"/>
      <c r="H219" s="917"/>
      <c r="I219" s="353">
        <v>0.33</v>
      </c>
    </row>
    <row r="220" spans="2:9" x14ac:dyDescent="0.2">
      <c r="B220" s="915" t="s">
        <v>98</v>
      </c>
      <c r="C220" s="916"/>
      <c r="D220" s="916"/>
      <c r="E220" s="917"/>
      <c r="F220" s="915"/>
      <c r="G220" s="916"/>
      <c r="H220" s="917"/>
      <c r="I220" s="353">
        <v>0.33</v>
      </c>
    </row>
    <row r="221" spans="2:9" x14ac:dyDescent="0.2">
      <c r="B221" s="915" t="s">
        <v>117</v>
      </c>
      <c r="C221" s="916"/>
      <c r="D221" s="916"/>
      <c r="E221" s="917"/>
      <c r="F221" s="915"/>
      <c r="G221" s="916"/>
      <c r="H221" s="917"/>
      <c r="I221" s="353">
        <v>0.34</v>
      </c>
    </row>
    <row r="222" spans="2:9" x14ac:dyDescent="0.2">
      <c r="B222" s="915"/>
      <c r="C222" s="916"/>
      <c r="D222" s="916"/>
      <c r="E222" s="917"/>
      <c r="F222" s="915"/>
      <c r="G222" s="916"/>
      <c r="H222" s="917"/>
      <c r="I222" s="353"/>
    </row>
    <row r="223" spans="2:9" x14ac:dyDescent="0.2">
      <c r="B223" s="915"/>
      <c r="C223" s="916"/>
      <c r="D223" s="916"/>
      <c r="E223" s="917"/>
      <c r="F223" s="915"/>
      <c r="G223" s="916"/>
      <c r="H223" s="917"/>
      <c r="I223" s="353"/>
    </row>
    <row r="224" spans="2:9" x14ac:dyDescent="0.2">
      <c r="B224" s="915"/>
      <c r="C224" s="916"/>
      <c r="D224" s="916"/>
      <c r="E224" s="917"/>
      <c r="F224" s="915"/>
      <c r="G224" s="916"/>
      <c r="H224" s="917"/>
      <c r="I224" s="353"/>
    </row>
    <row r="225" spans="2:9" x14ac:dyDescent="0.2">
      <c r="B225" s="915"/>
      <c r="C225" s="916"/>
      <c r="D225" s="916"/>
      <c r="E225" s="917"/>
      <c r="F225" s="915"/>
      <c r="G225" s="916"/>
      <c r="H225" s="917"/>
      <c r="I225" s="353"/>
    </row>
    <row r="226" spans="2:9" x14ac:dyDescent="0.2">
      <c r="B226" s="915"/>
      <c r="C226" s="916"/>
      <c r="D226" s="916"/>
      <c r="E226" s="917"/>
      <c r="F226" s="915"/>
      <c r="G226" s="916"/>
      <c r="H226" s="917"/>
      <c r="I226" s="353"/>
    </row>
    <row r="227" spans="2:9" x14ac:dyDescent="0.2">
      <c r="B227" s="909"/>
      <c r="C227" s="910"/>
      <c r="D227" s="910"/>
      <c r="E227" s="911"/>
      <c r="F227" s="912"/>
      <c r="G227" s="913"/>
      <c r="H227" s="914"/>
      <c r="I227" s="353"/>
    </row>
    <row r="228" spans="2:9" x14ac:dyDescent="0.2">
      <c r="B228" s="909"/>
      <c r="C228" s="910"/>
      <c r="D228" s="910"/>
      <c r="E228" s="911"/>
      <c r="F228" s="912"/>
      <c r="G228" s="913"/>
      <c r="H228" s="914"/>
      <c r="I228" s="353"/>
    </row>
    <row r="229" spans="2:9" x14ac:dyDescent="0.2">
      <c r="B229" s="909"/>
      <c r="C229" s="910"/>
      <c r="D229" s="910"/>
      <c r="E229" s="911"/>
      <c r="F229" s="912"/>
      <c r="G229" s="913"/>
      <c r="H229" s="914"/>
      <c r="I229" s="353"/>
    </row>
    <row r="230" spans="2:9" x14ac:dyDescent="0.2">
      <c r="B230" s="909"/>
      <c r="C230" s="910"/>
      <c r="D230" s="910"/>
      <c r="E230" s="911"/>
      <c r="F230" s="912"/>
      <c r="G230" s="913"/>
      <c r="H230" s="914"/>
      <c r="I230" s="353"/>
    </row>
    <row r="231" spans="2:9" x14ac:dyDescent="0.2">
      <c r="B231" s="909"/>
      <c r="C231" s="910"/>
      <c r="D231" s="910"/>
      <c r="E231" s="911"/>
      <c r="F231" s="912"/>
      <c r="G231" s="913"/>
      <c r="H231" s="914"/>
      <c r="I231" s="353"/>
    </row>
    <row r="232" spans="2:9" x14ac:dyDescent="0.2">
      <c r="B232" s="909"/>
      <c r="C232" s="910"/>
      <c r="D232" s="910"/>
      <c r="E232" s="911"/>
      <c r="F232" s="912"/>
      <c r="G232" s="913"/>
      <c r="H232" s="914"/>
      <c r="I232" s="353"/>
    </row>
    <row r="233" spans="2:9" x14ac:dyDescent="0.2">
      <c r="B233" s="909"/>
      <c r="C233" s="910"/>
      <c r="D233" s="910"/>
      <c r="E233" s="911"/>
      <c r="F233" s="912"/>
      <c r="G233" s="913"/>
      <c r="H233" s="914"/>
      <c r="I233" s="353"/>
    </row>
    <row r="237" spans="2:9" ht="12.75" customHeight="1" x14ac:dyDescent="0.2">
      <c r="B237" s="918" t="s">
        <v>901</v>
      </c>
      <c r="C237" s="919"/>
      <c r="D237" s="919"/>
      <c r="E237" s="920"/>
      <c r="F237" s="924" t="s">
        <v>16</v>
      </c>
      <c r="G237" s="924"/>
      <c r="H237" s="924"/>
      <c r="I237" s="924" t="s">
        <v>775</v>
      </c>
    </row>
    <row r="238" spans="2:9" x14ac:dyDescent="0.2">
      <c r="B238" s="921"/>
      <c r="C238" s="922"/>
      <c r="D238" s="922"/>
      <c r="E238" s="923"/>
      <c r="F238" s="924"/>
      <c r="G238" s="924"/>
      <c r="H238" s="924"/>
      <c r="I238" s="924"/>
    </row>
    <row r="239" spans="2:9" x14ac:dyDescent="0.2">
      <c r="B239" s="107" t="s">
        <v>15</v>
      </c>
      <c r="C239" s="109"/>
      <c r="D239" s="109"/>
      <c r="E239" s="110"/>
      <c r="F239" s="924"/>
      <c r="G239" s="924"/>
      <c r="H239" s="924"/>
      <c r="I239" s="924"/>
    </row>
    <row r="240" spans="2:9" x14ac:dyDescent="0.2">
      <c r="B240" s="925"/>
      <c r="C240" s="926"/>
      <c r="D240" s="926"/>
      <c r="E240" s="927"/>
      <c r="F240" s="915"/>
      <c r="G240" s="916"/>
      <c r="H240" s="917"/>
      <c r="I240" s="108"/>
    </row>
    <row r="241" spans="2:9" x14ac:dyDescent="0.2">
      <c r="B241" s="915"/>
      <c r="C241" s="916"/>
      <c r="D241" s="916"/>
      <c r="E241" s="917"/>
      <c r="F241" s="915"/>
      <c r="G241" s="916"/>
      <c r="H241" s="917"/>
      <c r="I241" s="108"/>
    </row>
    <row r="242" spans="2:9" x14ac:dyDescent="0.2">
      <c r="B242" s="915"/>
      <c r="C242" s="916"/>
      <c r="D242" s="916"/>
      <c r="E242" s="917"/>
      <c r="F242" s="915"/>
      <c r="G242" s="916"/>
      <c r="H242" s="917"/>
      <c r="I242" s="108"/>
    </row>
    <row r="243" spans="2:9" x14ac:dyDescent="0.2">
      <c r="B243" s="915"/>
      <c r="C243" s="916"/>
      <c r="D243" s="916"/>
      <c r="E243" s="917"/>
      <c r="F243" s="915"/>
      <c r="G243" s="916"/>
      <c r="H243" s="917"/>
      <c r="I243" s="108"/>
    </row>
    <row r="244" spans="2:9" x14ac:dyDescent="0.2">
      <c r="B244" s="915"/>
      <c r="C244" s="916"/>
      <c r="D244" s="916"/>
      <c r="E244" s="917"/>
      <c r="F244" s="915"/>
      <c r="G244" s="916"/>
      <c r="H244" s="917"/>
      <c r="I244" s="108"/>
    </row>
    <row r="245" spans="2:9" x14ac:dyDescent="0.2">
      <c r="B245" s="915"/>
      <c r="C245" s="916"/>
      <c r="D245" s="916"/>
      <c r="E245" s="917"/>
      <c r="F245" s="915"/>
      <c r="G245" s="916"/>
      <c r="H245" s="917"/>
      <c r="I245" s="108"/>
    </row>
    <row r="246" spans="2:9" x14ac:dyDescent="0.2">
      <c r="B246" s="915"/>
      <c r="C246" s="916"/>
      <c r="D246" s="916"/>
      <c r="E246" s="917"/>
      <c r="F246" s="915"/>
      <c r="G246" s="916"/>
      <c r="H246" s="917"/>
      <c r="I246" s="108"/>
    </row>
    <row r="247" spans="2:9" x14ac:dyDescent="0.2">
      <c r="B247" s="915"/>
      <c r="C247" s="916"/>
      <c r="D247" s="916"/>
      <c r="E247" s="917"/>
      <c r="F247" s="915"/>
      <c r="G247" s="916"/>
      <c r="H247" s="917"/>
      <c r="I247" s="108"/>
    </row>
    <row r="248" spans="2:9" x14ac:dyDescent="0.2">
      <c r="B248" s="909"/>
      <c r="C248" s="910"/>
      <c r="D248" s="910"/>
      <c r="E248" s="911"/>
      <c r="F248" s="912"/>
      <c r="G248" s="913"/>
      <c r="H248" s="914"/>
      <c r="I248" s="108"/>
    </row>
    <row r="249" spans="2:9" x14ac:dyDescent="0.2">
      <c r="B249" s="909"/>
      <c r="C249" s="910"/>
      <c r="D249" s="910"/>
      <c r="E249" s="911"/>
      <c r="F249" s="912"/>
      <c r="G249" s="913"/>
      <c r="H249" s="914"/>
      <c r="I249" s="108"/>
    </row>
    <row r="250" spans="2:9" x14ac:dyDescent="0.2">
      <c r="B250" s="909"/>
      <c r="C250" s="910"/>
      <c r="D250" s="910"/>
      <c r="E250" s="911"/>
      <c r="F250" s="912"/>
      <c r="G250" s="913"/>
      <c r="H250" s="914"/>
      <c r="I250" s="108"/>
    </row>
    <row r="251" spans="2:9" x14ac:dyDescent="0.2">
      <c r="B251" s="909"/>
      <c r="C251" s="910"/>
      <c r="D251" s="910"/>
      <c r="E251" s="911"/>
      <c r="F251" s="912"/>
      <c r="G251" s="913"/>
      <c r="H251" s="914"/>
      <c r="I251" s="108"/>
    </row>
    <row r="252" spans="2:9" x14ac:dyDescent="0.2">
      <c r="B252" s="909"/>
      <c r="C252" s="910"/>
      <c r="D252" s="910"/>
      <c r="E252" s="911"/>
      <c r="F252" s="912"/>
      <c r="G252" s="913"/>
      <c r="H252" s="914"/>
      <c r="I252" s="108"/>
    </row>
    <row r="253" spans="2:9" x14ac:dyDescent="0.2">
      <c r="B253" s="909"/>
      <c r="C253" s="910"/>
      <c r="D253" s="910"/>
      <c r="E253" s="911"/>
      <c r="F253" s="912"/>
      <c r="G253" s="913"/>
      <c r="H253" s="914"/>
      <c r="I253" s="108"/>
    </row>
    <row r="254" spans="2:9" x14ac:dyDescent="0.2">
      <c r="B254" s="909"/>
      <c r="C254" s="910"/>
      <c r="D254" s="910"/>
      <c r="E254" s="911"/>
      <c r="F254" s="912"/>
      <c r="G254" s="913"/>
      <c r="H254" s="914"/>
      <c r="I254" s="108"/>
    </row>
    <row r="258" spans="2:9" ht="12.75" customHeight="1" x14ac:dyDescent="0.2">
      <c r="B258" s="918" t="s">
        <v>454</v>
      </c>
      <c r="C258" s="919"/>
      <c r="D258" s="919"/>
      <c r="E258" s="920"/>
      <c r="F258" s="924" t="s">
        <v>16</v>
      </c>
      <c r="G258" s="924"/>
      <c r="H258" s="924"/>
      <c r="I258" s="924" t="s">
        <v>775</v>
      </c>
    </row>
    <row r="259" spans="2:9" x14ac:dyDescent="0.2">
      <c r="B259" s="921"/>
      <c r="C259" s="922"/>
      <c r="D259" s="922"/>
      <c r="E259" s="923"/>
      <c r="F259" s="924"/>
      <c r="G259" s="924"/>
      <c r="H259" s="924"/>
      <c r="I259" s="924"/>
    </row>
    <row r="260" spans="2:9" x14ac:dyDescent="0.2">
      <c r="B260" s="107" t="s">
        <v>15</v>
      </c>
      <c r="C260" s="109"/>
      <c r="D260" s="109"/>
      <c r="E260" s="110"/>
      <c r="F260" s="924"/>
      <c r="G260" s="924"/>
      <c r="H260" s="924"/>
      <c r="I260" s="924"/>
    </row>
    <row r="261" spans="2:9" x14ac:dyDescent="0.2">
      <c r="B261" s="925"/>
      <c r="C261" s="926"/>
      <c r="D261" s="926"/>
      <c r="E261" s="927"/>
      <c r="F261" s="915"/>
      <c r="G261" s="916"/>
      <c r="H261" s="917"/>
      <c r="I261" s="108"/>
    </row>
    <row r="262" spans="2:9" x14ac:dyDescent="0.2">
      <c r="B262" s="915"/>
      <c r="C262" s="916"/>
      <c r="D262" s="916"/>
      <c r="E262" s="917"/>
      <c r="F262" s="915"/>
      <c r="G262" s="916"/>
      <c r="H262" s="917"/>
      <c r="I262" s="108"/>
    </row>
    <row r="263" spans="2:9" x14ac:dyDescent="0.2">
      <c r="B263" s="915"/>
      <c r="C263" s="916"/>
      <c r="D263" s="916"/>
      <c r="E263" s="917"/>
      <c r="F263" s="915"/>
      <c r="G263" s="916"/>
      <c r="H263" s="917"/>
      <c r="I263" s="108"/>
    </row>
    <row r="264" spans="2:9" x14ac:dyDescent="0.2">
      <c r="B264" s="915"/>
      <c r="C264" s="916"/>
      <c r="D264" s="916"/>
      <c r="E264" s="917"/>
      <c r="F264" s="915"/>
      <c r="G264" s="916"/>
      <c r="H264" s="917"/>
      <c r="I264" s="108"/>
    </row>
    <row r="265" spans="2:9" x14ac:dyDescent="0.2">
      <c r="B265" s="915"/>
      <c r="C265" s="916"/>
      <c r="D265" s="916"/>
      <c r="E265" s="917"/>
      <c r="F265" s="915"/>
      <c r="G265" s="916"/>
      <c r="H265" s="917"/>
      <c r="I265" s="108"/>
    </row>
    <row r="266" spans="2:9" x14ac:dyDescent="0.2">
      <c r="B266" s="915"/>
      <c r="C266" s="916"/>
      <c r="D266" s="916"/>
      <c r="E266" s="917"/>
      <c r="F266" s="915"/>
      <c r="G266" s="916"/>
      <c r="H266" s="917"/>
      <c r="I266" s="108"/>
    </row>
    <row r="267" spans="2:9" x14ac:dyDescent="0.2">
      <c r="B267" s="915"/>
      <c r="C267" s="916"/>
      <c r="D267" s="916"/>
      <c r="E267" s="917"/>
      <c r="F267" s="915"/>
      <c r="G267" s="916"/>
      <c r="H267" s="917"/>
      <c r="I267" s="108"/>
    </row>
    <row r="268" spans="2:9" x14ac:dyDescent="0.2">
      <c r="B268" s="915"/>
      <c r="C268" s="916"/>
      <c r="D268" s="916"/>
      <c r="E268" s="917"/>
      <c r="F268" s="915"/>
      <c r="G268" s="916"/>
      <c r="H268" s="917"/>
      <c r="I268" s="108"/>
    </row>
    <row r="269" spans="2:9" x14ac:dyDescent="0.2">
      <c r="B269" s="909"/>
      <c r="C269" s="910"/>
      <c r="D269" s="910"/>
      <c r="E269" s="911"/>
      <c r="F269" s="912"/>
      <c r="G269" s="913"/>
      <c r="H269" s="914"/>
      <c r="I269" s="108"/>
    </row>
    <row r="270" spans="2:9" x14ac:dyDescent="0.2">
      <c r="B270" s="909"/>
      <c r="C270" s="910"/>
      <c r="D270" s="910"/>
      <c r="E270" s="911"/>
      <c r="F270" s="912"/>
      <c r="G270" s="913"/>
      <c r="H270" s="914"/>
      <c r="I270" s="108"/>
    </row>
    <row r="271" spans="2:9" x14ac:dyDescent="0.2">
      <c r="B271" s="909"/>
      <c r="C271" s="910"/>
      <c r="D271" s="910"/>
      <c r="E271" s="911"/>
      <c r="F271" s="912"/>
      <c r="G271" s="913"/>
      <c r="H271" s="914"/>
      <c r="I271" s="108"/>
    </row>
    <row r="272" spans="2:9" x14ac:dyDescent="0.2">
      <c r="B272" s="909"/>
      <c r="C272" s="910"/>
      <c r="D272" s="910"/>
      <c r="E272" s="911"/>
      <c r="F272" s="912"/>
      <c r="G272" s="913"/>
      <c r="H272" s="914"/>
      <c r="I272" s="108"/>
    </row>
    <row r="273" spans="2:9" x14ac:dyDescent="0.2">
      <c r="B273" s="909"/>
      <c r="C273" s="910"/>
      <c r="D273" s="910"/>
      <c r="E273" s="911"/>
      <c r="F273" s="912"/>
      <c r="G273" s="913"/>
      <c r="H273" s="914"/>
      <c r="I273" s="108"/>
    </row>
    <row r="274" spans="2:9" x14ac:dyDescent="0.2">
      <c r="B274" s="909"/>
      <c r="C274" s="910"/>
      <c r="D274" s="910"/>
      <c r="E274" s="911"/>
      <c r="F274" s="912"/>
      <c r="G274" s="913"/>
      <c r="H274" s="914"/>
      <c r="I274" s="108"/>
    </row>
    <row r="275" spans="2:9" x14ac:dyDescent="0.2">
      <c r="B275" s="909"/>
      <c r="C275" s="910"/>
      <c r="D275" s="910"/>
      <c r="E275" s="911"/>
      <c r="F275" s="912"/>
      <c r="G275" s="913"/>
      <c r="H275" s="914"/>
      <c r="I275" s="108"/>
    </row>
    <row r="279" spans="2:9" x14ac:dyDescent="0.2">
      <c r="B279" s="918" t="s">
        <v>887</v>
      </c>
      <c r="C279" s="919"/>
      <c r="D279" s="919"/>
      <c r="E279" s="920"/>
      <c r="F279" s="924" t="s">
        <v>16</v>
      </c>
      <c r="G279" s="924"/>
      <c r="H279" s="924"/>
      <c r="I279" s="924" t="s">
        <v>775</v>
      </c>
    </row>
    <row r="280" spans="2:9" x14ac:dyDescent="0.2">
      <c r="B280" s="921"/>
      <c r="C280" s="922"/>
      <c r="D280" s="922"/>
      <c r="E280" s="923"/>
      <c r="F280" s="924"/>
      <c r="G280" s="924"/>
      <c r="H280" s="924"/>
      <c r="I280" s="924"/>
    </row>
    <row r="281" spans="2:9" x14ac:dyDescent="0.2">
      <c r="B281" s="107" t="s">
        <v>15</v>
      </c>
      <c r="C281" s="109"/>
      <c r="D281" s="109"/>
      <c r="E281" s="110"/>
      <c r="F281" s="924"/>
      <c r="G281" s="924"/>
      <c r="H281" s="924"/>
      <c r="I281" s="924"/>
    </row>
    <row r="282" spans="2:9" x14ac:dyDescent="0.2">
      <c r="B282" s="925"/>
      <c r="C282" s="926"/>
      <c r="D282" s="926"/>
      <c r="E282" s="927"/>
      <c r="F282" s="915"/>
      <c r="G282" s="916"/>
      <c r="H282" s="917"/>
      <c r="I282" s="108"/>
    </row>
    <row r="283" spans="2:9" x14ac:dyDescent="0.2">
      <c r="B283" s="915"/>
      <c r="C283" s="916"/>
      <c r="D283" s="916"/>
      <c r="E283" s="917"/>
      <c r="F283" s="915"/>
      <c r="G283" s="916"/>
      <c r="H283" s="917"/>
      <c r="I283" s="108"/>
    </row>
    <row r="284" spans="2:9" x14ac:dyDescent="0.2">
      <c r="B284" s="915"/>
      <c r="C284" s="916"/>
      <c r="D284" s="916"/>
      <c r="E284" s="917"/>
      <c r="F284" s="915"/>
      <c r="G284" s="916"/>
      <c r="H284" s="917"/>
      <c r="I284" s="108"/>
    </row>
    <row r="285" spans="2:9" x14ac:dyDescent="0.2">
      <c r="B285" s="915"/>
      <c r="C285" s="916"/>
      <c r="D285" s="916"/>
      <c r="E285" s="917"/>
      <c r="F285" s="915"/>
      <c r="G285" s="916"/>
      <c r="H285" s="917"/>
      <c r="I285" s="108"/>
    </row>
    <row r="286" spans="2:9" x14ac:dyDescent="0.2">
      <c r="B286" s="915"/>
      <c r="C286" s="916"/>
      <c r="D286" s="916"/>
      <c r="E286" s="917"/>
      <c r="F286" s="915"/>
      <c r="G286" s="916"/>
      <c r="H286" s="917"/>
      <c r="I286" s="108"/>
    </row>
    <row r="287" spans="2:9" x14ac:dyDescent="0.2">
      <c r="B287" s="915"/>
      <c r="C287" s="916"/>
      <c r="D287" s="916"/>
      <c r="E287" s="917"/>
      <c r="F287" s="915"/>
      <c r="G287" s="916"/>
      <c r="H287" s="917"/>
      <c r="I287" s="108"/>
    </row>
    <row r="288" spans="2:9" x14ac:dyDescent="0.2">
      <c r="B288" s="915"/>
      <c r="C288" s="916"/>
      <c r="D288" s="916"/>
      <c r="E288" s="917"/>
      <c r="F288" s="915"/>
      <c r="G288" s="916"/>
      <c r="H288" s="917"/>
      <c r="I288" s="108"/>
    </row>
    <row r="289" spans="2:9" x14ac:dyDescent="0.2">
      <c r="B289" s="915"/>
      <c r="C289" s="916"/>
      <c r="D289" s="916"/>
      <c r="E289" s="917"/>
      <c r="F289" s="915"/>
      <c r="G289" s="916"/>
      <c r="H289" s="917"/>
      <c r="I289" s="108"/>
    </row>
    <row r="290" spans="2:9" x14ac:dyDescent="0.2">
      <c r="B290" s="909"/>
      <c r="C290" s="910"/>
      <c r="D290" s="910"/>
      <c r="E290" s="911"/>
      <c r="F290" s="912"/>
      <c r="G290" s="913"/>
      <c r="H290" s="914"/>
      <c r="I290" s="108"/>
    </row>
    <row r="291" spans="2:9" x14ac:dyDescent="0.2">
      <c r="B291" s="909"/>
      <c r="C291" s="910"/>
      <c r="D291" s="910"/>
      <c r="E291" s="911"/>
      <c r="F291" s="912"/>
      <c r="G291" s="913"/>
      <c r="H291" s="914"/>
      <c r="I291" s="108"/>
    </row>
    <row r="292" spans="2:9" x14ac:dyDescent="0.2">
      <c r="B292" s="909"/>
      <c r="C292" s="910"/>
      <c r="D292" s="910"/>
      <c r="E292" s="911"/>
      <c r="F292" s="912"/>
      <c r="G292" s="913"/>
      <c r="H292" s="914"/>
      <c r="I292" s="108"/>
    </row>
    <row r="293" spans="2:9" x14ac:dyDescent="0.2">
      <c r="B293" s="909"/>
      <c r="C293" s="910"/>
      <c r="D293" s="910"/>
      <c r="E293" s="911"/>
      <c r="F293" s="912"/>
      <c r="G293" s="913"/>
      <c r="H293" s="914"/>
      <c r="I293" s="108"/>
    </row>
    <row r="294" spans="2:9" x14ac:dyDescent="0.2">
      <c r="B294" s="909"/>
      <c r="C294" s="910"/>
      <c r="D294" s="910"/>
      <c r="E294" s="911"/>
      <c r="F294" s="912"/>
      <c r="G294" s="913"/>
      <c r="H294" s="914"/>
      <c r="I294" s="108"/>
    </row>
    <row r="295" spans="2:9" x14ac:dyDescent="0.2">
      <c r="B295" s="909"/>
      <c r="C295" s="910"/>
      <c r="D295" s="910"/>
      <c r="E295" s="911"/>
      <c r="F295" s="912"/>
      <c r="G295" s="913"/>
      <c r="H295" s="914"/>
      <c r="I295" s="108"/>
    </row>
    <row r="296" spans="2:9" x14ac:dyDescent="0.2">
      <c r="B296" s="909"/>
      <c r="C296" s="910"/>
      <c r="D296" s="910"/>
      <c r="E296" s="911"/>
      <c r="F296" s="912"/>
      <c r="G296" s="913"/>
      <c r="H296" s="914"/>
      <c r="I296" s="108"/>
    </row>
    <row r="300" spans="2:9" x14ac:dyDescent="0.2">
      <c r="B300" s="918" t="s">
        <v>888</v>
      </c>
      <c r="C300" s="919"/>
      <c r="D300" s="919"/>
      <c r="E300" s="920"/>
      <c r="F300" s="924" t="s">
        <v>16</v>
      </c>
      <c r="G300" s="924"/>
      <c r="H300" s="924"/>
      <c r="I300" s="924" t="s">
        <v>775</v>
      </c>
    </row>
    <row r="301" spans="2:9" x14ac:dyDescent="0.2">
      <c r="B301" s="921"/>
      <c r="C301" s="922"/>
      <c r="D301" s="922"/>
      <c r="E301" s="923"/>
      <c r="F301" s="924"/>
      <c r="G301" s="924"/>
      <c r="H301" s="924"/>
      <c r="I301" s="924"/>
    </row>
    <row r="302" spans="2:9" x14ac:dyDescent="0.2">
      <c r="B302" s="107" t="s">
        <v>15</v>
      </c>
      <c r="C302" s="109"/>
      <c r="D302" s="109"/>
      <c r="E302" s="110"/>
      <c r="F302" s="924"/>
      <c r="G302" s="924"/>
      <c r="H302" s="924"/>
      <c r="I302" s="924"/>
    </row>
    <row r="303" spans="2:9" x14ac:dyDescent="0.2">
      <c r="B303" s="925"/>
      <c r="C303" s="926"/>
      <c r="D303" s="926"/>
      <c r="E303" s="927"/>
      <c r="F303" s="915"/>
      <c r="G303" s="916"/>
      <c r="H303" s="917"/>
      <c r="I303" s="108"/>
    </row>
    <row r="304" spans="2:9" x14ac:dyDescent="0.2">
      <c r="B304" s="915"/>
      <c r="C304" s="916"/>
      <c r="D304" s="916"/>
      <c r="E304" s="917"/>
      <c r="F304" s="915"/>
      <c r="G304" s="916"/>
      <c r="H304" s="917"/>
      <c r="I304" s="108"/>
    </row>
    <row r="305" spans="2:9" x14ac:dyDescent="0.2">
      <c r="B305" s="915"/>
      <c r="C305" s="916"/>
      <c r="D305" s="916"/>
      <c r="E305" s="917"/>
      <c r="F305" s="915"/>
      <c r="G305" s="916"/>
      <c r="H305" s="917"/>
      <c r="I305" s="108"/>
    </row>
    <row r="306" spans="2:9" x14ac:dyDescent="0.2">
      <c r="B306" s="915"/>
      <c r="C306" s="916"/>
      <c r="D306" s="916"/>
      <c r="E306" s="917"/>
      <c r="F306" s="915"/>
      <c r="G306" s="916"/>
      <c r="H306" s="917"/>
      <c r="I306" s="108"/>
    </row>
    <row r="307" spans="2:9" x14ac:dyDescent="0.2">
      <c r="B307" s="915"/>
      <c r="C307" s="916"/>
      <c r="D307" s="916"/>
      <c r="E307" s="917"/>
      <c r="F307" s="915"/>
      <c r="G307" s="916"/>
      <c r="H307" s="917"/>
      <c r="I307" s="108"/>
    </row>
    <row r="308" spans="2:9" x14ac:dyDescent="0.2">
      <c r="B308" s="915"/>
      <c r="C308" s="916"/>
      <c r="D308" s="916"/>
      <c r="E308" s="917"/>
      <c r="F308" s="915"/>
      <c r="G308" s="916"/>
      <c r="H308" s="917"/>
      <c r="I308" s="108"/>
    </row>
    <row r="309" spans="2:9" x14ac:dyDescent="0.2">
      <c r="B309" s="915"/>
      <c r="C309" s="916"/>
      <c r="D309" s="916"/>
      <c r="E309" s="917"/>
      <c r="F309" s="915"/>
      <c r="G309" s="916"/>
      <c r="H309" s="917"/>
      <c r="I309" s="108"/>
    </row>
    <row r="310" spans="2:9" x14ac:dyDescent="0.2">
      <c r="B310" s="915"/>
      <c r="C310" s="916"/>
      <c r="D310" s="916"/>
      <c r="E310" s="917"/>
      <c r="F310" s="915"/>
      <c r="G310" s="916"/>
      <c r="H310" s="917"/>
      <c r="I310" s="108"/>
    </row>
    <row r="311" spans="2:9" x14ac:dyDescent="0.2">
      <c r="B311" s="909"/>
      <c r="C311" s="910"/>
      <c r="D311" s="910"/>
      <c r="E311" s="911"/>
      <c r="F311" s="912"/>
      <c r="G311" s="913"/>
      <c r="H311" s="914"/>
      <c r="I311" s="108"/>
    </row>
    <row r="312" spans="2:9" x14ac:dyDescent="0.2">
      <c r="B312" s="909"/>
      <c r="C312" s="910"/>
      <c r="D312" s="910"/>
      <c r="E312" s="911"/>
      <c r="F312" s="912"/>
      <c r="G312" s="913"/>
      <c r="H312" s="914"/>
      <c r="I312" s="108"/>
    </row>
    <row r="313" spans="2:9" x14ac:dyDescent="0.2">
      <c r="B313" s="909"/>
      <c r="C313" s="910"/>
      <c r="D313" s="910"/>
      <c r="E313" s="911"/>
      <c r="F313" s="912"/>
      <c r="G313" s="913"/>
      <c r="H313" s="914"/>
      <c r="I313" s="108"/>
    </row>
    <row r="314" spans="2:9" x14ac:dyDescent="0.2">
      <c r="B314" s="909"/>
      <c r="C314" s="910"/>
      <c r="D314" s="910"/>
      <c r="E314" s="911"/>
      <c r="F314" s="912"/>
      <c r="G314" s="913"/>
      <c r="H314" s="914"/>
      <c r="I314" s="108"/>
    </row>
    <row r="315" spans="2:9" x14ac:dyDescent="0.2">
      <c r="B315" s="909"/>
      <c r="C315" s="910"/>
      <c r="D315" s="910"/>
      <c r="E315" s="911"/>
      <c r="F315" s="912"/>
      <c r="G315" s="913"/>
      <c r="H315" s="914"/>
      <c r="I315" s="108"/>
    </row>
    <row r="316" spans="2:9" x14ac:dyDescent="0.2">
      <c r="B316" s="909"/>
      <c r="C316" s="910"/>
      <c r="D316" s="910"/>
      <c r="E316" s="911"/>
      <c r="F316" s="912"/>
      <c r="G316" s="913"/>
      <c r="H316" s="914"/>
      <c r="I316" s="108"/>
    </row>
    <row r="317" spans="2:9" x14ac:dyDescent="0.2">
      <c r="B317" s="909"/>
      <c r="C317" s="910"/>
      <c r="D317" s="910"/>
      <c r="E317" s="911"/>
      <c r="F317" s="912"/>
      <c r="G317" s="913"/>
      <c r="H317" s="914"/>
      <c r="I317" s="108"/>
    </row>
  </sheetData>
  <sheetProtection algorithmName="SHA-512" hashValue="sTvKqL0D858sIb2Za5U6mD/RUWrHoAplI2Wsfru1SQn11LoTBvJa5T8OxT7sP6pGG5dHHLB+1AqsZs334uHBsQ==" saltValue="1LTGyJWIEJnply9jYaZ2UQ==" spinCount="100000" sheet="1" scenarios="1" formatCells="0" formatColumns="0" formatRows="0" sort="0" autoFilter="0"/>
  <mergeCells count="498">
    <mergeCell ref="A1:I1"/>
    <mergeCell ref="A3:I3"/>
    <mergeCell ref="A2:I2"/>
    <mergeCell ref="B275:E275"/>
    <mergeCell ref="F275:H275"/>
    <mergeCell ref="B270:E270"/>
    <mergeCell ref="F270:H270"/>
    <mergeCell ref="B271:E271"/>
    <mergeCell ref="F271:H271"/>
    <mergeCell ref="B272:E272"/>
    <mergeCell ref="F272:H272"/>
    <mergeCell ref="B273:E273"/>
    <mergeCell ref="B262:E262"/>
    <mergeCell ref="F262:H262"/>
    <mergeCell ref="B263:E263"/>
    <mergeCell ref="F263:H263"/>
    <mergeCell ref="B264:E264"/>
    <mergeCell ref="F264:H264"/>
    <mergeCell ref="F273:H273"/>
    <mergeCell ref="B274:E274"/>
    <mergeCell ref="F274:H274"/>
    <mergeCell ref="B265:E265"/>
    <mergeCell ref="F265:H265"/>
    <mergeCell ref="B266:E266"/>
    <mergeCell ref="F266:H266"/>
    <mergeCell ref="B267:E267"/>
    <mergeCell ref="F267:H267"/>
    <mergeCell ref="B268:E268"/>
    <mergeCell ref="F268:H268"/>
    <mergeCell ref="B269:E269"/>
    <mergeCell ref="F269:H269"/>
    <mergeCell ref="B253:E253"/>
    <mergeCell ref="F253:H253"/>
    <mergeCell ref="B254:E254"/>
    <mergeCell ref="F254:H254"/>
    <mergeCell ref="F258:H260"/>
    <mergeCell ref="I258:I260"/>
    <mergeCell ref="B261:E261"/>
    <mergeCell ref="F261:H261"/>
    <mergeCell ref="B248:E248"/>
    <mergeCell ref="F248:H248"/>
    <mergeCell ref="B249:E249"/>
    <mergeCell ref="F249:H249"/>
    <mergeCell ref="B250:E250"/>
    <mergeCell ref="F250:H250"/>
    <mergeCell ref="B251:E251"/>
    <mergeCell ref="F251:H251"/>
    <mergeCell ref="B252:E252"/>
    <mergeCell ref="F252:H252"/>
    <mergeCell ref="B258:E259"/>
    <mergeCell ref="B243:E243"/>
    <mergeCell ref="F243:H243"/>
    <mergeCell ref="B244:E244"/>
    <mergeCell ref="F244:H244"/>
    <mergeCell ref="B245:E245"/>
    <mergeCell ref="F245:H245"/>
    <mergeCell ref="B246:E246"/>
    <mergeCell ref="F246:H246"/>
    <mergeCell ref="B247:E247"/>
    <mergeCell ref="F247:H247"/>
    <mergeCell ref="F237:H239"/>
    <mergeCell ref="I237:I239"/>
    <mergeCell ref="B240:E240"/>
    <mergeCell ref="F240:H240"/>
    <mergeCell ref="B241:E241"/>
    <mergeCell ref="F241:H241"/>
    <mergeCell ref="B242:E242"/>
    <mergeCell ref="F242:H242"/>
    <mergeCell ref="B237:E238"/>
    <mergeCell ref="B229:E229"/>
    <mergeCell ref="F229:H229"/>
    <mergeCell ref="B230:E230"/>
    <mergeCell ref="F230:H230"/>
    <mergeCell ref="B231:E231"/>
    <mergeCell ref="F231:H231"/>
    <mergeCell ref="B232:E232"/>
    <mergeCell ref="F232:H232"/>
    <mergeCell ref="B233:E233"/>
    <mergeCell ref="F233:H233"/>
    <mergeCell ref="B224:E224"/>
    <mergeCell ref="F224:H224"/>
    <mergeCell ref="B225:E225"/>
    <mergeCell ref="F225:H225"/>
    <mergeCell ref="B226:E226"/>
    <mergeCell ref="F226:H226"/>
    <mergeCell ref="B227:E227"/>
    <mergeCell ref="F227:H227"/>
    <mergeCell ref="B228:E228"/>
    <mergeCell ref="F228:H228"/>
    <mergeCell ref="B219:E219"/>
    <mergeCell ref="F219:H219"/>
    <mergeCell ref="B220:E220"/>
    <mergeCell ref="F220:H220"/>
    <mergeCell ref="B221:E221"/>
    <mergeCell ref="F221:H221"/>
    <mergeCell ref="B222:E222"/>
    <mergeCell ref="F222:H222"/>
    <mergeCell ref="B223:E223"/>
    <mergeCell ref="F223:H223"/>
    <mergeCell ref="B210:E210"/>
    <mergeCell ref="F210:H210"/>
    <mergeCell ref="B211:E211"/>
    <mergeCell ref="F211:H211"/>
    <mergeCell ref="B212:E212"/>
    <mergeCell ref="F212:H212"/>
    <mergeCell ref="F216:H218"/>
    <mergeCell ref="I216:I218"/>
    <mergeCell ref="B216:E217"/>
    <mergeCell ref="B205:E205"/>
    <mergeCell ref="F205:H205"/>
    <mergeCell ref="B206:E206"/>
    <mergeCell ref="F206:H206"/>
    <mergeCell ref="B207:E207"/>
    <mergeCell ref="F207:H207"/>
    <mergeCell ref="B208:E208"/>
    <mergeCell ref="F208:H208"/>
    <mergeCell ref="B209:E209"/>
    <mergeCell ref="F209:H209"/>
    <mergeCell ref="B200:E200"/>
    <mergeCell ref="F200:H200"/>
    <mergeCell ref="B201:E201"/>
    <mergeCell ref="F201:H201"/>
    <mergeCell ref="B202:E202"/>
    <mergeCell ref="F202:H202"/>
    <mergeCell ref="B203:E203"/>
    <mergeCell ref="F203:H203"/>
    <mergeCell ref="B204:E204"/>
    <mergeCell ref="F204:H204"/>
    <mergeCell ref="B190:E190"/>
    <mergeCell ref="F190:H190"/>
    <mergeCell ref="B191:E191"/>
    <mergeCell ref="F191:H191"/>
    <mergeCell ref="F195:H197"/>
    <mergeCell ref="I195:I197"/>
    <mergeCell ref="B198:E198"/>
    <mergeCell ref="F198:H198"/>
    <mergeCell ref="B199:E199"/>
    <mergeCell ref="F199:H199"/>
    <mergeCell ref="B185:E185"/>
    <mergeCell ref="F185:H185"/>
    <mergeCell ref="B186:E186"/>
    <mergeCell ref="F186:H186"/>
    <mergeCell ref="B187:E187"/>
    <mergeCell ref="F187:H187"/>
    <mergeCell ref="B188:E188"/>
    <mergeCell ref="F188:H188"/>
    <mergeCell ref="B189:E189"/>
    <mergeCell ref="F189:H189"/>
    <mergeCell ref="B180:E180"/>
    <mergeCell ref="F180:H180"/>
    <mergeCell ref="B181:E181"/>
    <mergeCell ref="F181:H181"/>
    <mergeCell ref="B182:E182"/>
    <mergeCell ref="F182:H182"/>
    <mergeCell ref="B183:E183"/>
    <mergeCell ref="F183:H183"/>
    <mergeCell ref="B184:E184"/>
    <mergeCell ref="F184:H184"/>
    <mergeCell ref="B10:E10"/>
    <mergeCell ref="B11:E11"/>
    <mergeCell ref="F10:H10"/>
    <mergeCell ref="F11:H11"/>
    <mergeCell ref="B9:E9"/>
    <mergeCell ref="F9:H9"/>
    <mergeCell ref="B18:E18"/>
    <mergeCell ref="B19:E19"/>
    <mergeCell ref="B179:E179"/>
    <mergeCell ref="F179:H179"/>
    <mergeCell ref="F174:H176"/>
    <mergeCell ref="B20:E20"/>
    <mergeCell ref="B21:E21"/>
    <mergeCell ref="F20:H20"/>
    <mergeCell ref="F21:H21"/>
    <mergeCell ref="B32:E32"/>
    <mergeCell ref="B33:E33"/>
    <mergeCell ref="F32:H32"/>
    <mergeCell ref="F33:H33"/>
    <mergeCell ref="B30:E30"/>
    <mergeCell ref="B31:E31"/>
    <mergeCell ref="F30:H30"/>
    <mergeCell ref="F31:H31"/>
    <mergeCell ref="F27:H29"/>
    <mergeCell ref="I174:I176"/>
    <mergeCell ref="B177:E177"/>
    <mergeCell ref="F177:H177"/>
    <mergeCell ref="B178:E178"/>
    <mergeCell ref="F178:H178"/>
    <mergeCell ref="B12:E12"/>
    <mergeCell ref="B13:E13"/>
    <mergeCell ref="F12:H12"/>
    <mergeCell ref="F13:H13"/>
    <mergeCell ref="F18:H18"/>
    <mergeCell ref="F19:H19"/>
    <mergeCell ref="B16:E16"/>
    <mergeCell ref="B17:E17"/>
    <mergeCell ref="F16:H16"/>
    <mergeCell ref="F17:H17"/>
    <mergeCell ref="B14:E14"/>
    <mergeCell ref="B15:E15"/>
    <mergeCell ref="F14:H14"/>
    <mergeCell ref="F15:H15"/>
    <mergeCell ref="I27:I29"/>
    <mergeCell ref="B22:E22"/>
    <mergeCell ref="B23:E23"/>
    <mergeCell ref="F22:H22"/>
    <mergeCell ref="F23:H23"/>
    <mergeCell ref="B38:E38"/>
    <mergeCell ref="B39:E39"/>
    <mergeCell ref="F38:H38"/>
    <mergeCell ref="F39:H39"/>
    <mergeCell ref="B36:E36"/>
    <mergeCell ref="B37:E37"/>
    <mergeCell ref="F36:H36"/>
    <mergeCell ref="F37:H37"/>
    <mergeCell ref="B34:E34"/>
    <mergeCell ref="B35:E35"/>
    <mergeCell ref="F34:H34"/>
    <mergeCell ref="F35:H35"/>
    <mergeCell ref="F48:H50"/>
    <mergeCell ref="I48:I50"/>
    <mergeCell ref="B44:E44"/>
    <mergeCell ref="F44:H44"/>
    <mergeCell ref="B42:E42"/>
    <mergeCell ref="B43:E43"/>
    <mergeCell ref="F42:H42"/>
    <mergeCell ref="F43:H43"/>
    <mergeCell ref="B40:E40"/>
    <mergeCell ref="B41:E41"/>
    <mergeCell ref="F40:H40"/>
    <mergeCell ref="F41:H41"/>
    <mergeCell ref="B54:E54"/>
    <mergeCell ref="B55:E55"/>
    <mergeCell ref="F54:H54"/>
    <mergeCell ref="F55:H55"/>
    <mergeCell ref="B52:E52"/>
    <mergeCell ref="B53:E53"/>
    <mergeCell ref="F52:H52"/>
    <mergeCell ref="F53:H53"/>
    <mergeCell ref="B51:E51"/>
    <mergeCell ref="F51:H51"/>
    <mergeCell ref="F60:H60"/>
    <mergeCell ref="F61:H61"/>
    <mergeCell ref="B58:E58"/>
    <mergeCell ref="B59:E59"/>
    <mergeCell ref="F58:H58"/>
    <mergeCell ref="F59:H59"/>
    <mergeCell ref="B56:E56"/>
    <mergeCell ref="B57:E57"/>
    <mergeCell ref="F56:H56"/>
    <mergeCell ref="F57:H57"/>
    <mergeCell ref="F69:H71"/>
    <mergeCell ref="I69:I71"/>
    <mergeCell ref="B64:E64"/>
    <mergeCell ref="B65:E65"/>
    <mergeCell ref="F64:H64"/>
    <mergeCell ref="F65:H65"/>
    <mergeCell ref="B62:E62"/>
    <mergeCell ref="B63:E63"/>
    <mergeCell ref="F62:H62"/>
    <mergeCell ref="F63:H63"/>
    <mergeCell ref="F76:H76"/>
    <mergeCell ref="F77:H77"/>
    <mergeCell ref="B74:E74"/>
    <mergeCell ref="B75:E75"/>
    <mergeCell ref="F74:H74"/>
    <mergeCell ref="F75:H75"/>
    <mergeCell ref="B72:E72"/>
    <mergeCell ref="B73:E73"/>
    <mergeCell ref="F72:H72"/>
    <mergeCell ref="F73:H73"/>
    <mergeCell ref="F82:H82"/>
    <mergeCell ref="F83:H83"/>
    <mergeCell ref="B80:E80"/>
    <mergeCell ref="B81:E81"/>
    <mergeCell ref="F80:H80"/>
    <mergeCell ref="F81:H81"/>
    <mergeCell ref="B78:E78"/>
    <mergeCell ref="B79:E79"/>
    <mergeCell ref="F78:H78"/>
    <mergeCell ref="F79:H79"/>
    <mergeCell ref="F90:H92"/>
    <mergeCell ref="I90:I92"/>
    <mergeCell ref="B93:E93"/>
    <mergeCell ref="F93:H93"/>
    <mergeCell ref="B86:E86"/>
    <mergeCell ref="F86:H86"/>
    <mergeCell ref="B84:E84"/>
    <mergeCell ref="B85:E85"/>
    <mergeCell ref="F84:H84"/>
    <mergeCell ref="F85:H85"/>
    <mergeCell ref="F99:H99"/>
    <mergeCell ref="B96:E96"/>
    <mergeCell ref="F96:H96"/>
    <mergeCell ref="B97:E97"/>
    <mergeCell ref="F97:H97"/>
    <mergeCell ref="B94:E94"/>
    <mergeCell ref="F94:H94"/>
    <mergeCell ref="B95:E95"/>
    <mergeCell ref="F95:H95"/>
    <mergeCell ref="F111:H113"/>
    <mergeCell ref="I111:I113"/>
    <mergeCell ref="B114:E114"/>
    <mergeCell ref="F114:H114"/>
    <mergeCell ref="F6:H8"/>
    <mergeCell ref="I6:I8"/>
    <mergeCell ref="B106:E106"/>
    <mergeCell ref="F106:H106"/>
    <mergeCell ref="B107:E107"/>
    <mergeCell ref="F107:H107"/>
    <mergeCell ref="B104:E104"/>
    <mergeCell ref="F104:H104"/>
    <mergeCell ref="B105:E105"/>
    <mergeCell ref="F105:H105"/>
    <mergeCell ref="B102:E102"/>
    <mergeCell ref="F102:H102"/>
    <mergeCell ref="B103:E103"/>
    <mergeCell ref="F103:H103"/>
    <mergeCell ref="B100:E100"/>
    <mergeCell ref="F100:H100"/>
    <mergeCell ref="B101:E101"/>
    <mergeCell ref="F101:H101"/>
    <mergeCell ref="B98:E98"/>
    <mergeCell ref="F98:H98"/>
    <mergeCell ref="F118:H118"/>
    <mergeCell ref="B119:E119"/>
    <mergeCell ref="F119:H119"/>
    <mergeCell ref="B120:E120"/>
    <mergeCell ref="F120:H120"/>
    <mergeCell ref="B115:E115"/>
    <mergeCell ref="F115:H115"/>
    <mergeCell ref="B116:E116"/>
    <mergeCell ref="F116:H116"/>
    <mergeCell ref="B117:E117"/>
    <mergeCell ref="F117:H117"/>
    <mergeCell ref="F124:H124"/>
    <mergeCell ref="B125:E125"/>
    <mergeCell ref="F125:H125"/>
    <mergeCell ref="B126:E126"/>
    <mergeCell ref="F126:H126"/>
    <mergeCell ref="B121:E121"/>
    <mergeCell ref="F121:H121"/>
    <mergeCell ref="B122:E122"/>
    <mergeCell ref="F122:H122"/>
    <mergeCell ref="B123:E123"/>
    <mergeCell ref="F123:H123"/>
    <mergeCell ref="I132:I134"/>
    <mergeCell ref="B135:E135"/>
    <mergeCell ref="F135:H135"/>
    <mergeCell ref="B136:E136"/>
    <mergeCell ref="F136:H136"/>
    <mergeCell ref="B127:E127"/>
    <mergeCell ref="F127:H127"/>
    <mergeCell ref="B128:E128"/>
    <mergeCell ref="F128:H128"/>
    <mergeCell ref="F132:H134"/>
    <mergeCell ref="F140:H140"/>
    <mergeCell ref="B141:E141"/>
    <mergeCell ref="F141:H141"/>
    <mergeCell ref="B142:E142"/>
    <mergeCell ref="F142:H142"/>
    <mergeCell ref="B137:E137"/>
    <mergeCell ref="F137:H137"/>
    <mergeCell ref="B138:E138"/>
    <mergeCell ref="F138:H138"/>
    <mergeCell ref="B139:E139"/>
    <mergeCell ref="F139:H139"/>
    <mergeCell ref="F146:H146"/>
    <mergeCell ref="B147:E147"/>
    <mergeCell ref="F147:H147"/>
    <mergeCell ref="B148:E148"/>
    <mergeCell ref="F148:H148"/>
    <mergeCell ref="B143:E143"/>
    <mergeCell ref="F143:H143"/>
    <mergeCell ref="B144:E144"/>
    <mergeCell ref="F144:H144"/>
    <mergeCell ref="B145:E145"/>
    <mergeCell ref="F145:H145"/>
    <mergeCell ref="F156:H156"/>
    <mergeCell ref="B157:E157"/>
    <mergeCell ref="F157:H157"/>
    <mergeCell ref="B158:E158"/>
    <mergeCell ref="F158:H158"/>
    <mergeCell ref="B149:E149"/>
    <mergeCell ref="F149:H149"/>
    <mergeCell ref="F153:H155"/>
    <mergeCell ref="I153:I155"/>
    <mergeCell ref="F162:H162"/>
    <mergeCell ref="B163:E163"/>
    <mergeCell ref="F163:H163"/>
    <mergeCell ref="B164:E164"/>
    <mergeCell ref="F164:H164"/>
    <mergeCell ref="B159:E159"/>
    <mergeCell ref="F159:H159"/>
    <mergeCell ref="B160:E160"/>
    <mergeCell ref="F160:H160"/>
    <mergeCell ref="B161:E161"/>
    <mergeCell ref="F161:H161"/>
    <mergeCell ref="F168:H168"/>
    <mergeCell ref="B169:E169"/>
    <mergeCell ref="F169:H169"/>
    <mergeCell ref="B170:E170"/>
    <mergeCell ref="F170:H170"/>
    <mergeCell ref="B165:E165"/>
    <mergeCell ref="F165:H165"/>
    <mergeCell ref="B166:E166"/>
    <mergeCell ref="F166:H166"/>
    <mergeCell ref="B167:E167"/>
    <mergeCell ref="F167:H167"/>
    <mergeCell ref="B174:E175"/>
    <mergeCell ref="B195:E196"/>
    <mergeCell ref="B6:E7"/>
    <mergeCell ref="B27:E28"/>
    <mergeCell ref="B48:E49"/>
    <mergeCell ref="B69:E70"/>
    <mergeCell ref="B90:E91"/>
    <mergeCell ref="B111:E112"/>
    <mergeCell ref="B132:E133"/>
    <mergeCell ref="B153:E154"/>
    <mergeCell ref="B168:E168"/>
    <mergeCell ref="B162:E162"/>
    <mergeCell ref="B156:E156"/>
    <mergeCell ref="B146:E146"/>
    <mergeCell ref="B140:E140"/>
    <mergeCell ref="B124:E124"/>
    <mergeCell ref="B118:E118"/>
    <mergeCell ref="B99:E99"/>
    <mergeCell ref="B82:E82"/>
    <mergeCell ref="B83:E83"/>
    <mergeCell ref="B76:E76"/>
    <mergeCell ref="B77:E77"/>
    <mergeCell ref="B60:E60"/>
    <mergeCell ref="B61:E61"/>
    <mergeCell ref="B279:E280"/>
    <mergeCell ref="F279:H281"/>
    <mergeCell ref="I279:I281"/>
    <mergeCell ref="B282:E282"/>
    <mergeCell ref="F282:H282"/>
    <mergeCell ref="B283:E283"/>
    <mergeCell ref="F283:H283"/>
    <mergeCell ref="B284:E284"/>
    <mergeCell ref="F284:H284"/>
    <mergeCell ref="B285:E285"/>
    <mergeCell ref="F285:H285"/>
    <mergeCell ref="B286:E286"/>
    <mergeCell ref="F286:H286"/>
    <mergeCell ref="B287:E287"/>
    <mergeCell ref="F287:H287"/>
    <mergeCell ref="B288:E288"/>
    <mergeCell ref="F288:H288"/>
    <mergeCell ref="B289:E289"/>
    <mergeCell ref="F289:H289"/>
    <mergeCell ref="B290:E290"/>
    <mergeCell ref="F290:H290"/>
    <mergeCell ref="B291:E291"/>
    <mergeCell ref="F291:H291"/>
    <mergeCell ref="B292:E292"/>
    <mergeCell ref="F292:H292"/>
    <mergeCell ref="B293:E293"/>
    <mergeCell ref="F293:H293"/>
    <mergeCell ref="B294:E294"/>
    <mergeCell ref="F294:H294"/>
    <mergeCell ref="B295:E295"/>
    <mergeCell ref="F295:H295"/>
    <mergeCell ref="B296:E296"/>
    <mergeCell ref="F296:H296"/>
    <mergeCell ref="B300:E301"/>
    <mergeCell ref="F300:H302"/>
    <mergeCell ref="I300:I302"/>
    <mergeCell ref="B303:E303"/>
    <mergeCell ref="F303:H303"/>
    <mergeCell ref="B304:E304"/>
    <mergeCell ref="F304:H304"/>
    <mergeCell ref="B305:E305"/>
    <mergeCell ref="F305:H305"/>
    <mergeCell ref="B306:E306"/>
    <mergeCell ref="F306:H306"/>
    <mergeCell ref="B307:E307"/>
    <mergeCell ref="F307:H307"/>
    <mergeCell ref="B308:E308"/>
    <mergeCell ref="F308:H308"/>
    <mergeCell ref="B314:E314"/>
    <mergeCell ref="F314:H314"/>
    <mergeCell ref="B315:E315"/>
    <mergeCell ref="F315:H315"/>
    <mergeCell ref="B316:E316"/>
    <mergeCell ref="F316:H316"/>
    <mergeCell ref="B317:E317"/>
    <mergeCell ref="F317:H317"/>
    <mergeCell ref="B309:E309"/>
    <mergeCell ref="F309:H309"/>
    <mergeCell ref="B310:E310"/>
    <mergeCell ref="F310:H310"/>
    <mergeCell ref="B311:E311"/>
    <mergeCell ref="F311:H311"/>
    <mergeCell ref="B312:E312"/>
    <mergeCell ref="F312:H312"/>
    <mergeCell ref="B313:E313"/>
    <mergeCell ref="F313:H313"/>
  </mergeCells>
  <dataValidations count="1">
    <dataValidation type="list" allowBlank="1" showInputMessage="1" showErrorMessage="1" sqref="B9:E23 B198:E212 B219:E233 B303:E317 B261:E275 B177:E191 B156:E170 B135:E149 B114:E128 B93:E107 B72:E86 B51:E65 B30:E44 B282:E296 B240:E254" xr:uid="{7B394BD6-604D-480D-B597-2E07627AEF2E}">
      <formula1>Cover_Crops</formula1>
    </dataValidation>
  </dataValidations>
  <pageMargins left="1.75" right="0.25" top="1" bottom="1" header="0.3" footer="0.3"/>
  <pageSetup scale="77" fitToHeight="4" orientation="portrait" r:id="rId1"/>
  <rowBreaks count="4" manualBreakCount="4">
    <brk id="68" min="1" max="8" man="1"/>
    <brk id="131" min="1" max="8" man="1"/>
    <brk id="194" min="1" max="8" man="1"/>
    <brk id="257" min="1"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8196" r:id="rId4" name="Button 4">
              <controlPr defaultSize="0" print="0" autoFill="0" autoPict="0" macro="[0]!Go_To_Cover_Crop_Worksheet">
                <anchor moveWithCells="1" sizeWithCells="1">
                  <from>
                    <xdr:col>0</xdr:col>
                    <xdr:colOff>342900</xdr:colOff>
                    <xdr:row>3</xdr:row>
                    <xdr:rowOff>171450</xdr:rowOff>
                  </from>
                  <to>
                    <xdr:col>9</xdr:col>
                    <xdr:colOff>28575</xdr:colOff>
                    <xdr:row>4</xdr:row>
                    <xdr:rowOff>66675</xdr:rowOff>
                  </to>
                </anchor>
              </controlPr>
            </control>
          </mc:Choice>
        </mc:AlternateContent>
        <mc:AlternateContent xmlns:mc="http://schemas.openxmlformats.org/markup-compatibility/2006">
          <mc:Choice Requires="x14">
            <control shapeId="8200" r:id="rId5" name="Button 8">
              <controlPr defaultSize="0" print="0" autoFill="0" autoPict="0" macro="[0]!Go_To_Cover_Crop_Worksheet">
                <anchor moveWithCells="1" sizeWithCells="1">
                  <from>
                    <xdr:col>0</xdr:col>
                    <xdr:colOff>142875</xdr:colOff>
                    <xdr:row>3</xdr:row>
                    <xdr:rowOff>161925</xdr:rowOff>
                  </from>
                  <to>
                    <xdr:col>0</xdr:col>
                    <xdr:colOff>428625</xdr:colOff>
                    <xdr:row>317</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75431-00B3-4EE1-9F8B-78CB3CC3F467}">
  <sheetPr codeName="Sheet18">
    <pageSetUpPr fitToPage="1"/>
  </sheetPr>
  <dimension ref="A1:Q42"/>
  <sheetViews>
    <sheetView showGridLines="0" showZeros="0" zoomScaleNormal="100" zoomScaleSheetLayoutView="100" workbookViewId="0">
      <selection activeCell="B4" sqref="B4:L5"/>
    </sheetView>
  </sheetViews>
  <sheetFormatPr defaultRowHeight="12.75" x14ac:dyDescent="0.2"/>
  <cols>
    <col min="1" max="1" width="5.7109375" style="13" customWidth="1"/>
    <col min="2" max="2" width="36.5703125" customWidth="1"/>
    <col min="3" max="3" width="5.42578125" customWidth="1"/>
    <col min="4" max="4" width="9.140625" customWidth="1"/>
    <col min="5" max="5" width="20.28515625" customWidth="1"/>
    <col min="6" max="6" width="11" customWidth="1"/>
    <col min="7" max="7" width="6.42578125" customWidth="1"/>
    <col min="8" max="8" width="12.28515625" customWidth="1"/>
    <col min="9" max="9" width="9.42578125" customWidth="1"/>
    <col min="10" max="10" width="11.42578125" customWidth="1"/>
    <col min="11" max="11" width="7.42578125" customWidth="1"/>
    <col min="12" max="12" width="17.28515625" customWidth="1"/>
  </cols>
  <sheetData>
    <row r="1" spans="2:12" x14ac:dyDescent="0.2">
      <c r="B1" s="894"/>
      <c r="C1" s="894"/>
      <c r="D1" s="894"/>
      <c r="E1" s="894"/>
      <c r="F1" s="894"/>
      <c r="G1" s="894"/>
      <c r="H1" s="894"/>
      <c r="I1" s="894"/>
      <c r="J1" s="894"/>
    </row>
    <row r="2" spans="2:12" ht="32.25" customHeight="1" x14ac:dyDescent="0.2">
      <c r="B2" s="266"/>
      <c r="C2" s="956" t="s">
        <v>464</v>
      </c>
      <c r="D2" s="957"/>
      <c r="E2" s="957"/>
      <c r="F2" s="958"/>
      <c r="G2" s="967">
        <f>'Cover crop worksheet'!G19</f>
        <v>0</v>
      </c>
      <c r="H2" s="967"/>
      <c r="I2" s="967"/>
      <c r="J2" s="968"/>
      <c r="K2" s="329"/>
      <c r="L2" s="330"/>
    </row>
    <row r="3" spans="2:12" ht="18" x14ac:dyDescent="0.25">
      <c r="B3" s="969"/>
      <c r="C3" s="969"/>
      <c r="D3" s="969"/>
      <c r="E3" s="969"/>
      <c r="F3" s="969"/>
      <c r="G3" s="969"/>
      <c r="H3" s="969"/>
      <c r="I3" s="969"/>
      <c r="J3" s="969"/>
    </row>
    <row r="4" spans="2:12" ht="30.75" customHeight="1" x14ac:dyDescent="0.2">
      <c r="B4" s="960" t="s">
        <v>466</v>
      </c>
      <c r="C4" s="961"/>
      <c r="D4" s="961"/>
      <c r="E4" s="961"/>
      <c r="F4" s="961"/>
      <c r="G4" s="961"/>
      <c r="H4" s="961"/>
      <c r="I4" s="961"/>
      <c r="J4" s="961"/>
      <c r="K4" s="962"/>
      <c r="L4" s="963"/>
    </row>
    <row r="5" spans="2:12" ht="41.25" customHeight="1" x14ac:dyDescent="0.2">
      <c r="B5" s="964"/>
      <c r="C5" s="965"/>
      <c r="D5" s="965"/>
      <c r="E5" s="965"/>
      <c r="F5" s="965"/>
      <c r="G5" s="965"/>
      <c r="H5" s="965"/>
      <c r="I5" s="965"/>
      <c r="J5" s="965"/>
      <c r="K5" s="965"/>
      <c r="L5" s="966"/>
    </row>
    <row r="6" spans="2:12" ht="25.5" customHeight="1" x14ac:dyDescent="0.2">
      <c r="B6" s="267" t="s">
        <v>441</v>
      </c>
      <c r="C6" s="983">
        <f>'Cover crop worksheet'!C3</f>
        <v>0</v>
      </c>
      <c r="D6" s="983"/>
      <c r="E6" s="983"/>
      <c r="F6" s="984" t="s">
        <v>440</v>
      </c>
      <c r="G6" s="984"/>
      <c r="H6" s="953">
        <f>'Cover crop worksheet'!C5</f>
        <v>0</v>
      </c>
      <c r="I6" s="953"/>
      <c r="J6" s="953"/>
      <c r="K6" s="959"/>
      <c r="L6" s="959"/>
    </row>
    <row r="7" spans="2:12" ht="25.5" customHeight="1" x14ac:dyDescent="0.2">
      <c r="B7" s="268"/>
      <c r="C7" s="269"/>
      <c r="D7" s="269"/>
      <c r="E7" s="269"/>
      <c r="F7" s="269"/>
      <c r="G7" s="269"/>
      <c r="H7" s="269"/>
      <c r="I7" s="269"/>
      <c r="J7" s="269"/>
      <c r="K7" s="959"/>
      <c r="L7" s="959"/>
    </row>
    <row r="8" spans="2:12" ht="25.5" customHeight="1" x14ac:dyDescent="0.2">
      <c r="B8" s="267" t="str">
        <f>"NRCS Office"&amp;"  &amp; Phone #"</f>
        <v>NRCS Office  &amp; Phone #</v>
      </c>
      <c r="C8" s="974">
        <f>'Cover crop worksheet'!J3</f>
        <v>0</v>
      </c>
      <c r="D8" s="981"/>
      <c r="E8" s="981"/>
      <c r="F8" s="984" t="s">
        <v>440</v>
      </c>
      <c r="G8" s="984"/>
      <c r="H8" s="953">
        <f>'Cover crop worksheet'!M3</f>
        <v>0</v>
      </c>
      <c r="I8" s="954"/>
      <c r="J8" s="955"/>
      <c r="K8" s="959"/>
      <c r="L8" s="959"/>
    </row>
    <row r="9" spans="2:12" ht="25.5" customHeight="1" x14ac:dyDescent="0.2">
      <c r="B9" s="270"/>
      <c r="C9" s="271"/>
      <c r="D9" s="974"/>
      <c r="E9" s="974"/>
      <c r="F9" s="272"/>
      <c r="G9" s="272"/>
      <c r="H9" s="72"/>
      <c r="I9" s="72"/>
      <c r="J9" s="72"/>
      <c r="K9" s="959"/>
      <c r="L9" s="959"/>
    </row>
    <row r="10" spans="2:12" ht="25.5" customHeight="1" x14ac:dyDescent="0.2">
      <c r="B10" s="273" t="s">
        <v>179</v>
      </c>
      <c r="C10" s="975">
        <f>'Cover crop worksheet'!C74</f>
        <v>0</v>
      </c>
      <c r="D10" s="975"/>
      <c r="E10" s="975"/>
      <c r="F10" s="976" t="s">
        <v>465</v>
      </c>
      <c r="G10" s="977"/>
      <c r="H10" s="978">
        <f>'Cover crop worksheet'!I74</f>
        <v>0</v>
      </c>
      <c r="I10" s="979"/>
      <c r="J10" s="979"/>
      <c r="K10" s="982"/>
      <c r="L10" s="982"/>
    </row>
    <row r="11" spans="2:12" s="14" customFormat="1" ht="16.899999999999999" customHeight="1" x14ac:dyDescent="0.2">
      <c r="B11" s="201"/>
      <c r="C11" s="201"/>
      <c r="D11" s="201"/>
      <c r="E11" s="201"/>
      <c r="F11" s="201"/>
      <c r="G11" s="201"/>
      <c r="H11" s="201"/>
      <c r="I11" s="201"/>
      <c r="J11" s="201"/>
      <c r="K11" s="201"/>
      <c r="L11" s="274"/>
    </row>
    <row r="12" spans="2:12" s="14" customFormat="1" ht="16.899999999999999" customHeight="1" x14ac:dyDescent="0.2">
      <c r="B12" s="980" t="s">
        <v>261</v>
      </c>
      <c r="C12" s="981"/>
      <c r="D12" s="981"/>
      <c r="E12" s="981"/>
      <c r="F12" s="981"/>
      <c r="G12" s="981"/>
      <c r="H12" s="981"/>
      <c r="I12" s="981"/>
      <c r="J12" s="981"/>
      <c r="K12" s="981"/>
      <c r="L12" s="981"/>
    </row>
    <row r="13" spans="2:12" s="14" customFormat="1" ht="24.75" customHeight="1" x14ac:dyDescent="0.2">
      <c r="B13" s="981"/>
      <c r="C13" s="981"/>
      <c r="D13" s="981"/>
      <c r="E13" s="981"/>
      <c r="F13" s="981"/>
      <c r="G13" s="981"/>
      <c r="H13" s="981"/>
      <c r="I13" s="981"/>
      <c r="J13" s="981"/>
      <c r="K13" s="981"/>
      <c r="L13" s="981"/>
    </row>
    <row r="14" spans="2:12" s="14" customFormat="1" ht="24.75" customHeight="1" x14ac:dyDescent="0.2">
      <c r="B14" s="981"/>
      <c r="C14" s="981"/>
      <c r="D14" s="981"/>
      <c r="E14" s="981"/>
      <c r="F14" s="981"/>
      <c r="G14" s="981"/>
      <c r="H14" s="981"/>
      <c r="I14" s="981"/>
      <c r="J14" s="981"/>
      <c r="K14" s="981"/>
      <c r="L14" s="981"/>
    </row>
    <row r="15" spans="2:12" s="14" customFormat="1" ht="24.75" customHeight="1" x14ac:dyDescent="0.2">
      <c r="B15" s="981"/>
      <c r="C15" s="981"/>
      <c r="D15" s="981"/>
      <c r="E15" s="981"/>
      <c r="F15" s="981"/>
      <c r="G15" s="981"/>
      <c r="H15" s="981"/>
      <c r="I15" s="981"/>
      <c r="J15" s="981"/>
      <c r="K15" s="981"/>
      <c r="L15" s="981"/>
    </row>
    <row r="16" spans="2:12" s="14" customFormat="1" ht="24.75" customHeight="1" x14ac:dyDescent="0.2">
      <c r="B16" s="981"/>
      <c r="C16" s="981"/>
      <c r="D16" s="981"/>
      <c r="E16" s="981"/>
      <c r="F16" s="981"/>
      <c r="G16" s="981"/>
      <c r="H16" s="981"/>
      <c r="I16" s="981"/>
      <c r="J16" s="981"/>
      <c r="K16" s="981"/>
      <c r="L16" s="981"/>
    </row>
    <row r="17" spans="2:17" s="14" customFormat="1" ht="16.899999999999999" customHeight="1" x14ac:dyDescent="0.2">
      <c r="B17" s="201"/>
      <c r="C17" s="201"/>
      <c r="D17" s="201"/>
      <c r="E17" s="201"/>
      <c r="F17" s="201"/>
      <c r="G17" s="201"/>
      <c r="H17" s="201"/>
      <c r="I17" s="201"/>
      <c r="J17" s="201"/>
      <c r="K17" s="201"/>
      <c r="L17" s="274"/>
    </row>
    <row r="18" spans="2:17" ht="15" x14ac:dyDescent="0.2">
      <c r="B18" s="275" t="s">
        <v>873</v>
      </c>
      <c r="C18" s="275"/>
      <c r="D18" s="275"/>
      <c r="E18" s="277"/>
      <c r="F18" s="275"/>
      <c r="G18" s="326" t="s">
        <v>874</v>
      </c>
      <c r="H18" s="277"/>
      <c r="I18" s="327"/>
      <c r="J18" s="327"/>
      <c r="K18" s="328"/>
      <c r="L18" s="274"/>
    </row>
    <row r="19" spans="2:17" ht="15" x14ac:dyDescent="0.2">
      <c r="B19" s="972"/>
      <c r="C19" s="973"/>
      <c r="D19" s="973"/>
      <c r="E19" s="973"/>
      <c r="F19" s="970"/>
      <c r="G19" s="971"/>
      <c r="H19" s="971"/>
      <c r="L19" s="71"/>
    </row>
    <row r="20" spans="2:17" ht="29.25" customHeight="1" x14ac:dyDescent="0.2">
      <c r="B20" s="67"/>
      <c r="C20" s="77"/>
      <c r="D20" s="67"/>
      <c r="E20" s="68"/>
      <c r="F20" s="67"/>
      <c r="G20" s="68"/>
      <c r="H20" s="68"/>
      <c r="L20" s="71"/>
    </row>
    <row r="21" spans="2:17" s="14" customFormat="1" ht="15.75" x14ac:dyDescent="0.25">
      <c r="B21" s="276" t="s">
        <v>172</v>
      </c>
      <c r="C21" s="276"/>
      <c r="D21" s="276"/>
      <c r="E21" s="323" t="s">
        <v>477</v>
      </c>
      <c r="F21" s="331" t="s">
        <v>173</v>
      </c>
      <c r="G21" s="332"/>
      <c r="H21" s="332"/>
      <c r="I21" s="277"/>
      <c r="J21" s="333" t="str">
        <f>"|-------- "&amp;'Cover crop worksheet'!G17&amp;"  Total Acres --------|"</f>
        <v>|--------   Total Acres --------|</v>
      </c>
      <c r="K21" s="334"/>
      <c r="L21" s="333"/>
    </row>
    <row r="22" spans="2:17" s="13" customFormat="1" ht="24.95" customHeight="1" x14ac:dyDescent="0.25">
      <c r="B22" s="276"/>
      <c r="C22" s="276"/>
      <c r="D22" s="250" t="s">
        <v>174</v>
      </c>
      <c r="E22" s="324" t="s">
        <v>476</v>
      </c>
      <c r="F22" s="278" t="s">
        <v>175</v>
      </c>
      <c r="G22" s="279"/>
      <c r="H22" s="280" t="s">
        <v>176</v>
      </c>
      <c r="I22" s="281"/>
      <c r="J22" s="278" t="s">
        <v>177</v>
      </c>
      <c r="K22" s="278"/>
      <c r="L22" s="282" t="s">
        <v>176</v>
      </c>
    </row>
    <row r="23" spans="2:17" s="13" customFormat="1" ht="24.95" customHeight="1" x14ac:dyDescent="0.2">
      <c r="B23" s="67">
        <f>'Cover crop worksheet'!B33</f>
        <v>0</v>
      </c>
      <c r="C23">
        <f>'Cover crop worksheet'!F33</f>
        <v>0</v>
      </c>
      <c r="D23" s="283">
        <f>'Cover crop worksheet'!I33</f>
        <v>0</v>
      </c>
      <c r="E23" s="325" t="str">
        <f>_xlfn.IFNA(VLOOKUP(B23,'Table 1 Purpose rating'!$A$4:$D$55,4,FALSE),"")</f>
        <v/>
      </c>
      <c r="F23" s="74" t="str">
        <f>'Cover crop worksheet'!K33</f>
        <v/>
      </c>
      <c r="G23" s="81"/>
      <c r="H23" s="284" t="str">
        <f>'Cover crop worksheet'!Q33</f>
        <v/>
      </c>
      <c r="I23" s="81"/>
      <c r="J23" s="74" t="str">
        <f>'Cover crop worksheet'!M33</f>
        <v/>
      </c>
      <c r="K23" s="284"/>
      <c r="L23" s="284" t="str">
        <f>'Cover crop worksheet'!R33</f>
        <v/>
      </c>
      <c r="P23" s="335">
        <f>IF(OR('Cover crop worksheet'!B33=0,'Cover crop worksheet'!B33="",),0,1)</f>
        <v>0</v>
      </c>
      <c r="Q23" s="335">
        <f>IF(OR(H23=0,H23="",),0,1)</f>
        <v>0</v>
      </c>
    </row>
    <row r="24" spans="2:17" s="13" customFormat="1" ht="24.95" customHeight="1" x14ac:dyDescent="0.2">
      <c r="B24" s="67">
        <f>'Cover crop worksheet'!B34</f>
        <v>0</v>
      </c>
      <c r="C24">
        <f>'Cover crop worksheet'!F34</f>
        <v>0</v>
      </c>
      <c r="D24" s="283">
        <f>'Cover crop worksheet'!I34</f>
        <v>0</v>
      </c>
      <c r="E24" s="325" t="str">
        <f>_xlfn.IFNA(VLOOKUP(B24,'Table 1 Purpose rating'!$A$4:$D$55,4,FALSE),"")</f>
        <v/>
      </c>
      <c r="F24" s="74" t="str">
        <f>'Cover crop worksheet'!K34</f>
        <v/>
      </c>
      <c r="G24" s="81"/>
      <c r="H24" s="284" t="str">
        <f>'Cover crop worksheet'!Q34</f>
        <v/>
      </c>
      <c r="I24" s="81"/>
      <c r="J24" s="74" t="str">
        <f>'Cover crop worksheet'!M34</f>
        <v/>
      </c>
      <c r="K24" s="284"/>
      <c r="L24" s="284" t="str">
        <f>'Cover crop worksheet'!R34</f>
        <v/>
      </c>
      <c r="P24" s="335">
        <f>IF(OR('Cover crop worksheet'!B34=0,'Cover crop worksheet'!B34="",),0,1)</f>
        <v>0</v>
      </c>
      <c r="Q24" s="335">
        <f t="shared" ref="Q24:Q37" si="0">IF(OR(H24=0,H24="",),0,1)</f>
        <v>0</v>
      </c>
    </row>
    <row r="25" spans="2:17" s="13" customFormat="1" ht="24.95" customHeight="1" x14ac:dyDescent="0.2">
      <c r="B25" s="67">
        <f>'Cover crop worksheet'!B35</f>
        <v>0</v>
      </c>
      <c r="C25">
        <f>'Cover crop worksheet'!F35</f>
        <v>0</v>
      </c>
      <c r="D25" s="283">
        <f>'Cover crop worksheet'!I35</f>
        <v>0</v>
      </c>
      <c r="E25" s="325" t="str">
        <f>_xlfn.IFNA(VLOOKUP(B25,'Table 1 Purpose rating'!$A$4:$D$55,4,FALSE),"")</f>
        <v/>
      </c>
      <c r="F25" s="74" t="str">
        <f>'Cover crop worksheet'!K35</f>
        <v/>
      </c>
      <c r="G25" s="81"/>
      <c r="H25" s="284" t="str">
        <f>'Cover crop worksheet'!Q35</f>
        <v/>
      </c>
      <c r="I25" s="81"/>
      <c r="J25" s="74" t="str">
        <f>'Cover crop worksheet'!M35</f>
        <v/>
      </c>
      <c r="K25" s="284"/>
      <c r="L25" s="284" t="str">
        <f>'Cover crop worksheet'!R35</f>
        <v/>
      </c>
      <c r="P25" s="335">
        <f>IF(OR('Cover crop worksheet'!B35=0,'Cover crop worksheet'!B35="",),0,1)</f>
        <v>0</v>
      </c>
      <c r="Q25" s="335">
        <f t="shared" si="0"/>
        <v>0</v>
      </c>
    </row>
    <row r="26" spans="2:17" s="13" customFormat="1" ht="24.95" customHeight="1" x14ac:dyDescent="0.2">
      <c r="B26" s="67">
        <f>'Cover crop worksheet'!B36</f>
        <v>0</v>
      </c>
      <c r="C26">
        <f>'Cover crop worksheet'!F36</f>
        <v>0</v>
      </c>
      <c r="D26" s="283">
        <f>'Cover crop worksheet'!I36</f>
        <v>0</v>
      </c>
      <c r="E26" s="325" t="str">
        <f>_xlfn.IFNA(VLOOKUP(B26,'Table 1 Purpose rating'!$A$4:$D$55,4,FALSE),"")</f>
        <v/>
      </c>
      <c r="F26" s="74" t="str">
        <f>'Cover crop worksheet'!K36</f>
        <v/>
      </c>
      <c r="G26" s="81"/>
      <c r="H26" s="284" t="str">
        <f>'Cover crop worksheet'!Q36</f>
        <v/>
      </c>
      <c r="I26" s="81"/>
      <c r="J26" s="74" t="str">
        <f>'Cover crop worksheet'!M36</f>
        <v/>
      </c>
      <c r="K26" s="284"/>
      <c r="L26" s="284" t="str">
        <f>'Cover crop worksheet'!R36</f>
        <v/>
      </c>
      <c r="P26" s="335">
        <f>IF(OR('Cover crop worksheet'!B36=0,'Cover crop worksheet'!B36="",),0,1)</f>
        <v>0</v>
      </c>
      <c r="Q26" s="335">
        <f t="shared" si="0"/>
        <v>0</v>
      </c>
    </row>
    <row r="27" spans="2:17" s="13" customFormat="1" ht="24.95" customHeight="1" x14ac:dyDescent="0.2">
      <c r="B27" s="67">
        <f>'Cover crop worksheet'!B37</f>
        <v>0</v>
      </c>
      <c r="C27">
        <f>'Cover crop worksheet'!F37</f>
        <v>0</v>
      </c>
      <c r="D27" s="283">
        <f>'Cover crop worksheet'!I37</f>
        <v>0</v>
      </c>
      <c r="E27" s="325" t="str">
        <f>_xlfn.IFNA(VLOOKUP(B27,'Table 1 Purpose rating'!$A$4:$D$55,4,FALSE),"")</f>
        <v/>
      </c>
      <c r="F27" s="74" t="str">
        <f>'Cover crop worksheet'!K37</f>
        <v/>
      </c>
      <c r="G27" s="81"/>
      <c r="H27" s="284" t="str">
        <f>'Cover crop worksheet'!Q37</f>
        <v/>
      </c>
      <c r="I27" s="81"/>
      <c r="J27" s="74" t="str">
        <f>'Cover crop worksheet'!M37</f>
        <v/>
      </c>
      <c r="K27" s="284"/>
      <c r="L27" s="284" t="str">
        <f>'Cover crop worksheet'!R37</f>
        <v/>
      </c>
      <c r="P27" s="335">
        <f>IF(OR('Cover crop worksheet'!B37=0,'Cover crop worksheet'!B37="",),0,1)</f>
        <v>0</v>
      </c>
      <c r="Q27" s="335">
        <f t="shared" si="0"/>
        <v>0</v>
      </c>
    </row>
    <row r="28" spans="2:17" s="13" customFormat="1" ht="24.95" customHeight="1" x14ac:dyDescent="0.2">
      <c r="B28" s="67">
        <f>'Cover crop worksheet'!B38</f>
        <v>0</v>
      </c>
      <c r="C28">
        <f>'Cover crop worksheet'!F38</f>
        <v>0</v>
      </c>
      <c r="D28" s="283">
        <f>'Cover crop worksheet'!I38</f>
        <v>0</v>
      </c>
      <c r="E28" s="325" t="str">
        <f>_xlfn.IFNA(VLOOKUP(B28,'Table 1 Purpose rating'!$A$4:$D$55,4,FALSE),"")</f>
        <v/>
      </c>
      <c r="F28" s="74" t="str">
        <f>'Cover crop worksheet'!K38</f>
        <v/>
      </c>
      <c r="G28" s="81"/>
      <c r="H28" s="284" t="str">
        <f>'Cover crop worksheet'!Q38</f>
        <v/>
      </c>
      <c r="I28" s="81"/>
      <c r="J28" s="74" t="str">
        <f>'Cover crop worksheet'!M38</f>
        <v/>
      </c>
      <c r="K28" s="284"/>
      <c r="L28" s="284" t="str">
        <f>'Cover crop worksheet'!R38</f>
        <v/>
      </c>
      <c r="P28" s="335">
        <f>IF(OR('Cover crop worksheet'!B38=0,'Cover crop worksheet'!B38="",),0,1)</f>
        <v>0</v>
      </c>
      <c r="Q28" s="335">
        <f t="shared" si="0"/>
        <v>0</v>
      </c>
    </row>
    <row r="29" spans="2:17" s="13" customFormat="1" ht="24.95" customHeight="1" x14ac:dyDescent="0.2">
      <c r="B29" s="67">
        <f>'Cover crop worksheet'!B39</f>
        <v>0</v>
      </c>
      <c r="C29">
        <f>'Cover crop worksheet'!F39</f>
        <v>0</v>
      </c>
      <c r="D29" s="283">
        <f>'Cover crop worksheet'!I39</f>
        <v>0</v>
      </c>
      <c r="E29" s="325" t="str">
        <f>_xlfn.IFNA(VLOOKUP(B29,'Table 1 Purpose rating'!$A$4:$D$55,4,FALSE),"")</f>
        <v/>
      </c>
      <c r="F29" s="74" t="str">
        <f>'Cover crop worksheet'!K39</f>
        <v/>
      </c>
      <c r="G29" s="81"/>
      <c r="H29" s="284" t="str">
        <f>'Cover crop worksheet'!Q39</f>
        <v/>
      </c>
      <c r="I29" s="81"/>
      <c r="J29" s="74" t="str">
        <f>'Cover crop worksheet'!M39</f>
        <v/>
      </c>
      <c r="K29" s="284"/>
      <c r="L29" s="284" t="str">
        <f>'Cover crop worksheet'!R39</f>
        <v/>
      </c>
      <c r="P29" s="335">
        <f>IF(OR('Cover crop worksheet'!B39=0,'Cover crop worksheet'!B39="",),0,1)</f>
        <v>0</v>
      </c>
      <c r="Q29" s="335">
        <f t="shared" si="0"/>
        <v>0</v>
      </c>
    </row>
    <row r="30" spans="2:17" s="13" customFormat="1" ht="24.95" customHeight="1" x14ac:dyDescent="0.2">
      <c r="B30" s="67">
        <f>'Cover crop worksheet'!B40</f>
        <v>0</v>
      </c>
      <c r="C30">
        <f>'Cover crop worksheet'!F40</f>
        <v>0</v>
      </c>
      <c r="D30" s="283">
        <f>'Cover crop worksheet'!I40</f>
        <v>0</v>
      </c>
      <c r="E30" s="325" t="str">
        <f>_xlfn.IFNA(VLOOKUP(B30,'Table 1 Purpose rating'!$A$4:$D$55,4,FALSE),"")</f>
        <v/>
      </c>
      <c r="F30" s="74" t="str">
        <f>'Cover crop worksheet'!K40</f>
        <v/>
      </c>
      <c r="G30" s="81"/>
      <c r="H30" s="284" t="str">
        <f>'Cover crop worksheet'!Q40</f>
        <v/>
      </c>
      <c r="I30" s="81"/>
      <c r="J30" s="74" t="str">
        <f>'Cover crop worksheet'!M40</f>
        <v/>
      </c>
      <c r="K30" s="284"/>
      <c r="L30" s="284" t="str">
        <f>'Cover crop worksheet'!R40</f>
        <v/>
      </c>
      <c r="P30" s="335">
        <f>IF(OR('Cover crop worksheet'!B40=0,'Cover crop worksheet'!B40="",),0,1)</f>
        <v>0</v>
      </c>
      <c r="Q30" s="335">
        <f t="shared" si="0"/>
        <v>0</v>
      </c>
    </row>
    <row r="31" spans="2:17" s="13" customFormat="1" ht="24.95" customHeight="1" x14ac:dyDescent="0.2">
      <c r="B31" s="67">
        <f>'Cover crop worksheet'!B41</f>
        <v>0</v>
      </c>
      <c r="C31">
        <f>'Cover crop worksheet'!F41</f>
        <v>0</v>
      </c>
      <c r="D31" s="283">
        <f>'Cover crop worksheet'!I41</f>
        <v>0</v>
      </c>
      <c r="E31" s="325" t="str">
        <f>_xlfn.IFNA(VLOOKUP(B31,'Table 1 Purpose rating'!$A$4:$D$55,4,FALSE),"")</f>
        <v/>
      </c>
      <c r="F31" s="74" t="str">
        <f>'Cover crop worksheet'!K41</f>
        <v/>
      </c>
      <c r="G31" s="81"/>
      <c r="H31" s="284" t="str">
        <f>'Cover crop worksheet'!Q41</f>
        <v/>
      </c>
      <c r="I31" s="81"/>
      <c r="J31" s="74" t="str">
        <f>'Cover crop worksheet'!M41</f>
        <v/>
      </c>
      <c r="K31" s="284"/>
      <c r="L31" s="284" t="str">
        <f>'Cover crop worksheet'!R41</f>
        <v/>
      </c>
      <c r="P31" s="335">
        <f>IF(OR('Cover crop worksheet'!B41=0,'Cover crop worksheet'!B41="",),0,1)</f>
        <v>0</v>
      </c>
      <c r="Q31" s="335">
        <f t="shared" si="0"/>
        <v>0</v>
      </c>
    </row>
    <row r="32" spans="2:17" s="13" customFormat="1" ht="24.95" customHeight="1" x14ac:dyDescent="0.2">
      <c r="B32" s="67">
        <f>'Cover crop worksheet'!B42</f>
        <v>0</v>
      </c>
      <c r="C32">
        <f>'Cover crop worksheet'!F42</f>
        <v>0</v>
      </c>
      <c r="D32" s="283">
        <f>'Cover crop worksheet'!I42</f>
        <v>0</v>
      </c>
      <c r="E32" s="325" t="str">
        <f>_xlfn.IFNA(VLOOKUP(B32,'Table 1 Purpose rating'!$A$4:$D$55,4,FALSE),"")</f>
        <v/>
      </c>
      <c r="F32" s="74" t="str">
        <f>'Cover crop worksheet'!K42</f>
        <v/>
      </c>
      <c r="G32" s="81"/>
      <c r="H32" s="284" t="str">
        <f>'Cover crop worksheet'!Q42</f>
        <v/>
      </c>
      <c r="I32" s="81"/>
      <c r="J32" s="74" t="str">
        <f>'Cover crop worksheet'!M42</f>
        <v/>
      </c>
      <c r="K32" s="284"/>
      <c r="L32" s="284" t="str">
        <f>'Cover crop worksheet'!R42</f>
        <v/>
      </c>
      <c r="P32" s="335">
        <f>IF(OR('Cover crop worksheet'!B42=0,'Cover crop worksheet'!B42="",),0,1)</f>
        <v>0</v>
      </c>
      <c r="Q32" s="335">
        <f t="shared" si="0"/>
        <v>0</v>
      </c>
    </row>
    <row r="33" spans="2:17" s="13" customFormat="1" ht="24.95" customHeight="1" x14ac:dyDescent="0.2">
      <c r="B33" s="67">
        <f>'Cover crop worksheet'!B43</f>
        <v>0</v>
      </c>
      <c r="C33">
        <f>'Cover crop worksheet'!F43</f>
        <v>0</v>
      </c>
      <c r="D33" s="283">
        <f>'Cover crop worksheet'!I43</f>
        <v>0</v>
      </c>
      <c r="E33" s="325" t="str">
        <f>_xlfn.IFNA(VLOOKUP(B33,'Table 1 Purpose rating'!$A$4:$D$55,4,FALSE),"")</f>
        <v/>
      </c>
      <c r="F33" s="74" t="str">
        <f>'Cover crop worksheet'!K43</f>
        <v/>
      </c>
      <c r="G33" s="81"/>
      <c r="H33" s="284" t="str">
        <f>'Cover crop worksheet'!Q43</f>
        <v/>
      </c>
      <c r="I33" s="81"/>
      <c r="J33" s="74" t="str">
        <f>'Cover crop worksheet'!M43</f>
        <v/>
      </c>
      <c r="K33" s="284"/>
      <c r="L33" s="284" t="str">
        <f>'Cover crop worksheet'!R43</f>
        <v/>
      </c>
      <c r="P33" s="335">
        <f>IF(OR('Cover crop worksheet'!B43=0,'Cover crop worksheet'!B43="",),0,1)</f>
        <v>0</v>
      </c>
      <c r="Q33" s="335">
        <f t="shared" si="0"/>
        <v>0</v>
      </c>
    </row>
    <row r="34" spans="2:17" s="13" customFormat="1" ht="24.95" customHeight="1" x14ac:dyDescent="0.2">
      <c r="B34" s="67">
        <f>'Cover crop worksheet'!B44</f>
        <v>0</v>
      </c>
      <c r="C34">
        <f>'Cover crop worksheet'!F44</f>
        <v>0</v>
      </c>
      <c r="D34" s="283">
        <f>'Cover crop worksheet'!I44</f>
        <v>0</v>
      </c>
      <c r="E34" s="325" t="str">
        <f>_xlfn.IFNA(VLOOKUP(B34,'Table 1 Purpose rating'!$A$4:$D$55,4,FALSE),"")</f>
        <v/>
      </c>
      <c r="F34" s="74" t="str">
        <f>'Cover crop worksheet'!K44</f>
        <v/>
      </c>
      <c r="G34" s="81"/>
      <c r="H34" s="284" t="str">
        <f>'Cover crop worksheet'!Q44</f>
        <v/>
      </c>
      <c r="I34" s="81"/>
      <c r="J34" s="74" t="str">
        <f>'Cover crop worksheet'!M44</f>
        <v/>
      </c>
      <c r="K34" s="284"/>
      <c r="L34" s="284" t="str">
        <f>'Cover crop worksheet'!R44</f>
        <v/>
      </c>
      <c r="P34" s="335">
        <f>IF(OR('Cover crop worksheet'!B44=0,'Cover crop worksheet'!B44="",),0,1)</f>
        <v>0</v>
      </c>
      <c r="Q34" s="335">
        <f t="shared" si="0"/>
        <v>0</v>
      </c>
    </row>
    <row r="35" spans="2:17" s="13" customFormat="1" ht="24.95" customHeight="1" x14ac:dyDescent="0.2">
      <c r="B35" s="67">
        <f>'Cover crop worksheet'!B45</f>
        <v>0</v>
      </c>
      <c r="C35">
        <f>'Cover crop worksheet'!F45</f>
        <v>0</v>
      </c>
      <c r="D35" s="283">
        <f>'Cover crop worksheet'!I45</f>
        <v>0</v>
      </c>
      <c r="E35" s="325" t="str">
        <f>_xlfn.IFNA(VLOOKUP(B35,'Table 1 Purpose rating'!$A$4:$D$55,4,FALSE),"")</f>
        <v/>
      </c>
      <c r="F35" s="74" t="str">
        <f>'Cover crop worksheet'!K45</f>
        <v/>
      </c>
      <c r="G35" s="81"/>
      <c r="H35" s="284" t="str">
        <f>'Cover crop worksheet'!Q45</f>
        <v/>
      </c>
      <c r="I35" s="81"/>
      <c r="J35" s="74" t="str">
        <f>'Cover crop worksheet'!M45</f>
        <v/>
      </c>
      <c r="K35" s="284"/>
      <c r="L35" s="284" t="str">
        <f>'Cover crop worksheet'!R45</f>
        <v/>
      </c>
      <c r="P35" s="335">
        <f>IF(OR('Cover crop worksheet'!B45=0,'Cover crop worksheet'!B45="",),0,1)</f>
        <v>0</v>
      </c>
      <c r="Q35" s="335">
        <f t="shared" si="0"/>
        <v>0</v>
      </c>
    </row>
    <row r="36" spans="2:17" s="13" customFormat="1" ht="24.95" customHeight="1" x14ac:dyDescent="0.2">
      <c r="B36" s="67">
        <f>'Cover crop worksheet'!B46</f>
        <v>0</v>
      </c>
      <c r="C36">
        <f>'Cover crop worksheet'!F46</f>
        <v>0</v>
      </c>
      <c r="D36" s="283">
        <f>'Cover crop worksheet'!I46</f>
        <v>0</v>
      </c>
      <c r="E36" s="325" t="str">
        <f>_xlfn.IFNA(VLOOKUP(B36,'Table 1 Purpose rating'!$A$4:$D$55,4,FALSE),"")</f>
        <v/>
      </c>
      <c r="F36" s="74" t="str">
        <f>'Cover crop worksheet'!K46</f>
        <v/>
      </c>
      <c r="G36" s="81"/>
      <c r="H36" s="284" t="str">
        <f>'Cover crop worksheet'!Q46</f>
        <v/>
      </c>
      <c r="I36" s="81"/>
      <c r="J36" s="74" t="str">
        <f>'Cover crop worksheet'!M46</f>
        <v/>
      </c>
      <c r="K36" s="284"/>
      <c r="L36" s="284" t="str">
        <f>'Cover crop worksheet'!R46</f>
        <v/>
      </c>
      <c r="P36" s="335">
        <f>IF(OR('Cover crop worksheet'!B46=0,'Cover crop worksheet'!B46="",),0,1)</f>
        <v>0</v>
      </c>
      <c r="Q36" s="335">
        <f t="shared" si="0"/>
        <v>0</v>
      </c>
    </row>
    <row r="37" spans="2:17" s="13" customFormat="1" ht="24.95" customHeight="1" x14ac:dyDescent="0.2">
      <c r="B37" s="67">
        <f>'Cover crop worksheet'!B47</f>
        <v>0</v>
      </c>
      <c r="C37">
        <f>'Cover crop worksheet'!F47</f>
        <v>0</v>
      </c>
      <c r="D37" s="283">
        <f>'Cover crop worksheet'!I47</f>
        <v>0</v>
      </c>
      <c r="E37" s="325" t="str">
        <f>_xlfn.IFNA(VLOOKUP(B37,'Table 1 Purpose rating'!$A$4:$D$55,4,FALSE),"")</f>
        <v/>
      </c>
      <c r="F37" s="74" t="str">
        <f>'Cover crop worksheet'!K47</f>
        <v/>
      </c>
      <c r="G37" s="81"/>
      <c r="H37" s="284" t="str">
        <f>'Cover crop worksheet'!Q47</f>
        <v/>
      </c>
      <c r="I37" s="81"/>
      <c r="J37" s="74" t="str">
        <f>'Cover crop worksheet'!M47</f>
        <v/>
      </c>
      <c r="K37" s="284"/>
      <c r="L37" s="284" t="str">
        <f>'Cover crop worksheet'!R47</f>
        <v/>
      </c>
      <c r="P37" s="335">
        <f>IF(OR('Cover crop worksheet'!B47=0,'Cover crop worksheet'!B47="",),0,1)</f>
        <v>0</v>
      </c>
      <c r="Q37" s="335">
        <f t="shared" si="0"/>
        <v>0</v>
      </c>
    </row>
    <row r="38" spans="2:17" s="14" customFormat="1" ht="15.75" x14ac:dyDescent="0.25">
      <c r="C38"/>
      <c r="F38" s="331" t="s">
        <v>173</v>
      </c>
      <c r="G38" s="332"/>
      <c r="H38" s="332"/>
      <c r="I38" s="277"/>
      <c r="J38" s="333" t="str">
        <f>"|-------- "&amp;'Cover crop worksheet'!G17&amp;"  Total Acres --------|"</f>
        <v>|--------   Total Acres --------|</v>
      </c>
      <c r="K38" s="334"/>
      <c r="L38" s="333"/>
      <c r="P38" s="335">
        <f>SUM(P23:P37)</f>
        <v>0</v>
      </c>
      <c r="Q38" s="335">
        <f>SUM(Q23:Q37)</f>
        <v>0</v>
      </c>
    </row>
    <row r="39" spans="2:17" s="12" customFormat="1" ht="21.75" customHeight="1" x14ac:dyDescent="0.2">
      <c r="F39" s="285" t="s">
        <v>416</v>
      </c>
      <c r="G39" s="250"/>
      <c r="H39" s="250" t="s">
        <v>415</v>
      </c>
      <c r="J39" s="285" t="s">
        <v>416</v>
      </c>
      <c r="K39" s="285"/>
      <c r="L39" s="250" t="s">
        <v>415</v>
      </c>
    </row>
    <row r="40" spans="2:17" ht="18" x14ac:dyDescent="0.25">
      <c r="B40" s="286" t="s">
        <v>178</v>
      </c>
      <c r="C40" s="287"/>
      <c r="D40" s="287"/>
      <c r="E40" s="287"/>
      <c r="F40" s="357">
        <f>'Cover crop worksheet'!K48</f>
        <v>0</v>
      </c>
      <c r="G40" s="240"/>
      <c r="H40" s="288">
        <f>'Cover crop worksheet'!Q48</f>
        <v>0</v>
      </c>
      <c r="I40" s="286"/>
      <c r="J40" s="322">
        <f>'Cover crop worksheet'!M48</f>
        <v>0</v>
      </c>
      <c r="K40" s="289"/>
      <c r="L40" s="289">
        <f>SUM(L23:L37)</f>
        <v>0</v>
      </c>
    </row>
    <row r="41" spans="2:17" x14ac:dyDescent="0.2">
      <c r="K41" s="70"/>
      <c r="L41" s="71"/>
    </row>
    <row r="42" spans="2:17" ht="18" x14ac:dyDescent="0.25">
      <c r="E42" s="290" t="str">
        <f>IF(P38=Q38,"","Note: Some species have unknown costs.")</f>
        <v/>
      </c>
      <c r="F42" s="287"/>
      <c r="G42" s="287"/>
      <c r="H42" s="287"/>
      <c r="I42" s="287"/>
      <c r="J42" s="287"/>
      <c r="K42" s="291"/>
      <c r="L42" s="71"/>
    </row>
  </sheetData>
  <sheetProtection algorithmName="SHA-512" hashValue="xiFpmbnv2o1OEJ8ZTqiQzn7jvukMPC4qiBUBZUBAH3jCUOJng49c8UvDlYS2Ra9UYNEHa2F18g8nvYLbR7HWYg==" saltValue="yiiVm9TZwujkseuHPoF6kA==" spinCount="100000" sheet="1" scenarios="1" formatCells="0" formatColumns="0" formatRows="0" sort="0" autoFilter="0"/>
  <mergeCells count="23">
    <mergeCell ref="B1:J1"/>
    <mergeCell ref="B3:J3"/>
    <mergeCell ref="F19:H19"/>
    <mergeCell ref="B19:E19"/>
    <mergeCell ref="D9:E9"/>
    <mergeCell ref="C10:E10"/>
    <mergeCell ref="F10:G10"/>
    <mergeCell ref="H10:J10"/>
    <mergeCell ref="B12:L16"/>
    <mergeCell ref="C8:E8"/>
    <mergeCell ref="K9:L9"/>
    <mergeCell ref="K10:L10"/>
    <mergeCell ref="C6:E6"/>
    <mergeCell ref="F6:G6"/>
    <mergeCell ref="H6:J6"/>
    <mergeCell ref="F8:G8"/>
    <mergeCell ref="H8:J8"/>
    <mergeCell ref="C2:F2"/>
    <mergeCell ref="K6:L6"/>
    <mergeCell ref="K7:L7"/>
    <mergeCell ref="K8:L8"/>
    <mergeCell ref="B4:L5"/>
    <mergeCell ref="G2:J2"/>
  </mergeCells>
  <phoneticPr fontId="23" type="noConversion"/>
  <printOptions horizontalCentered="1"/>
  <pageMargins left="0.7" right="0.7" top="0.75" bottom="0.75" header="0.3" footer="0.3"/>
  <pageSetup scale="6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4C8F6-1D86-4095-8D93-684C7E0F0785}">
  <sheetPr codeName="Sheet3">
    <pageSetUpPr fitToPage="1"/>
  </sheetPr>
  <dimension ref="B1:M49"/>
  <sheetViews>
    <sheetView showGridLines="0" showZeros="0" topLeftCell="A8" zoomScale="110" zoomScaleNormal="110" zoomScaleSheetLayoutView="90" workbookViewId="0">
      <selection activeCell="B4" sqref="B4:L5"/>
    </sheetView>
  </sheetViews>
  <sheetFormatPr defaultRowHeight="12.75" x14ac:dyDescent="0.2"/>
  <cols>
    <col min="1" max="1" width="4.5703125" customWidth="1"/>
    <col min="2" max="2" width="29.28515625" customWidth="1"/>
    <col min="3" max="3" width="18.5703125" customWidth="1"/>
    <col min="4" max="4" width="5.7109375" customWidth="1"/>
    <col min="5" max="5" width="8.5703125" customWidth="1"/>
    <col min="6" max="6" width="11.42578125" customWidth="1"/>
    <col min="7" max="7" width="7.28515625" customWidth="1"/>
    <col min="8" max="8" width="6.28515625" customWidth="1"/>
    <col min="9" max="9" width="8.5703125" customWidth="1"/>
    <col min="10" max="10" width="10.85546875" customWidth="1"/>
    <col min="11" max="11" width="11.140625" customWidth="1"/>
    <col min="12" max="12" width="10.85546875" customWidth="1"/>
    <col min="13" max="13" width="1.42578125" customWidth="1"/>
  </cols>
  <sheetData>
    <row r="1" spans="2:12" ht="18" customHeight="1" x14ac:dyDescent="0.2">
      <c r="B1" s="894"/>
      <c r="C1" s="894"/>
      <c r="D1" s="894"/>
      <c r="E1" s="894"/>
      <c r="F1" s="894"/>
      <c r="G1" s="894"/>
      <c r="H1" s="894"/>
      <c r="I1" s="894"/>
      <c r="J1" s="894"/>
      <c r="K1" s="894"/>
      <c r="L1" s="894"/>
    </row>
    <row r="2" spans="2:12" ht="47.25" customHeight="1" x14ac:dyDescent="0.2">
      <c r="B2" s="318"/>
      <c r="C2" s="1022" t="s">
        <v>464</v>
      </c>
      <c r="D2" s="958"/>
      <c r="E2" s="958"/>
      <c r="F2" s="958"/>
      <c r="G2" s="1023">
        <f>'Cover crop worksheet'!G19</f>
        <v>0</v>
      </c>
      <c r="H2" s="1024"/>
      <c r="I2" s="1024"/>
      <c r="J2" s="1024"/>
      <c r="K2" s="1024"/>
      <c r="L2" s="319"/>
    </row>
    <row r="3" spans="2:12" ht="26.25" customHeight="1" x14ac:dyDescent="0.25">
      <c r="B3" s="989"/>
      <c r="C3" s="989"/>
      <c r="D3" s="989"/>
      <c r="E3" s="989"/>
      <c r="F3" s="989"/>
      <c r="G3" s="989"/>
      <c r="H3" s="989"/>
      <c r="I3" s="989"/>
      <c r="J3" s="989"/>
      <c r="K3" s="989"/>
      <c r="L3" s="989"/>
    </row>
    <row r="4" spans="2:12" ht="38.25" customHeight="1" x14ac:dyDescent="0.2">
      <c r="B4" s="1021" t="s">
        <v>313</v>
      </c>
      <c r="C4" s="1021"/>
      <c r="D4" s="1021"/>
      <c r="E4" s="1021"/>
      <c r="F4" s="1021"/>
      <c r="G4" s="1021"/>
      <c r="H4" s="1021"/>
      <c r="I4" s="1021"/>
      <c r="J4" s="1021"/>
      <c r="K4" s="1021"/>
      <c r="L4" s="1021"/>
    </row>
    <row r="5" spans="2:12" ht="13.15" customHeight="1" x14ac:dyDescent="0.2">
      <c r="B5" s="965"/>
      <c r="C5" s="965"/>
      <c r="D5" s="965"/>
      <c r="E5" s="965"/>
      <c r="F5" s="965"/>
      <c r="G5" s="965"/>
      <c r="H5" s="965"/>
      <c r="I5" s="965"/>
      <c r="J5" s="965"/>
      <c r="K5" s="965"/>
      <c r="L5" s="965"/>
    </row>
    <row r="6" spans="2:12" s="73" customFormat="1" ht="24.6" customHeight="1" x14ac:dyDescent="0.2">
      <c r="B6" s="292" t="s">
        <v>441</v>
      </c>
      <c r="C6" s="983">
        <f>'Cover crop worksheet'!C3</f>
        <v>0</v>
      </c>
      <c r="D6" s="983"/>
      <c r="E6" s="983"/>
      <c r="F6" s="983"/>
      <c r="G6" s="983"/>
      <c r="H6" s="984" t="s">
        <v>440</v>
      </c>
      <c r="I6" s="984"/>
      <c r="J6" s="953">
        <f>'Cover crop worksheet'!C5</f>
        <v>0</v>
      </c>
      <c r="K6" s="953"/>
      <c r="L6" s="953"/>
    </row>
    <row r="7" spans="2:12" s="72" customFormat="1" ht="9.75" customHeight="1" x14ac:dyDescent="0.2">
      <c r="B7" s="269"/>
      <c r="C7" s="269"/>
      <c r="D7" s="269"/>
      <c r="E7" s="269"/>
      <c r="F7" s="269"/>
      <c r="G7" s="269"/>
      <c r="H7" s="269"/>
      <c r="I7" s="269"/>
      <c r="J7" s="269"/>
      <c r="K7" s="269"/>
      <c r="L7" s="269"/>
    </row>
    <row r="8" spans="2:12" s="72" customFormat="1" ht="24.6" customHeight="1" x14ac:dyDescent="0.2">
      <c r="B8" s="292" t="str">
        <f>"NRCS Office"&amp;"  &amp; Phone #"</f>
        <v>NRCS Office  &amp; Phone #</v>
      </c>
      <c r="C8" s="974">
        <f>'Cover crop worksheet'!J3</f>
        <v>0</v>
      </c>
      <c r="D8" s="981"/>
      <c r="E8" s="981"/>
      <c r="F8" s="73"/>
      <c r="G8" s="73"/>
      <c r="H8" s="984" t="s">
        <v>440</v>
      </c>
      <c r="I8" s="984"/>
      <c r="J8" s="953">
        <f>'Cover crop worksheet'!M3</f>
        <v>0</v>
      </c>
      <c r="K8" s="954"/>
      <c r="L8" s="955"/>
    </row>
    <row r="9" spans="2:12" s="72" customFormat="1" ht="18" customHeight="1" x14ac:dyDescent="0.2">
      <c r="B9" s="293"/>
      <c r="C9" s="271"/>
      <c r="D9" s="974"/>
      <c r="E9" s="974"/>
      <c r="F9" s="974"/>
      <c r="G9" s="974"/>
      <c r="H9" s="272"/>
      <c r="I9" s="272"/>
    </row>
    <row r="10" spans="2:12" s="72" customFormat="1" ht="24.6" customHeight="1" x14ac:dyDescent="0.2">
      <c r="B10" s="292" t="s">
        <v>179</v>
      </c>
      <c r="C10" s="974">
        <f>'Cover crop worksheet'!C74</f>
        <v>0</v>
      </c>
      <c r="D10" s="974"/>
      <c r="E10" s="974"/>
      <c r="F10" s="974"/>
      <c r="G10" s="974"/>
      <c r="H10" s="1026" t="s">
        <v>465</v>
      </c>
      <c r="I10" s="1027"/>
      <c r="J10" s="1025">
        <f>'Cover crop worksheet'!I74</f>
        <v>0</v>
      </c>
      <c r="K10" s="955"/>
      <c r="L10" s="955"/>
    </row>
    <row r="11" spans="2:12" ht="18" x14ac:dyDescent="0.25">
      <c r="B11" s="988"/>
      <c r="C11" s="988"/>
      <c r="D11" s="988"/>
      <c r="E11" s="988"/>
      <c r="F11" s="988"/>
      <c r="G11" s="988"/>
      <c r="H11" s="988"/>
      <c r="I11" s="988"/>
      <c r="J11" s="988"/>
      <c r="K11" s="988"/>
      <c r="L11" s="988"/>
    </row>
    <row r="12" spans="2:12" s="14" customFormat="1" ht="101.25" customHeight="1" x14ac:dyDescent="0.2">
      <c r="B12" s="990" t="s">
        <v>288</v>
      </c>
      <c r="C12" s="991"/>
      <c r="D12" s="991"/>
      <c r="E12" s="991"/>
      <c r="F12" s="991"/>
      <c r="G12" s="991"/>
      <c r="H12" s="991"/>
      <c r="I12" s="991"/>
      <c r="J12" s="991"/>
      <c r="K12" s="991"/>
      <c r="L12" s="992"/>
    </row>
    <row r="13" spans="2:12" ht="8.65" customHeight="1" x14ac:dyDescent="0.2">
      <c r="B13" s="67"/>
      <c r="C13" s="294"/>
      <c r="D13" s="294"/>
      <c r="E13" s="294"/>
      <c r="F13" s="295"/>
      <c r="G13" s="67"/>
      <c r="H13" s="68"/>
      <c r="I13" s="67"/>
      <c r="J13" s="68"/>
      <c r="K13" s="68"/>
      <c r="L13" s="69"/>
    </row>
    <row r="14" spans="2:12" ht="8.65" customHeight="1" x14ac:dyDescent="0.2">
      <c r="E14" s="67"/>
      <c r="F14" s="68"/>
      <c r="G14" s="67"/>
      <c r="H14" s="12"/>
      <c r="L14" s="295"/>
    </row>
    <row r="15" spans="2:12" ht="14.1" customHeight="1" x14ac:dyDescent="0.25">
      <c r="B15" s="993" t="s">
        <v>172</v>
      </c>
      <c r="C15" s="993"/>
      <c r="D15" s="993"/>
      <c r="E15" s="67"/>
      <c r="F15" s="68"/>
      <c r="G15" s="67"/>
      <c r="H15" s="994"/>
      <c r="I15" s="994"/>
      <c r="J15" s="994"/>
      <c r="K15" s="296"/>
      <c r="L15" s="297"/>
    </row>
    <row r="16" spans="2:12" ht="8.65" customHeight="1" x14ac:dyDescent="0.2">
      <c r="B16" s="297"/>
      <c r="C16" s="297"/>
      <c r="E16" s="67"/>
      <c r="F16" s="68"/>
      <c r="G16" s="67"/>
      <c r="H16" s="68"/>
      <c r="I16" s="81"/>
      <c r="J16" s="296"/>
      <c r="K16" s="296"/>
      <c r="L16" s="69"/>
    </row>
    <row r="17" spans="2:12" ht="14.1" customHeight="1" x14ac:dyDescent="0.2">
      <c r="B17" s="1014" t="str">
        <f>IF('Cover crop worksheet'!J10="","","Mix "&amp;'Cover crop worksheet'!B30)</f>
        <v/>
      </c>
      <c r="C17" s="1007"/>
      <c r="D17" s="1010" t="str">
        <f>'Cover crop worksheet'!F30</f>
        <v>Variety</v>
      </c>
      <c r="E17" s="1011"/>
      <c r="F17" s="1011"/>
      <c r="G17" s="1006" t="s">
        <v>419</v>
      </c>
      <c r="H17" s="1007"/>
      <c r="I17" s="995" t="str">
        <f>'Cover crop worksheet'!K30</f>
        <v>Planned Seeding Rate (PLS lbs/ac)</v>
      </c>
      <c r="J17" s="995" t="str">
        <f>'Cover crop worksheet'!L30</f>
        <v>Acres to Seed</v>
      </c>
      <c r="K17" s="998" t="str">
        <f>'Cover crop worksheet'!M30</f>
        <v>Total Seed Required    (PLS lbs)</v>
      </c>
      <c r="L17" s="1001" t="s">
        <v>541</v>
      </c>
    </row>
    <row r="18" spans="2:12" ht="14.1" customHeight="1" x14ac:dyDescent="0.2">
      <c r="B18" s="1015"/>
      <c r="C18" s="955"/>
      <c r="D18" s="1012"/>
      <c r="E18" s="1012"/>
      <c r="F18" s="1012"/>
      <c r="G18" s="955"/>
      <c r="H18" s="955"/>
      <c r="I18" s="996"/>
      <c r="J18" s="996"/>
      <c r="K18" s="999"/>
      <c r="L18" s="1002"/>
    </row>
    <row r="19" spans="2:12" ht="43.5" customHeight="1" x14ac:dyDescent="0.2">
      <c r="B19" s="298" t="s">
        <v>418</v>
      </c>
      <c r="C19" s="299"/>
      <c r="D19" s="1013"/>
      <c r="E19" s="1013"/>
      <c r="F19" s="1013"/>
      <c r="G19" s="979"/>
      <c r="H19" s="979"/>
      <c r="I19" s="997"/>
      <c r="J19" s="997"/>
      <c r="K19" s="1000"/>
      <c r="L19" s="1003"/>
    </row>
    <row r="20" spans="2:12" ht="5.65" customHeight="1" x14ac:dyDescent="0.2">
      <c r="B20" s="300"/>
      <c r="C20" s="300"/>
      <c r="G20" s="300"/>
      <c r="H20" s="300"/>
      <c r="I20" s="300"/>
      <c r="J20" s="300"/>
      <c r="K20" s="300"/>
      <c r="L20" s="247"/>
    </row>
    <row r="21" spans="2:12" ht="20.100000000000001" customHeight="1" x14ac:dyDescent="0.2">
      <c r="B21" s="1004">
        <f>'Cover crop worksheet'!$B33</f>
        <v>0</v>
      </c>
      <c r="C21" s="1005"/>
      <c r="D21" s="1008">
        <f>'Cover crop worksheet'!F33</f>
        <v>0</v>
      </c>
      <c r="E21" s="1005"/>
      <c r="F21" s="1005"/>
      <c r="G21" s="1009">
        <f>'Cover crop worksheet'!I33</f>
        <v>0</v>
      </c>
      <c r="H21" s="1009"/>
      <c r="I21" s="301" t="str">
        <f>'Cover crop worksheet'!K33</f>
        <v/>
      </c>
      <c r="J21" s="301" t="str">
        <f>'Cover crop worksheet'!L33</f>
        <v/>
      </c>
      <c r="K21" s="301" t="str">
        <f>'Cover crop worksheet'!M33</f>
        <v/>
      </c>
      <c r="L21" s="302" t="str">
        <f>'Cover crop worksheet'!O33</f>
        <v/>
      </c>
    </row>
    <row r="22" spans="2:12" ht="20.100000000000001" customHeight="1" x14ac:dyDescent="0.2">
      <c r="B22" s="1004">
        <f>'Cover crop worksheet'!$B34</f>
        <v>0</v>
      </c>
      <c r="C22" s="1005"/>
      <c r="D22" s="1008">
        <f>'Cover crop worksheet'!F34</f>
        <v>0</v>
      </c>
      <c r="E22" s="1005"/>
      <c r="F22" s="1005"/>
      <c r="G22" s="1009">
        <f>'Cover crop worksheet'!I34</f>
        <v>0</v>
      </c>
      <c r="H22" s="1009"/>
      <c r="I22" s="301" t="str">
        <f>'Cover crop worksheet'!K34</f>
        <v/>
      </c>
      <c r="J22" s="301" t="str">
        <f>'Cover crop worksheet'!L34</f>
        <v/>
      </c>
      <c r="K22" s="301" t="str">
        <f>'Cover crop worksheet'!M34</f>
        <v/>
      </c>
      <c r="L22" s="302" t="str">
        <f>'Cover crop worksheet'!O34</f>
        <v/>
      </c>
    </row>
    <row r="23" spans="2:12" ht="20.100000000000001" customHeight="1" x14ac:dyDescent="0.2">
      <c r="B23" s="1004">
        <f>'Cover crop worksheet'!$B35</f>
        <v>0</v>
      </c>
      <c r="C23" s="1005"/>
      <c r="D23" s="1008">
        <f>'Cover crop worksheet'!F35</f>
        <v>0</v>
      </c>
      <c r="E23" s="1005"/>
      <c r="F23" s="1005"/>
      <c r="G23" s="1009">
        <f>'Cover crop worksheet'!I35</f>
        <v>0</v>
      </c>
      <c r="H23" s="1009"/>
      <c r="I23" s="301" t="str">
        <f>'Cover crop worksheet'!K35</f>
        <v/>
      </c>
      <c r="J23" s="301" t="str">
        <f>'Cover crop worksheet'!L35</f>
        <v/>
      </c>
      <c r="K23" s="301" t="str">
        <f>'Cover crop worksheet'!M35</f>
        <v/>
      </c>
      <c r="L23" s="302" t="str">
        <f>'Cover crop worksheet'!O35</f>
        <v/>
      </c>
    </row>
    <row r="24" spans="2:12" ht="20.100000000000001" customHeight="1" x14ac:dyDescent="0.2">
      <c r="B24" s="1004">
        <f>'Cover crop worksheet'!$B36</f>
        <v>0</v>
      </c>
      <c r="C24" s="1005"/>
      <c r="D24" s="1008">
        <f>'Cover crop worksheet'!F36</f>
        <v>0</v>
      </c>
      <c r="E24" s="1005"/>
      <c r="F24" s="1005"/>
      <c r="G24" s="1009">
        <f>'Cover crop worksheet'!I36</f>
        <v>0</v>
      </c>
      <c r="H24" s="1009"/>
      <c r="I24" s="301" t="str">
        <f>'Cover crop worksheet'!K36</f>
        <v/>
      </c>
      <c r="J24" s="301" t="str">
        <f>'Cover crop worksheet'!L36</f>
        <v/>
      </c>
      <c r="K24" s="301" t="str">
        <f>'Cover crop worksheet'!M36</f>
        <v/>
      </c>
      <c r="L24" s="302" t="str">
        <f>'Cover crop worksheet'!O36</f>
        <v/>
      </c>
    </row>
    <row r="25" spans="2:12" ht="20.100000000000001" customHeight="1" x14ac:dyDescent="0.2">
      <c r="B25" s="1004">
        <f>'Cover crop worksheet'!$B37</f>
        <v>0</v>
      </c>
      <c r="C25" s="1005"/>
      <c r="D25" s="1008">
        <f>'Cover crop worksheet'!F37</f>
        <v>0</v>
      </c>
      <c r="E25" s="1005"/>
      <c r="F25" s="1005"/>
      <c r="G25" s="1009">
        <f>'Cover crop worksheet'!I37</f>
        <v>0</v>
      </c>
      <c r="H25" s="1009"/>
      <c r="I25" s="301" t="str">
        <f>'Cover crop worksheet'!K37</f>
        <v/>
      </c>
      <c r="J25" s="301" t="str">
        <f>'Cover crop worksheet'!L37</f>
        <v/>
      </c>
      <c r="K25" s="301" t="str">
        <f>'Cover crop worksheet'!M37</f>
        <v/>
      </c>
      <c r="L25" s="302" t="str">
        <f>'Cover crop worksheet'!O37</f>
        <v/>
      </c>
    </row>
    <row r="26" spans="2:12" ht="20.100000000000001" customHeight="1" x14ac:dyDescent="0.2">
      <c r="B26" s="1004">
        <f>'Cover crop worksheet'!$B38</f>
        <v>0</v>
      </c>
      <c r="C26" s="1005"/>
      <c r="D26" s="1008">
        <f>'Cover crop worksheet'!F38</f>
        <v>0</v>
      </c>
      <c r="E26" s="1005"/>
      <c r="F26" s="1005"/>
      <c r="G26" s="1009">
        <f>'Cover crop worksheet'!I38</f>
        <v>0</v>
      </c>
      <c r="H26" s="1009"/>
      <c r="I26" s="301" t="str">
        <f>'Cover crop worksheet'!K38</f>
        <v/>
      </c>
      <c r="J26" s="301" t="str">
        <f>'Cover crop worksheet'!L38</f>
        <v/>
      </c>
      <c r="K26" s="301" t="str">
        <f>'Cover crop worksheet'!M38</f>
        <v/>
      </c>
      <c r="L26" s="302" t="str">
        <f>'Cover crop worksheet'!O38</f>
        <v/>
      </c>
    </row>
    <row r="27" spans="2:12" ht="20.100000000000001" customHeight="1" x14ac:dyDescent="0.2">
      <c r="B27" s="1004">
        <f>'Cover crop worksheet'!$B39</f>
        <v>0</v>
      </c>
      <c r="C27" s="1005"/>
      <c r="D27" s="1008">
        <f>'Cover crop worksheet'!F39</f>
        <v>0</v>
      </c>
      <c r="E27" s="1005"/>
      <c r="F27" s="1005"/>
      <c r="G27" s="1009">
        <f>'Cover crop worksheet'!I39</f>
        <v>0</v>
      </c>
      <c r="H27" s="1009"/>
      <c r="I27" s="301" t="str">
        <f>'Cover crop worksheet'!K39</f>
        <v/>
      </c>
      <c r="J27" s="301" t="str">
        <f>'Cover crop worksheet'!L39</f>
        <v/>
      </c>
      <c r="K27" s="301" t="str">
        <f>'Cover crop worksheet'!M39</f>
        <v/>
      </c>
      <c r="L27" s="302" t="str">
        <f>'Cover crop worksheet'!O39</f>
        <v/>
      </c>
    </row>
    <row r="28" spans="2:12" ht="20.100000000000001" customHeight="1" x14ac:dyDescent="0.2">
      <c r="B28" s="1004">
        <f>'Cover crop worksheet'!$B40</f>
        <v>0</v>
      </c>
      <c r="C28" s="1005"/>
      <c r="D28" s="1008">
        <f>'Cover crop worksheet'!F40</f>
        <v>0</v>
      </c>
      <c r="E28" s="1005"/>
      <c r="F28" s="1005"/>
      <c r="G28" s="1009">
        <f>'Cover crop worksheet'!I40</f>
        <v>0</v>
      </c>
      <c r="H28" s="1009"/>
      <c r="I28" s="301" t="str">
        <f>'Cover crop worksheet'!K40</f>
        <v/>
      </c>
      <c r="J28" s="301" t="str">
        <f>'Cover crop worksheet'!L40</f>
        <v/>
      </c>
      <c r="K28" s="301" t="str">
        <f>'Cover crop worksheet'!M40</f>
        <v/>
      </c>
      <c r="L28" s="302" t="str">
        <f>'Cover crop worksheet'!O40</f>
        <v/>
      </c>
    </row>
    <row r="29" spans="2:12" ht="20.100000000000001" customHeight="1" x14ac:dyDescent="0.2">
      <c r="B29" s="1004">
        <f>'Cover crop worksheet'!$B41</f>
        <v>0</v>
      </c>
      <c r="C29" s="1005"/>
      <c r="D29" s="1008">
        <f>'Cover crop worksheet'!F41</f>
        <v>0</v>
      </c>
      <c r="E29" s="1005"/>
      <c r="F29" s="1005"/>
      <c r="G29" s="1009">
        <f>'Cover crop worksheet'!I41</f>
        <v>0</v>
      </c>
      <c r="H29" s="1009"/>
      <c r="I29" s="301" t="str">
        <f>'Cover crop worksheet'!K41</f>
        <v/>
      </c>
      <c r="J29" s="301" t="str">
        <f>'Cover crop worksheet'!L41</f>
        <v/>
      </c>
      <c r="K29" s="301" t="str">
        <f>'Cover crop worksheet'!M41</f>
        <v/>
      </c>
      <c r="L29" s="302" t="str">
        <f>'Cover crop worksheet'!O41</f>
        <v/>
      </c>
    </row>
    <row r="30" spans="2:12" ht="20.100000000000001" customHeight="1" x14ac:dyDescent="0.2">
      <c r="B30" s="1004">
        <f>'Cover crop worksheet'!$B42</f>
        <v>0</v>
      </c>
      <c r="C30" s="1005"/>
      <c r="D30" s="1008">
        <f>'Cover crop worksheet'!F42</f>
        <v>0</v>
      </c>
      <c r="E30" s="1005"/>
      <c r="F30" s="1005"/>
      <c r="G30" s="1009">
        <f>'Cover crop worksheet'!I42</f>
        <v>0</v>
      </c>
      <c r="H30" s="1009"/>
      <c r="I30" s="301" t="str">
        <f>'Cover crop worksheet'!K42</f>
        <v/>
      </c>
      <c r="J30" s="301" t="str">
        <f>'Cover crop worksheet'!L42</f>
        <v/>
      </c>
      <c r="K30" s="301" t="str">
        <f>'Cover crop worksheet'!M42</f>
        <v/>
      </c>
      <c r="L30" s="302" t="str">
        <f>'Cover crop worksheet'!O42</f>
        <v/>
      </c>
    </row>
    <row r="31" spans="2:12" ht="20.100000000000001" customHeight="1" x14ac:dyDescent="0.2">
      <c r="B31" s="1004">
        <f>'Cover crop worksheet'!$B43</f>
        <v>0</v>
      </c>
      <c r="C31" s="1005"/>
      <c r="D31" s="1008">
        <f>'Cover crop worksheet'!F43</f>
        <v>0</v>
      </c>
      <c r="E31" s="1005"/>
      <c r="F31" s="1005"/>
      <c r="G31" s="1009">
        <f>'Cover crop worksheet'!I43</f>
        <v>0</v>
      </c>
      <c r="H31" s="1009"/>
      <c r="I31" s="301" t="str">
        <f>'Cover crop worksheet'!K43</f>
        <v/>
      </c>
      <c r="J31" s="301" t="str">
        <f>'Cover crop worksheet'!L43</f>
        <v/>
      </c>
      <c r="K31" s="301" t="str">
        <f>'Cover crop worksheet'!M43</f>
        <v/>
      </c>
      <c r="L31" s="302" t="str">
        <f>'Cover crop worksheet'!O43</f>
        <v/>
      </c>
    </row>
    <row r="32" spans="2:12" ht="20.100000000000001" customHeight="1" x14ac:dyDescent="0.2">
      <c r="B32" s="1004">
        <f>'Cover crop worksheet'!$B44</f>
        <v>0</v>
      </c>
      <c r="C32" s="1005"/>
      <c r="D32" s="1008">
        <f>'Cover crop worksheet'!F44</f>
        <v>0</v>
      </c>
      <c r="E32" s="1005"/>
      <c r="F32" s="1005"/>
      <c r="G32" s="1009">
        <f>'Cover crop worksheet'!I44</f>
        <v>0</v>
      </c>
      <c r="H32" s="1009"/>
      <c r="I32" s="301" t="str">
        <f>'Cover crop worksheet'!K44</f>
        <v/>
      </c>
      <c r="J32" s="301" t="str">
        <f>'Cover crop worksheet'!L44</f>
        <v/>
      </c>
      <c r="K32" s="301" t="str">
        <f>'Cover crop worksheet'!M44</f>
        <v/>
      </c>
      <c r="L32" s="302" t="str">
        <f>'Cover crop worksheet'!O44</f>
        <v/>
      </c>
    </row>
    <row r="33" spans="2:13" ht="20.100000000000001" customHeight="1" x14ac:dyDescent="0.2">
      <c r="B33" s="1004">
        <f>'Cover crop worksheet'!$B45</f>
        <v>0</v>
      </c>
      <c r="C33" s="1005"/>
      <c r="D33" s="1008">
        <f>'Cover crop worksheet'!F45</f>
        <v>0</v>
      </c>
      <c r="E33" s="1005"/>
      <c r="F33" s="1005"/>
      <c r="G33" s="1009">
        <f>'Cover crop worksheet'!I45</f>
        <v>0</v>
      </c>
      <c r="H33" s="1009"/>
      <c r="I33" s="301" t="str">
        <f>'Cover crop worksheet'!K45</f>
        <v/>
      </c>
      <c r="J33" s="301" t="str">
        <f>'Cover crop worksheet'!L45</f>
        <v/>
      </c>
      <c r="K33" s="301" t="str">
        <f>'Cover crop worksheet'!M45</f>
        <v/>
      </c>
      <c r="L33" s="302" t="str">
        <f>'Cover crop worksheet'!O45</f>
        <v/>
      </c>
    </row>
    <row r="34" spans="2:13" ht="20.100000000000001" customHeight="1" x14ac:dyDescent="0.2">
      <c r="B34" s="1004">
        <f>'Cover crop worksheet'!$B46</f>
        <v>0</v>
      </c>
      <c r="C34" s="1005"/>
      <c r="D34" s="1008">
        <f>'Cover crop worksheet'!F46</f>
        <v>0</v>
      </c>
      <c r="E34" s="1005"/>
      <c r="F34" s="1005"/>
      <c r="G34" s="1009">
        <f>'Cover crop worksheet'!I46</f>
        <v>0</v>
      </c>
      <c r="H34" s="1009"/>
      <c r="I34" s="301" t="str">
        <f>'Cover crop worksheet'!K46</f>
        <v/>
      </c>
      <c r="J34" s="301" t="str">
        <f>'Cover crop worksheet'!L46</f>
        <v/>
      </c>
      <c r="K34" s="301" t="str">
        <f>'Cover crop worksheet'!M46</f>
        <v/>
      </c>
      <c r="L34" s="302" t="str">
        <f>'Cover crop worksheet'!O46</f>
        <v/>
      </c>
    </row>
    <row r="35" spans="2:13" ht="20.100000000000001" customHeight="1" x14ac:dyDescent="0.2">
      <c r="B35" s="1004">
        <f>'Cover crop worksheet'!$B47</f>
        <v>0</v>
      </c>
      <c r="C35" s="1005"/>
      <c r="D35" s="1008">
        <f>'Cover crop worksheet'!F47</f>
        <v>0</v>
      </c>
      <c r="E35" s="1005"/>
      <c r="F35" s="1005"/>
      <c r="G35" s="1009">
        <f>'Cover crop worksheet'!I47</f>
        <v>0</v>
      </c>
      <c r="H35" s="1009"/>
      <c r="I35" s="301" t="str">
        <f>'Cover crop worksheet'!K47</f>
        <v/>
      </c>
      <c r="J35" s="301" t="str">
        <f>'Cover crop worksheet'!L47</f>
        <v/>
      </c>
      <c r="K35" s="301" t="str">
        <f>'Cover crop worksheet'!M47</f>
        <v/>
      </c>
      <c r="L35" s="302" t="str">
        <f>'Cover crop worksheet'!O47</f>
        <v/>
      </c>
    </row>
    <row r="36" spans="2:13" ht="12.6" customHeight="1" x14ac:dyDescent="0.2">
      <c r="B36" s="1008"/>
      <c r="C36" s="1005"/>
      <c r="D36" s="1005"/>
      <c r="E36" s="1005"/>
      <c r="F36" s="1005"/>
      <c r="G36" s="1020"/>
      <c r="H36" s="1020"/>
      <c r="I36" s="303"/>
      <c r="J36" s="303"/>
      <c r="K36" s="303"/>
      <c r="L36" s="303"/>
    </row>
    <row r="37" spans="2:13" x14ac:dyDescent="0.2">
      <c r="B37" s="304"/>
      <c r="C37" s="305"/>
      <c r="D37" s="306"/>
      <c r="E37" s="305"/>
      <c r="F37" s="307"/>
      <c r="G37" s="1018"/>
      <c r="H37" s="1019"/>
      <c r="I37" s="308"/>
      <c r="J37" s="308"/>
      <c r="K37" s="308"/>
      <c r="L37" s="308"/>
    </row>
    <row r="38" spans="2:13" ht="15" x14ac:dyDescent="0.2">
      <c r="B38" s="309" t="s">
        <v>180</v>
      </c>
      <c r="C38" s="310"/>
      <c r="D38" s="311"/>
      <c r="E38" s="310"/>
      <c r="F38" s="312">
        <f>SUM(F22:F36)</f>
        <v>0</v>
      </c>
      <c r="G38" s="1016">
        <f>SUM(G21:H36)</f>
        <v>0</v>
      </c>
      <c r="H38" s="1017"/>
      <c r="I38" s="313">
        <f t="shared" ref="I38" si="0">SUM(I21:I36)</f>
        <v>0</v>
      </c>
      <c r="J38" s="314">
        <f>'Cover crop worksheet'!G17</f>
        <v>0</v>
      </c>
      <c r="K38" s="315">
        <f>SUM(K21:K36)</f>
        <v>0</v>
      </c>
      <c r="L38" s="316">
        <f>SUM(L21:L36)</f>
        <v>0</v>
      </c>
    </row>
    <row r="39" spans="2:13" x14ac:dyDescent="0.2">
      <c r="B39" s="317"/>
      <c r="C39" s="67"/>
      <c r="D39" s="77"/>
      <c r="E39" s="67"/>
      <c r="F39" s="74"/>
      <c r="G39" s="67"/>
      <c r="H39" s="68"/>
      <c r="I39" s="67"/>
      <c r="J39" s="68"/>
      <c r="K39" s="68"/>
      <c r="L39" s="69"/>
      <c r="M39" s="69"/>
    </row>
    <row r="40" spans="2:13" x14ac:dyDescent="0.2">
      <c r="B40" s="67"/>
      <c r="C40" s="67"/>
      <c r="D40" s="77"/>
      <c r="E40" s="67"/>
      <c r="F40" s="74"/>
      <c r="G40" s="67"/>
      <c r="H40" s="68"/>
      <c r="I40" s="67"/>
      <c r="J40" s="68"/>
      <c r="K40" s="68"/>
      <c r="L40" s="69"/>
      <c r="M40" s="69"/>
    </row>
    <row r="41" spans="2:13" x14ac:dyDescent="0.2">
      <c r="C41" s="67"/>
      <c r="D41" s="77"/>
      <c r="E41" s="67"/>
      <c r="F41" s="74"/>
      <c r="G41" s="67"/>
      <c r="H41" s="68"/>
      <c r="I41" s="67"/>
      <c r="J41" s="68"/>
      <c r="K41" s="68"/>
      <c r="L41" s="69"/>
      <c r="M41" s="69"/>
    </row>
    <row r="42" spans="2:13" x14ac:dyDescent="0.2">
      <c r="B42" s="67"/>
      <c r="C42" s="67"/>
      <c r="D42" s="77"/>
      <c r="E42" s="67"/>
      <c r="F42" s="74"/>
      <c r="G42" s="67"/>
      <c r="H42" s="68"/>
      <c r="I42" s="67"/>
      <c r="J42" s="68"/>
      <c r="K42" s="68"/>
      <c r="L42" s="69"/>
      <c r="M42" s="69"/>
    </row>
    <row r="43" spans="2:13" ht="14.1" customHeight="1" x14ac:dyDescent="0.2">
      <c r="B43" s="67"/>
      <c r="C43" s="67"/>
      <c r="D43" s="77"/>
      <c r="E43" s="67"/>
      <c r="F43" s="74"/>
      <c r="G43" s="67"/>
      <c r="H43" s="68"/>
      <c r="I43" s="67"/>
      <c r="J43" s="68"/>
      <c r="K43" s="68"/>
      <c r="L43" s="69"/>
      <c r="M43" s="69"/>
    </row>
    <row r="44" spans="2:13" ht="120" customHeight="1" x14ac:dyDescent="0.25">
      <c r="B44" s="985" t="s">
        <v>289</v>
      </c>
      <c r="C44" s="986"/>
      <c r="D44" s="986"/>
      <c r="E44" s="986"/>
      <c r="F44" s="986"/>
      <c r="G44" s="986"/>
      <c r="H44" s="986"/>
      <c r="I44" s="986"/>
      <c r="J44" s="986"/>
      <c r="K44" s="986"/>
      <c r="L44" s="987"/>
      <c r="M44" s="80"/>
    </row>
    <row r="45" spans="2:13" ht="15" x14ac:dyDescent="0.2">
      <c r="B45" s="82"/>
      <c r="C45" s="77"/>
      <c r="D45" s="77"/>
      <c r="E45" s="77"/>
      <c r="F45" s="74"/>
      <c r="G45" s="77"/>
      <c r="H45" s="68"/>
      <c r="I45" s="77"/>
      <c r="J45" s="68"/>
      <c r="K45" s="68"/>
      <c r="L45" s="68"/>
      <c r="M45" s="68"/>
    </row>
    <row r="46" spans="2:13" x14ac:dyDescent="0.2">
      <c r="B46" s="79"/>
      <c r="C46" s="79"/>
      <c r="D46" s="79"/>
      <c r="E46" s="79"/>
      <c r="F46" s="79"/>
      <c r="G46" s="79"/>
      <c r="H46" s="79"/>
      <c r="I46" s="79"/>
      <c r="J46" s="79"/>
      <c r="K46" s="79"/>
      <c r="L46" s="79"/>
      <c r="M46" s="79"/>
    </row>
    <row r="47" spans="2:13" x14ac:dyDescent="0.2">
      <c r="B47" s="78"/>
      <c r="C47" s="77"/>
      <c r="D47" s="77"/>
      <c r="E47" s="77"/>
      <c r="F47" s="77"/>
      <c r="G47" s="77"/>
      <c r="H47" s="77"/>
      <c r="I47" s="77"/>
      <c r="J47" s="77"/>
      <c r="K47" s="77"/>
      <c r="L47" s="77"/>
      <c r="M47" s="77"/>
    </row>
    <row r="48" spans="2:13" x14ac:dyDescent="0.2">
      <c r="B48" s="78"/>
      <c r="C48" s="77"/>
      <c r="D48" s="77"/>
      <c r="E48" s="77"/>
      <c r="F48" s="77"/>
      <c r="G48" s="77"/>
      <c r="H48" s="77"/>
      <c r="I48" s="77"/>
      <c r="J48" s="77"/>
      <c r="K48" s="77"/>
      <c r="L48" s="77"/>
      <c r="M48" s="77"/>
    </row>
    <row r="49" spans="2:13" x14ac:dyDescent="0.2">
      <c r="B49" s="78"/>
      <c r="C49" s="81"/>
      <c r="D49" s="81"/>
      <c r="E49" s="81"/>
      <c r="F49" s="81"/>
      <c r="G49" s="81"/>
      <c r="H49" s="81"/>
      <c r="I49" s="81"/>
      <c r="J49" s="81"/>
      <c r="K49" s="81"/>
      <c r="L49" s="81"/>
      <c r="M49" s="81"/>
    </row>
  </sheetData>
  <sheetProtection algorithmName="SHA-512" hashValue="gF3Kl0H9dNyH+a/k4c096JRDDuTrJYOcmYUMBTtnda++i18o1vy46xkrDE7xPKUB8T+db4WlkVsXH2Lsy6Mlsg==" saltValue="Toue/O91phhnfVR1+Eg1tw==" spinCount="100000" sheet="1" scenarios="1" formatCells="0" formatColumns="0" formatRows="0" sort="0" autoFilter="0"/>
  <mergeCells count="77">
    <mergeCell ref="C6:G6"/>
    <mergeCell ref="C10:G10"/>
    <mergeCell ref="B4:L5"/>
    <mergeCell ref="C2:F2"/>
    <mergeCell ref="G2:K2"/>
    <mergeCell ref="C8:E8"/>
    <mergeCell ref="J10:L10"/>
    <mergeCell ref="J8:L8"/>
    <mergeCell ref="H8:I8"/>
    <mergeCell ref="H10:I10"/>
    <mergeCell ref="G38:H38"/>
    <mergeCell ref="G37:H37"/>
    <mergeCell ref="D22:F22"/>
    <mergeCell ref="D23:F23"/>
    <mergeCell ref="D24:F24"/>
    <mergeCell ref="D36:F36"/>
    <mergeCell ref="G36:H36"/>
    <mergeCell ref="D31:F31"/>
    <mergeCell ref="D32:F32"/>
    <mergeCell ref="D33:F33"/>
    <mergeCell ref="D34:F34"/>
    <mergeCell ref="D35:F35"/>
    <mergeCell ref="G31:H31"/>
    <mergeCell ref="D25:F25"/>
    <mergeCell ref="D26:F26"/>
    <mergeCell ref="D27:F27"/>
    <mergeCell ref="B31:C31"/>
    <mergeCell ref="B32:C32"/>
    <mergeCell ref="G22:H22"/>
    <mergeCell ref="G23:H23"/>
    <mergeCell ref="G24:H24"/>
    <mergeCell ref="G25:H25"/>
    <mergeCell ref="G26:H26"/>
    <mergeCell ref="D28:F28"/>
    <mergeCell ref="D29:F29"/>
    <mergeCell ref="D30:F30"/>
    <mergeCell ref="G27:H27"/>
    <mergeCell ref="G28:H28"/>
    <mergeCell ref="G29:H29"/>
    <mergeCell ref="G30:H30"/>
    <mergeCell ref="B26:C26"/>
    <mergeCell ref="B27:C27"/>
    <mergeCell ref="B28:C28"/>
    <mergeCell ref="B29:C29"/>
    <mergeCell ref="B30:C30"/>
    <mergeCell ref="G21:H21"/>
    <mergeCell ref="D17:F19"/>
    <mergeCell ref="D21:F21"/>
    <mergeCell ref="B17:C18"/>
    <mergeCell ref="B22:C22"/>
    <mergeCell ref="B23:C23"/>
    <mergeCell ref="B24:C24"/>
    <mergeCell ref="B25:C25"/>
    <mergeCell ref="B36:C36"/>
    <mergeCell ref="G32:H32"/>
    <mergeCell ref="G33:H33"/>
    <mergeCell ref="G34:H34"/>
    <mergeCell ref="G35:H35"/>
    <mergeCell ref="B33:C33"/>
    <mergeCell ref="B34:C34"/>
    <mergeCell ref="B35:C35"/>
    <mergeCell ref="B44:L44"/>
    <mergeCell ref="B1:L1"/>
    <mergeCell ref="B11:L11"/>
    <mergeCell ref="B3:L3"/>
    <mergeCell ref="H6:I6"/>
    <mergeCell ref="J6:L6"/>
    <mergeCell ref="D9:G9"/>
    <mergeCell ref="B12:L12"/>
    <mergeCell ref="B15:D15"/>
    <mergeCell ref="H15:J15"/>
    <mergeCell ref="J17:J19"/>
    <mergeCell ref="K17:K19"/>
    <mergeCell ref="L17:L19"/>
    <mergeCell ref="B21:C21"/>
    <mergeCell ref="G17:H19"/>
    <mergeCell ref="I17:I19"/>
  </mergeCells>
  <pageMargins left="0.7" right="0.7" top="0.75" bottom="0.75" header="0.3" footer="0.3"/>
  <pageSetup scale="64" orientation="portrait" r:id="rId1"/>
  <headerFooter>
    <oddHeader>&amp;LUNITED STATES DEPARTMENT OF AGRICULTURE
NATURAL RESOURCES CONSERVATION SERVICE&amp;RVendor 
Information 
Sheet</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DB506-FFBA-41FE-90CF-DE43A6A77BEA}">
  <sheetPr codeName="Sheet9">
    <pageSetUpPr fitToPage="1"/>
  </sheetPr>
  <dimension ref="A1:BB75"/>
  <sheetViews>
    <sheetView zoomScaleNormal="100" zoomScaleSheetLayoutView="100" workbookViewId="0">
      <pane xSplit="4" ySplit="3" topLeftCell="E22" activePane="bottomRight" state="frozen"/>
      <selection activeCell="C1" sqref="C1:J1"/>
      <selection pane="topRight" activeCell="C1" sqref="C1:J1"/>
      <selection pane="bottomLeft" activeCell="C1" sqref="C1:J1"/>
      <selection pane="bottomRight" activeCell="A50" sqref="A50"/>
    </sheetView>
  </sheetViews>
  <sheetFormatPr defaultColWidth="8.7109375" defaultRowHeight="12" x14ac:dyDescent="0.2"/>
  <cols>
    <col min="1" max="1" width="28.42578125" style="49" customWidth="1"/>
    <col min="2" max="2" width="12.140625" style="48" customWidth="1"/>
    <col min="3" max="3" width="8.42578125" style="48" customWidth="1"/>
    <col min="4" max="4" width="9.5703125" style="48" customWidth="1"/>
    <col min="5" max="5" width="7.7109375" style="48" customWidth="1"/>
    <col min="6" max="6" width="11" style="49" customWidth="1"/>
    <col min="7" max="7" width="8.140625" style="48" customWidth="1"/>
    <col min="8" max="8" width="10.85546875" style="48" customWidth="1"/>
    <col min="9" max="9" width="9.42578125" style="48" customWidth="1"/>
    <col min="10" max="10" width="10.7109375" style="49" customWidth="1"/>
    <col min="11" max="11" width="10.5703125" style="48" customWidth="1"/>
    <col min="12" max="12" width="12.140625" style="48" customWidth="1"/>
    <col min="13" max="13" width="13.42578125" style="49" customWidth="1"/>
    <col min="14" max="14" width="11.28515625" style="49" customWidth="1"/>
    <col min="15" max="15" width="7.28515625" style="59" customWidth="1"/>
    <col min="16" max="16" width="9.42578125" style="49" customWidth="1"/>
    <col min="17" max="17" width="7.140625" style="48" customWidth="1"/>
    <col min="18" max="18" width="7.5703125" style="49" customWidth="1"/>
    <col min="19" max="19" width="7" style="49" customWidth="1"/>
    <col min="20" max="20" width="10.28515625" style="48" customWidth="1"/>
    <col min="21" max="21" width="8.28515625" style="49" customWidth="1"/>
    <col min="22" max="22" width="7.85546875" style="45" customWidth="1"/>
    <col min="23" max="28" width="6.7109375" style="49" customWidth="1"/>
    <col min="29" max="29" width="7.7109375" style="49" customWidth="1"/>
    <col min="30" max="30" width="9.5703125" style="49" customWidth="1"/>
    <col min="31" max="31" width="8.42578125" style="49" customWidth="1"/>
    <col min="32" max="32" width="32" style="49" customWidth="1"/>
    <col min="33" max="33" width="7.5703125" style="49" customWidth="1"/>
    <col min="34" max="16384" width="8.7109375" style="49"/>
  </cols>
  <sheetData>
    <row r="1" spans="1:54" ht="14.65" customHeight="1" x14ac:dyDescent="0.25">
      <c r="A1" s="90"/>
      <c r="B1" s="1039" t="s">
        <v>28</v>
      </c>
      <c r="C1" s="796"/>
      <c r="D1" s="796"/>
      <c r="E1" s="796"/>
      <c r="F1" s="796"/>
      <c r="G1" s="796"/>
      <c r="H1" s="796"/>
      <c r="I1" s="94"/>
      <c r="J1" s="94"/>
      <c r="K1" s="94"/>
      <c r="L1" s="94"/>
      <c r="M1" s="94"/>
      <c r="N1" s="94"/>
      <c r="O1" s="94"/>
      <c r="P1" s="94"/>
      <c r="Q1" s="94"/>
      <c r="R1" s="94"/>
      <c r="S1" s="94"/>
      <c r="T1" s="94"/>
      <c r="U1" s="94"/>
      <c r="V1" s="95"/>
      <c r="W1" s="1032" t="s">
        <v>287</v>
      </c>
      <c r="X1" s="1033"/>
      <c r="Y1" s="1033"/>
      <c r="Z1" s="1033"/>
      <c r="AA1" s="1033"/>
      <c r="AB1" s="1033"/>
      <c r="AC1" s="1034"/>
      <c r="AD1" s="1035" t="s">
        <v>29</v>
      </c>
      <c r="AE1" s="1035"/>
      <c r="AF1" s="376"/>
      <c r="BB1" s="49" t="s">
        <v>797</v>
      </c>
    </row>
    <row r="2" spans="1:54" ht="13.35" customHeight="1" x14ac:dyDescent="0.2">
      <c r="A2" s="91"/>
      <c r="B2" s="92"/>
      <c r="C2" s="92"/>
      <c r="D2" s="100"/>
      <c r="E2" s="92"/>
      <c r="F2" s="92"/>
      <c r="G2" s="92"/>
      <c r="H2" s="92"/>
      <c r="I2" s="92"/>
      <c r="J2" s="92"/>
      <c r="K2" s="92"/>
      <c r="L2" s="92"/>
      <c r="M2" s="92"/>
      <c r="N2" s="92"/>
      <c r="O2" s="92"/>
      <c r="P2" s="92"/>
      <c r="Q2" s="92"/>
      <c r="R2" s="92"/>
      <c r="S2" s="92"/>
      <c r="T2" s="92"/>
      <c r="U2" s="92"/>
      <c r="V2" s="93"/>
      <c r="W2" s="1029" t="s">
        <v>286</v>
      </c>
      <c r="X2" s="1029"/>
      <c r="Y2" s="1029"/>
      <c r="Z2" s="1029"/>
      <c r="AA2" s="1029" t="s">
        <v>30</v>
      </c>
      <c r="AB2" s="1029"/>
      <c r="AC2" s="1036"/>
      <c r="AD2" s="1035"/>
      <c r="AE2" s="1035"/>
      <c r="AF2" s="376"/>
      <c r="BB2" s="49" t="s">
        <v>437</v>
      </c>
    </row>
    <row r="3" spans="1:54" s="52" customFormat="1" ht="55.5" customHeight="1" x14ac:dyDescent="0.2">
      <c r="A3" s="63" t="s">
        <v>31</v>
      </c>
      <c r="B3" s="705" t="s">
        <v>871</v>
      </c>
      <c r="C3" s="706" t="s">
        <v>37</v>
      </c>
      <c r="D3" s="707" t="s">
        <v>436</v>
      </c>
      <c r="E3" s="708" t="s">
        <v>32</v>
      </c>
      <c r="F3" s="709" t="s">
        <v>33</v>
      </c>
      <c r="G3" s="708" t="s">
        <v>34</v>
      </c>
      <c r="H3" s="709" t="s">
        <v>457</v>
      </c>
      <c r="I3" s="708" t="s">
        <v>35</v>
      </c>
      <c r="J3" s="709" t="s">
        <v>866</v>
      </c>
      <c r="K3" s="708" t="s">
        <v>867</v>
      </c>
      <c r="L3" s="709" t="s">
        <v>868</v>
      </c>
      <c r="M3" s="708" t="s">
        <v>458</v>
      </c>
      <c r="N3" s="709" t="s">
        <v>799</v>
      </c>
      <c r="O3" s="708" t="s">
        <v>36</v>
      </c>
      <c r="P3" s="710" t="s">
        <v>869</v>
      </c>
      <c r="Q3" s="711" t="s">
        <v>870</v>
      </c>
      <c r="R3" s="708" t="s">
        <v>459</v>
      </c>
      <c r="S3" s="709" t="s">
        <v>38</v>
      </c>
      <c r="T3" s="708" t="s">
        <v>460</v>
      </c>
      <c r="U3" s="712" t="s">
        <v>39</v>
      </c>
      <c r="V3" s="708" t="s">
        <v>461</v>
      </c>
      <c r="W3" s="713" t="s">
        <v>40</v>
      </c>
      <c r="X3" s="714" t="s">
        <v>41</v>
      </c>
      <c r="Y3" s="713" t="s">
        <v>42</v>
      </c>
      <c r="Z3" s="714" t="s">
        <v>43</v>
      </c>
      <c r="AA3" s="713" t="s">
        <v>42</v>
      </c>
      <c r="AB3" s="714" t="s">
        <v>43</v>
      </c>
      <c r="AC3" s="715" t="s">
        <v>44</v>
      </c>
      <c r="AD3" s="711" t="s">
        <v>45</v>
      </c>
      <c r="AE3" s="715" t="s">
        <v>46</v>
      </c>
      <c r="AF3" s="716"/>
    </row>
    <row r="4" spans="1:54" ht="12" customHeight="1" x14ac:dyDescent="0.2">
      <c r="A4" s="44" t="s">
        <v>47</v>
      </c>
      <c r="B4" s="46">
        <v>6.5</v>
      </c>
      <c r="C4" s="58" t="s">
        <v>54</v>
      </c>
      <c r="D4" s="374">
        <v>2.7750000000000004</v>
      </c>
      <c r="E4" s="46" t="s">
        <v>48</v>
      </c>
      <c r="F4" s="46" t="s">
        <v>48</v>
      </c>
      <c r="G4" s="46" t="s">
        <v>48</v>
      </c>
      <c r="H4" s="46" t="s">
        <v>49</v>
      </c>
      <c r="I4" s="46" t="s">
        <v>48</v>
      </c>
      <c r="J4" s="46" t="s">
        <v>48</v>
      </c>
      <c r="K4" s="46" t="s">
        <v>50</v>
      </c>
      <c r="L4" s="46" t="s">
        <v>51</v>
      </c>
      <c r="M4" s="46" t="s">
        <v>48</v>
      </c>
      <c r="N4" s="46" t="s">
        <v>48</v>
      </c>
      <c r="O4" s="46" t="s">
        <v>50</v>
      </c>
      <c r="P4" s="57" t="s">
        <v>53</v>
      </c>
      <c r="Q4" s="53" t="s">
        <v>49</v>
      </c>
      <c r="R4" s="46" t="s">
        <v>52</v>
      </c>
      <c r="S4" s="46" t="s">
        <v>55</v>
      </c>
      <c r="T4" s="46" t="s">
        <v>56</v>
      </c>
      <c r="U4" s="47">
        <v>210000</v>
      </c>
      <c r="V4" s="46" t="s">
        <v>50</v>
      </c>
      <c r="W4" s="53"/>
      <c r="X4" s="53" t="s">
        <v>57</v>
      </c>
      <c r="Y4" s="53" t="s">
        <v>57</v>
      </c>
      <c r="Z4" s="53"/>
      <c r="AA4" s="53" t="s">
        <v>57</v>
      </c>
      <c r="AB4" s="53"/>
      <c r="AC4" s="53" t="s">
        <v>58</v>
      </c>
      <c r="AD4" s="53" t="s">
        <v>59</v>
      </c>
      <c r="AE4" s="53" t="s">
        <v>60</v>
      </c>
      <c r="AF4" s="264" t="s">
        <v>47</v>
      </c>
      <c r="AH4" s="52"/>
    </row>
    <row r="5" spans="1:54" ht="12" customHeight="1" x14ac:dyDescent="0.2">
      <c r="A5" s="44" t="s">
        <v>61</v>
      </c>
      <c r="B5" s="46">
        <v>50</v>
      </c>
      <c r="C5" s="58" t="s">
        <v>315</v>
      </c>
      <c r="D5" s="374">
        <v>0.3833333333333333</v>
      </c>
      <c r="E5" s="46" t="s">
        <v>48</v>
      </c>
      <c r="F5" s="46" t="s">
        <v>48</v>
      </c>
      <c r="G5" s="46" t="s">
        <v>48</v>
      </c>
      <c r="H5" s="46" t="s">
        <v>24</v>
      </c>
      <c r="I5" s="46" t="s">
        <v>48</v>
      </c>
      <c r="J5" s="46" t="s">
        <v>48</v>
      </c>
      <c r="K5" s="46" t="s">
        <v>48</v>
      </c>
      <c r="L5" s="46" t="s">
        <v>62</v>
      </c>
      <c r="M5" s="46" t="s">
        <v>48</v>
      </c>
      <c r="N5" s="46" t="s">
        <v>50</v>
      </c>
      <c r="O5" s="46" t="s">
        <v>55</v>
      </c>
      <c r="P5" s="57" t="s">
        <v>63</v>
      </c>
      <c r="Q5" s="53" t="s">
        <v>24</v>
      </c>
      <c r="R5" s="46" t="s">
        <v>48</v>
      </c>
      <c r="S5" s="46" t="s">
        <v>56</v>
      </c>
      <c r="T5" s="46" t="s">
        <v>56</v>
      </c>
      <c r="U5" s="47">
        <v>14000</v>
      </c>
      <c r="V5" s="46" t="s">
        <v>50</v>
      </c>
      <c r="W5" s="53" t="s">
        <v>57</v>
      </c>
      <c r="X5" s="53" t="s">
        <v>57</v>
      </c>
      <c r="Y5" s="53"/>
      <c r="Z5" s="53"/>
      <c r="AA5" s="53"/>
      <c r="AB5" s="53"/>
      <c r="AC5" s="53" t="s">
        <v>64</v>
      </c>
      <c r="AD5" s="53" t="s">
        <v>65</v>
      </c>
      <c r="AE5" s="53" t="s">
        <v>66</v>
      </c>
      <c r="AF5" s="55" t="s">
        <v>61</v>
      </c>
      <c r="AH5" s="52"/>
    </row>
    <row r="6" spans="1:54" ht="12" customHeight="1" x14ac:dyDescent="0.2">
      <c r="A6" s="44" t="s">
        <v>67</v>
      </c>
      <c r="B6" s="46">
        <v>7</v>
      </c>
      <c r="C6" s="58" t="s">
        <v>68</v>
      </c>
      <c r="D6" s="374">
        <v>3.5</v>
      </c>
      <c r="E6" s="46" t="s">
        <v>50</v>
      </c>
      <c r="F6" s="46" t="s">
        <v>50</v>
      </c>
      <c r="G6" s="46" t="s">
        <v>48</v>
      </c>
      <c r="H6" s="46" t="s">
        <v>24</v>
      </c>
      <c r="I6" s="46" t="s">
        <v>48</v>
      </c>
      <c r="J6" s="46" t="s">
        <v>50</v>
      </c>
      <c r="K6" s="46" t="s">
        <v>48</v>
      </c>
      <c r="L6" s="46" t="s">
        <v>62</v>
      </c>
      <c r="M6" s="46" t="s">
        <v>48</v>
      </c>
      <c r="N6" s="46" t="s">
        <v>48</v>
      </c>
      <c r="O6" s="46" t="s">
        <v>50</v>
      </c>
      <c r="P6" s="57" t="s">
        <v>53</v>
      </c>
      <c r="Q6" s="53" t="s">
        <v>24</v>
      </c>
      <c r="R6" s="46" t="s">
        <v>48</v>
      </c>
      <c r="S6" s="46" t="s">
        <v>55</v>
      </c>
      <c r="T6" s="46" t="s">
        <v>24</v>
      </c>
      <c r="U6" s="47">
        <v>180000</v>
      </c>
      <c r="V6" s="46" t="s">
        <v>52</v>
      </c>
      <c r="W6" s="53"/>
      <c r="X6" s="53" t="s">
        <v>57</v>
      </c>
      <c r="Y6" s="53"/>
      <c r="Z6" s="53"/>
      <c r="AA6" s="53" t="s">
        <v>57</v>
      </c>
      <c r="AB6" s="53" t="s">
        <v>57</v>
      </c>
      <c r="AC6" s="53">
        <v>1</v>
      </c>
      <c r="AD6" s="53" t="s">
        <v>59</v>
      </c>
      <c r="AE6" s="53" t="s">
        <v>59</v>
      </c>
      <c r="AF6" s="55" t="s">
        <v>67</v>
      </c>
      <c r="AH6" s="52"/>
    </row>
    <row r="7" spans="1:54" ht="12" customHeight="1" x14ac:dyDescent="0.2">
      <c r="A7" s="44" t="s">
        <v>69</v>
      </c>
      <c r="B7" s="46">
        <v>50</v>
      </c>
      <c r="C7" s="58" t="s">
        <v>72</v>
      </c>
      <c r="D7" s="374">
        <v>1.2666666666666666</v>
      </c>
      <c r="E7" s="46" t="s">
        <v>52</v>
      </c>
      <c r="F7" s="46" t="s">
        <v>52</v>
      </c>
      <c r="G7" s="46" t="s">
        <v>50</v>
      </c>
      <c r="H7" s="46" t="s">
        <v>24</v>
      </c>
      <c r="I7" s="46" t="s">
        <v>50</v>
      </c>
      <c r="J7" s="46" t="s">
        <v>52</v>
      </c>
      <c r="K7" s="46" t="s">
        <v>52</v>
      </c>
      <c r="L7" s="46" t="s">
        <v>70</v>
      </c>
      <c r="M7" s="46" t="s">
        <v>50</v>
      </c>
      <c r="N7" s="46" t="s">
        <v>52</v>
      </c>
      <c r="O7" s="46" t="s">
        <v>55</v>
      </c>
      <c r="P7" s="57" t="s">
        <v>71</v>
      </c>
      <c r="Q7" s="53" t="s">
        <v>24</v>
      </c>
      <c r="R7" s="46" t="s">
        <v>52</v>
      </c>
      <c r="S7" s="46" t="s">
        <v>55</v>
      </c>
      <c r="T7" s="46" t="s">
        <v>24</v>
      </c>
      <c r="U7" s="47">
        <v>19000</v>
      </c>
      <c r="V7" s="46" t="s">
        <v>48</v>
      </c>
      <c r="W7" s="53"/>
      <c r="X7" s="53" t="s">
        <v>57</v>
      </c>
      <c r="Y7" s="53"/>
      <c r="Z7" s="53"/>
      <c r="AA7" s="53" t="s">
        <v>57</v>
      </c>
      <c r="AB7" s="53"/>
      <c r="AC7" s="53"/>
      <c r="AD7" s="53" t="s">
        <v>59</v>
      </c>
      <c r="AE7" s="53" t="s">
        <v>59</v>
      </c>
      <c r="AF7" s="55" t="s">
        <v>73</v>
      </c>
      <c r="AH7" s="52"/>
    </row>
    <row r="8" spans="1:54" ht="12" customHeight="1" x14ac:dyDescent="0.2">
      <c r="A8" s="44" t="s">
        <v>74</v>
      </c>
      <c r="B8" s="46">
        <v>5</v>
      </c>
      <c r="C8" s="58" t="s">
        <v>54</v>
      </c>
      <c r="D8" s="374">
        <v>5.5</v>
      </c>
      <c r="E8" s="46" t="s">
        <v>50</v>
      </c>
      <c r="F8" s="46" t="s">
        <v>50</v>
      </c>
      <c r="G8" s="46" t="s">
        <v>48</v>
      </c>
      <c r="H8" s="46" t="s">
        <v>24</v>
      </c>
      <c r="I8" s="46" t="s">
        <v>50</v>
      </c>
      <c r="J8" s="46" t="s">
        <v>50</v>
      </c>
      <c r="K8" s="46" t="s">
        <v>50</v>
      </c>
      <c r="L8" s="46" t="s">
        <v>62</v>
      </c>
      <c r="M8" s="46" t="s">
        <v>48</v>
      </c>
      <c r="N8" s="46" t="s">
        <v>48</v>
      </c>
      <c r="O8" s="46" t="s">
        <v>50</v>
      </c>
      <c r="P8" s="57" t="s">
        <v>53</v>
      </c>
      <c r="Q8" s="53" t="s">
        <v>24</v>
      </c>
      <c r="R8" s="46" t="s">
        <v>48</v>
      </c>
      <c r="S8" s="46" t="s">
        <v>55</v>
      </c>
      <c r="T8" s="46" t="s">
        <v>24</v>
      </c>
      <c r="U8" s="47">
        <v>180000</v>
      </c>
      <c r="V8" s="46" t="s">
        <v>50</v>
      </c>
      <c r="W8" s="53"/>
      <c r="X8" s="53" t="s">
        <v>57</v>
      </c>
      <c r="Y8" s="53"/>
      <c r="Z8" s="53"/>
      <c r="AA8" s="53" t="s">
        <v>57</v>
      </c>
      <c r="AB8" s="53" t="s">
        <v>57</v>
      </c>
      <c r="AC8" s="53">
        <v>1</v>
      </c>
      <c r="AD8" s="53" t="s">
        <v>59</v>
      </c>
      <c r="AE8" s="53" t="s">
        <v>59</v>
      </c>
      <c r="AF8" s="55" t="s">
        <v>74</v>
      </c>
      <c r="AH8" s="52"/>
    </row>
    <row r="9" spans="1:54" ht="12" customHeight="1" x14ac:dyDescent="0.2">
      <c r="A9" s="44" t="s">
        <v>75</v>
      </c>
      <c r="B9" s="46">
        <v>3</v>
      </c>
      <c r="C9" s="58" t="s">
        <v>68</v>
      </c>
      <c r="D9" s="374">
        <v>3</v>
      </c>
      <c r="E9" s="46" t="s">
        <v>50</v>
      </c>
      <c r="F9" s="46" t="s">
        <v>50</v>
      </c>
      <c r="G9" s="46" t="s">
        <v>50</v>
      </c>
      <c r="H9" s="46" t="s">
        <v>24</v>
      </c>
      <c r="I9" s="46" t="s">
        <v>52</v>
      </c>
      <c r="J9" s="46" t="s">
        <v>52</v>
      </c>
      <c r="K9" s="46" t="s">
        <v>52</v>
      </c>
      <c r="L9" s="46" t="s">
        <v>76</v>
      </c>
      <c r="M9" s="46" t="s">
        <v>52</v>
      </c>
      <c r="N9" s="46" t="s">
        <v>50</v>
      </c>
      <c r="O9" s="46" t="s">
        <v>50</v>
      </c>
      <c r="P9" s="57" t="s">
        <v>53</v>
      </c>
      <c r="Q9" s="53" t="s">
        <v>783</v>
      </c>
      <c r="R9" s="46" t="s">
        <v>52</v>
      </c>
      <c r="S9" s="46" t="s">
        <v>55</v>
      </c>
      <c r="T9" s="46" t="s">
        <v>24</v>
      </c>
      <c r="U9" s="47">
        <v>400000</v>
      </c>
      <c r="V9" s="46" t="s">
        <v>52</v>
      </c>
      <c r="W9" s="53"/>
      <c r="X9" s="53"/>
      <c r="Y9" s="53"/>
      <c r="Z9" s="53"/>
      <c r="AA9" s="53"/>
      <c r="AB9" s="53"/>
      <c r="AC9" s="53"/>
      <c r="AD9" s="53" t="s">
        <v>59</v>
      </c>
      <c r="AE9" s="53" t="s">
        <v>59</v>
      </c>
      <c r="AF9" s="55" t="s">
        <v>75</v>
      </c>
      <c r="AH9" s="52"/>
    </row>
    <row r="10" spans="1:54" ht="12" customHeight="1" x14ac:dyDescent="0.2">
      <c r="A10" s="44" t="s">
        <v>77</v>
      </c>
      <c r="B10" s="46">
        <v>5</v>
      </c>
      <c r="C10" s="58" t="s">
        <v>54</v>
      </c>
      <c r="D10" s="375">
        <v>3.19</v>
      </c>
      <c r="E10" s="46" t="s">
        <v>50</v>
      </c>
      <c r="F10" s="46" t="s">
        <v>50</v>
      </c>
      <c r="G10" s="46" t="s">
        <v>48</v>
      </c>
      <c r="H10" s="46" t="s">
        <v>24</v>
      </c>
      <c r="I10" s="46" t="s">
        <v>48</v>
      </c>
      <c r="J10" s="46" t="s">
        <v>50</v>
      </c>
      <c r="K10" s="46" t="s">
        <v>50</v>
      </c>
      <c r="L10" s="46" t="s">
        <v>62</v>
      </c>
      <c r="M10" s="46" t="s">
        <v>48</v>
      </c>
      <c r="N10" s="46" t="s">
        <v>48</v>
      </c>
      <c r="O10" s="46" t="s">
        <v>50</v>
      </c>
      <c r="P10" s="57" t="s">
        <v>53</v>
      </c>
      <c r="Q10" s="53" t="s">
        <v>783</v>
      </c>
      <c r="R10" s="46" t="s">
        <v>48</v>
      </c>
      <c r="S10" s="46" t="s">
        <v>55</v>
      </c>
      <c r="T10" s="46" t="s">
        <v>24</v>
      </c>
      <c r="U10" s="47">
        <v>140000</v>
      </c>
      <c r="V10" s="46" t="s">
        <v>50</v>
      </c>
      <c r="W10" s="53"/>
      <c r="X10" s="53" t="s">
        <v>57</v>
      </c>
      <c r="Y10" s="53" t="s">
        <v>57</v>
      </c>
      <c r="Z10" s="53"/>
      <c r="AA10" s="53" t="s">
        <v>57</v>
      </c>
      <c r="AB10" s="53" t="s">
        <v>57</v>
      </c>
      <c r="AC10" s="53">
        <v>1</v>
      </c>
      <c r="AD10" s="46" t="s">
        <v>59</v>
      </c>
      <c r="AE10" s="53" t="s">
        <v>59</v>
      </c>
      <c r="AF10" s="55" t="s">
        <v>77</v>
      </c>
      <c r="AH10" s="52"/>
    </row>
    <row r="11" spans="1:54" ht="12" customHeight="1" x14ac:dyDescent="0.2">
      <c r="A11" s="44" t="s">
        <v>78</v>
      </c>
      <c r="B11" s="46">
        <v>5</v>
      </c>
      <c r="C11" s="58" t="s">
        <v>54</v>
      </c>
      <c r="D11" s="372">
        <v>3.37</v>
      </c>
      <c r="E11" s="46" t="s">
        <v>50</v>
      </c>
      <c r="F11" s="46" t="s">
        <v>52</v>
      </c>
      <c r="G11" s="46" t="s">
        <v>50</v>
      </c>
      <c r="H11" s="46" t="s">
        <v>49</v>
      </c>
      <c r="I11" s="46" t="s">
        <v>52</v>
      </c>
      <c r="J11" s="46" t="s">
        <v>52</v>
      </c>
      <c r="K11" s="46" t="s">
        <v>50</v>
      </c>
      <c r="L11" s="46" t="s">
        <v>70</v>
      </c>
      <c r="M11" s="46" t="s">
        <v>52</v>
      </c>
      <c r="N11" s="46" t="s">
        <v>52</v>
      </c>
      <c r="O11" s="46" t="s">
        <v>50</v>
      </c>
      <c r="P11" s="57" t="s">
        <v>53</v>
      </c>
      <c r="Q11" s="53" t="s">
        <v>24</v>
      </c>
      <c r="R11" s="46" t="s">
        <v>52</v>
      </c>
      <c r="S11" s="46" t="s">
        <v>55</v>
      </c>
      <c r="T11" s="46" t="s">
        <v>56</v>
      </c>
      <c r="U11" s="47">
        <v>500000</v>
      </c>
      <c r="V11" s="46" t="s">
        <v>50</v>
      </c>
      <c r="W11" s="53"/>
      <c r="X11" s="53" t="s">
        <v>57</v>
      </c>
      <c r="Y11" s="53" t="s">
        <v>57</v>
      </c>
      <c r="Z11" s="53"/>
      <c r="AA11" s="53" t="s">
        <v>57</v>
      </c>
      <c r="AB11" s="53"/>
      <c r="AC11" s="53" t="s">
        <v>58</v>
      </c>
      <c r="AD11" s="46" t="s">
        <v>59</v>
      </c>
      <c r="AE11" s="53" t="s">
        <v>60</v>
      </c>
      <c r="AF11" s="55" t="s">
        <v>78</v>
      </c>
      <c r="AH11" s="52"/>
    </row>
    <row r="12" spans="1:54" ht="12" customHeight="1" x14ac:dyDescent="0.2">
      <c r="A12" s="44" t="s">
        <v>79</v>
      </c>
      <c r="B12" s="46">
        <v>15</v>
      </c>
      <c r="C12" s="58" t="s">
        <v>54</v>
      </c>
      <c r="D12" s="372">
        <v>2.6666666666666665</v>
      </c>
      <c r="E12" s="46" t="s">
        <v>50</v>
      </c>
      <c r="F12" s="46" t="s">
        <v>50</v>
      </c>
      <c r="G12" s="46" t="s">
        <v>50</v>
      </c>
      <c r="H12" s="46" t="s">
        <v>49</v>
      </c>
      <c r="I12" s="46" t="s">
        <v>52</v>
      </c>
      <c r="J12" s="46" t="s">
        <v>50</v>
      </c>
      <c r="K12" s="46" t="s">
        <v>50</v>
      </c>
      <c r="L12" s="46" t="s">
        <v>80</v>
      </c>
      <c r="M12" s="46" t="s">
        <v>52</v>
      </c>
      <c r="N12" s="46" t="s">
        <v>52</v>
      </c>
      <c r="O12" s="46" t="s">
        <v>50</v>
      </c>
      <c r="P12" s="57" t="s">
        <v>53</v>
      </c>
      <c r="Q12" s="53" t="s">
        <v>783</v>
      </c>
      <c r="R12" s="46" t="s">
        <v>52</v>
      </c>
      <c r="S12" s="46" t="s">
        <v>55</v>
      </c>
      <c r="T12" s="46" t="s">
        <v>56</v>
      </c>
      <c r="U12" s="47">
        <v>150000</v>
      </c>
      <c r="V12" s="46" t="s">
        <v>50</v>
      </c>
      <c r="W12" s="53"/>
      <c r="X12" s="53" t="s">
        <v>57</v>
      </c>
      <c r="Y12" s="53" t="s">
        <v>57</v>
      </c>
      <c r="Z12" s="53"/>
      <c r="AA12" s="53" t="s">
        <v>57</v>
      </c>
      <c r="AB12" s="53"/>
      <c r="AC12" s="53" t="s">
        <v>58</v>
      </c>
      <c r="AD12" s="46" t="s">
        <v>59</v>
      </c>
      <c r="AE12" s="53" t="s">
        <v>60</v>
      </c>
      <c r="AF12" s="55" t="s">
        <v>79</v>
      </c>
      <c r="AH12" s="52"/>
    </row>
    <row r="13" spans="1:54" ht="12" customHeight="1" x14ac:dyDescent="0.2">
      <c r="A13" s="44" t="s">
        <v>81</v>
      </c>
      <c r="B13" s="46">
        <v>5</v>
      </c>
      <c r="C13" s="58" t="s">
        <v>54</v>
      </c>
      <c r="D13" s="372">
        <v>3.85</v>
      </c>
      <c r="E13" s="46" t="s">
        <v>48</v>
      </c>
      <c r="F13" s="46" t="s">
        <v>50</v>
      </c>
      <c r="G13" s="46" t="s">
        <v>50</v>
      </c>
      <c r="H13" s="46" t="s">
        <v>49</v>
      </c>
      <c r="I13" s="46" t="s">
        <v>50</v>
      </c>
      <c r="J13" s="46" t="s">
        <v>50</v>
      </c>
      <c r="K13" s="46" t="s">
        <v>50</v>
      </c>
      <c r="L13" s="46" t="s">
        <v>70</v>
      </c>
      <c r="M13" s="46" t="s">
        <v>50</v>
      </c>
      <c r="N13" s="46" t="s">
        <v>50</v>
      </c>
      <c r="O13" s="46" t="s">
        <v>50</v>
      </c>
      <c r="P13" s="57" t="s">
        <v>53</v>
      </c>
      <c r="Q13" s="53" t="s">
        <v>49</v>
      </c>
      <c r="R13" s="46" t="s">
        <v>52</v>
      </c>
      <c r="S13" s="46" t="s">
        <v>55</v>
      </c>
      <c r="T13" s="46" t="s">
        <v>56</v>
      </c>
      <c r="U13" s="47">
        <v>275000</v>
      </c>
      <c r="V13" s="46" t="s">
        <v>48</v>
      </c>
      <c r="W13" s="53"/>
      <c r="X13" s="53" t="s">
        <v>57</v>
      </c>
      <c r="Y13" s="53" t="s">
        <v>57</v>
      </c>
      <c r="Z13" s="53"/>
      <c r="AA13" s="53" t="s">
        <v>57</v>
      </c>
      <c r="AB13" s="53"/>
      <c r="AC13" s="53" t="s">
        <v>58</v>
      </c>
      <c r="AD13" s="46" t="s">
        <v>59</v>
      </c>
      <c r="AE13" s="53" t="s">
        <v>66</v>
      </c>
      <c r="AF13" s="55" t="s">
        <v>81</v>
      </c>
      <c r="AH13" s="52"/>
    </row>
    <row r="14" spans="1:54" ht="12" customHeight="1" x14ac:dyDescent="0.2">
      <c r="A14" s="44" t="s">
        <v>82</v>
      </c>
      <c r="B14" s="46">
        <v>4</v>
      </c>
      <c r="C14" s="58" t="s">
        <v>316</v>
      </c>
      <c r="D14" s="372">
        <v>4.25</v>
      </c>
      <c r="E14" s="46" t="s">
        <v>48</v>
      </c>
      <c r="F14" s="46" t="s">
        <v>48</v>
      </c>
      <c r="G14" s="46" t="s">
        <v>50</v>
      </c>
      <c r="H14" s="46" t="s">
        <v>49</v>
      </c>
      <c r="I14" s="46" t="s">
        <v>48</v>
      </c>
      <c r="J14" s="46" t="s">
        <v>50</v>
      </c>
      <c r="K14" s="46" t="s">
        <v>50</v>
      </c>
      <c r="L14" s="46" t="s">
        <v>62</v>
      </c>
      <c r="M14" s="46" t="s">
        <v>48</v>
      </c>
      <c r="N14" s="46" t="s">
        <v>48</v>
      </c>
      <c r="O14" s="46" t="s">
        <v>50</v>
      </c>
      <c r="P14" s="57" t="s">
        <v>53</v>
      </c>
      <c r="Q14" s="53" t="s">
        <v>49</v>
      </c>
      <c r="R14" s="46" t="s">
        <v>50</v>
      </c>
      <c r="S14" s="46" t="s">
        <v>55</v>
      </c>
      <c r="T14" s="46" t="s">
        <v>56</v>
      </c>
      <c r="U14" s="47">
        <v>260000</v>
      </c>
      <c r="V14" s="46" t="s">
        <v>48</v>
      </c>
      <c r="W14" s="53"/>
      <c r="X14" s="53" t="s">
        <v>57</v>
      </c>
      <c r="Y14" s="53"/>
      <c r="Z14" s="53"/>
      <c r="AA14" s="53" t="s">
        <v>57</v>
      </c>
      <c r="AB14" s="53"/>
      <c r="AC14" s="53" t="s">
        <v>64</v>
      </c>
      <c r="AD14" s="46" t="s">
        <v>59</v>
      </c>
      <c r="AE14" s="53" t="s">
        <v>59</v>
      </c>
      <c r="AF14" s="55" t="s">
        <v>82</v>
      </c>
      <c r="AH14" s="52"/>
    </row>
    <row r="15" spans="1:54" ht="12" customHeight="1" x14ac:dyDescent="0.2">
      <c r="A15" s="44" t="s">
        <v>83</v>
      </c>
      <c r="B15" s="46">
        <v>5</v>
      </c>
      <c r="C15" s="58" t="s">
        <v>68</v>
      </c>
      <c r="D15" s="372">
        <v>3.1</v>
      </c>
      <c r="E15" s="46" t="s">
        <v>50</v>
      </c>
      <c r="F15" s="46" t="s">
        <v>50</v>
      </c>
      <c r="G15" s="46" t="s">
        <v>48</v>
      </c>
      <c r="H15" s="46" t="s">
        <v>24</v>
      </c>
      <c r="I15" s="46" t="s">
        <v>48</v>
      </c>
      <c r="J15" s="46" t="s">
        <v>50</v>
      </c>
      <c r="K15" s="46" t="s">
        <v>48</v>
      </c>
      <c r="L15" s="46" t="s">
        <v>62</v>
      </c>
      <c r="M15" s="46" t="s">
        <v>48</v>
      </c>
      <c r="N15" s="46" t="s">
        <v>48</v>
      </c>
      <c r="O15" s="46" t="s">
        <v>50</v>
      </c>
      <c r="P15" s="57" t="s">
        <v>53</v>
      </c>
      <c r="Q15" s="53" t="s">
        <v>24</v>
      </c>
      <c r="R15" s="46" t="s">
        <v>48</v>
      </c>
      <c r="S15" s="46" t="s">
        <v>55</v>
      </c>
      <c r="T15" s="46" t="s">
        <v>24</v>
      </c>
      <c r="U15" s="47">
        <v>175000</v>
      </c>
      <c r="V15" s="46" t="s">
        <v>50</v>
      </c>
      <c r="W15" s="66"/>
      <c r="X15" s="53" t="s">
        <v>57</v>
      </c>
      <c r="Y15" s="53" t="s">
        <v>57</v>
      </c>
      <c r="Z15" s="53"/>
      <c r="AA15" s="53" t="s">
        <v>57</v>
      </c>
      <c r="AB15" s="53" t="s">
        <v>57</v>
      </c>
      <c r="AC15" s="53">
        <v>1</v>
      </c>
      <c r="AD15" s="46" t="s">
        <v>59</v>
      </c>
      <c r="AE15" s="53" t="s">
        <v>59</v>
      </c>
      <c r="AF15" s="55" t="s">
        <v>83</v>
      </c>
      <c r="AH15" s="52"/>
    </row>
    <row r="16" spans="1:54" ht="12" customHeight="1" x14ac:dyDescent="0.2">
      <c r="A16" s="44" t="s">
        <v>13</v>
      </c>
      <c r="B16" s="46">
        <v>12</v>
      </c>
      <c r="C16" s="58" t="s">
        <v>87</v>
      </c>
      <c r="D16" s="372">
        <v>1.54</v>
      </c>
      <c r="E16" s="46" t="s">
        <v>48</v>
      </c>
      <c r="F16" s="46" t="s">
        <v>48</v>
      </c>
      <c r="G16" s="46" t="s">
        <v>48</v>
      </c>
      <c r="H16" s="46" t="s">
        <v>24</v>
      </c>
      <c r="I16" s="46" t="s">
        <v>48</v>
      </c>
      <c r="J16" s="46" t="s">
        <v>50</v>
      </c>
      <c r="K16" s="46" t="s">
        <v>48</v>
      </c>
      <c r="L16" s="46" t="s">
        <v>51</v>
      </c>
      <c r="M16" s="46" t="s">
        <v>48</v>
      </c>
      <c r="N16" s="46" t="s">
        <v>48</v>
      </c>
      <c r="O16" s="46" t="s">
        <v>55</v>
      </c>
      <c r="P16" s="57" t="s">
        <v>84</v>
      </c>
      <c r="Q16" s="53" t="s">
        <v>24</v>
      </c>
      <c r="R16" s="46" t="s">
        <v>52</v>
      </c>
      <c r="S16" s="46" t="s">
        <v>85</v>
      </c>
      <c r="T16" s="46" t="s">
        <v>85</v>
      </c>
      <c r="U16" s="47">
        <v>2500</v>
      </c>
      <c r="V16" s="46" t="s">
        <v>50</v>
      </c>
      <c r="W16" s="53"/>
      <c r="X16" s="53"/>
      <c r="Y16" s="53" t="s">
        <v>57</v>
      </c>
      <c r="Z16" s="53" t="s">
        <v>57</v>
      </c>
      <c r="AA16" s="53" t="s">
        <v>57</v>
      </c>
      <c r="AB16" s="53" t="s">
        <v>57</v>
      </c>
      <c r="AC16" s="53" t="s">
        <v>64</v>
      </c>
      <c r="AD16" s="46" t="s">
        <v>65</v>
      </c>
      <c r="AE16" s="53" t="s">
        <v>66</v>
      </c>
      <c r="AF16" s="55" t="s">
        <v>13</v>
      </c>
      <c r="AH16" s="52"/>
    </row>
    <row r="17" spans="1:32" ht="12" customHeight="1" x14ac:dyDescent="0.2">
      <c r="A17" s="51" t="s">
        <v>86</v>
      </c>
      <c r="B17" s="46">
        <v>30</v>
      </c>
      <c r="C17" s="58" t="s">
        <v>87</v>
      </c>
      <c r="D17" s="372">
        <v>1.4</v>
      </c>
      <c r="E17" s="46" t="s">
        <v>52</v>
      </c>
      <c r="F17" s="46" t="s">
        <v>50</v>
      </c>
      <c r="G17" s="46" t="s">
        <v>50</v>
      </c>
      <c r="H17" s="46" t="s">
        <v>49</v>
      </c>
      <c r="I17" s="46" t="s">
        <v>52</v>
      </c>
      <c r="J17" s="46" t="s">
        <v>52</v>
      </c>
      <c r="K17" s="46" t="s">
        <v>50</v>
      </c>
      <c r="L17" s="46" t="s">
        <v>70</v>
      </c>
      <c r="M17" s="46" t="s">
        <v>50</v>
      </c>
      <c r="N17" s="46" t="s">
        <v>50</v>
      </c>
      <c r="O17" s="46" t="s">
        <v>55</v>
      </c>
      <c r="P17" s="57" t="s">
        <v>71</v>
      </c>
      <c r="Q17" s="53" t="s">
        <v>24</v>
      </c>
      <c r="R17" s="46" t="s">
        <v>52</v>
      </c>
      <c r="S17" s="46" t="s">
        <v>55</v>
      </c>
      <c r="T17" s="46" t="s">
        <v>56</v>
      </c>
      <c r="U17" s="47">
        <v>4000</v>
      </c>
      <c r="V17" s="46" t="s">
        <v>50</v>
      </c>
      <c r="W17" s="53"/>
      <c r="X17" s="53" t="s">
        <v>57</v>
      </c>
      <c r="Y17" s="53" t="s">
        <v>57</v>
      </c>
      <c r="Z17" s="53"/>
      <c r="AA17" s="53" t="s">
        <v>57</v>
      </c>
      <c r="AB17" s="53" t="s">
        <v>57</v>
      </c>
      <c r="AC17" s="53" t="s">
        <v>88</v>
      </c>
      <c r="AD17" s="46" t="s">
        <v>59</v>
      </c>
      <c r="AE17" s="53" t="s">
        <v>59</v>
      </c>
      <c r="AF17" s="56" t="s">
        <v>86</v>
      </c>
    </row>
    <row r="18" spans="1:32" s="65" customFormat="1" ht="12" customHeight="1" x14ac:dyDescent="0.2">
      <c r="A18" s="258" t="s">
        <v>89</v>
      </c>
      <c r="B18" s="259">
        <v>75</v>
      </c>
      <c r="C18" s="58" t="s">
        <v>87</v>
      </c>
      <c r="D18" s="372">
        <v>0.55000000000000004</v>
      </c>
      <c r="E18" s="259" t="s">
        <v>50</v>
      </c>
      <c r="F18" s="259" t="s">
        <v>50</v>
      </c>
      <c r="G18" s="259" t="s">
        <v>50</v>
      </c>
      <c r="H18" s="259" t="s">
        <v>49</v>
      </c>
      <c r="I18" s="259" t="s">
        <v>50</v>
      </c>
      <c r="J18" s="259" t="s">
        <v>48</v>
      </c>
      <c r="K18" s="259" t="s">
        <v>48</v>
      </c>
      <c r="L18" s="259" t="s">
        <v>104</v>
      </c>
      <c r="M18" s="259" t="s">
        <v>50</v>
      </c>
      <c r="N18" s="259" t="s">
        <v>50</v>
      </c>
      <c r="O18" s="259" t="s">
        <v>55</v>
      </c>
      <c r="P18" s="262" t="s">
        <v>53</v>
      </c>
      <c r="Q18" s="260" t="s">
        <v>24</v>
      </c>
      <c r="R18" s="259" t="s">
        <v>50</v>
      </c>
      <c r="S18" s="259" t="s">
        <v>55</v>
      </c>
      <c r="T18" s="259" t="s">
        <v>52</v>
      </c>
      <c r="U18" s="261">
        <v>2500</v>
      </c>
      <c r="V18" s="259" t="s">
        <v>52</v>
      </c>
      <c r="W18" s="53"/>
      <c r="X18" s="46" t="s">
        <v>57</v>
      </c>
      <c r="Y18" s="46" t="s">
        <v>57</v>
      </c>
      <c r="Z18" s="46"/>
      <c r="AA18" s="46" t="s">
        <v>57</v>
      </c>
      <c r="AB18" s="46" t="s">
        <v>57</v>
      </c>
      <c r="AC18" s="46" t="s">
        <v>88</v>
      </c>
      <c r="AD18" s="46" t="s">
        <v>60</v>
      </c>
      <c r="AE18" s="46" t="s">
        <v>60</v>
      </c>
      <c r="AF18" s="263" t="s">
        <v>89</v>
      </c>
    </row>
    <row r="19" spans="1:32" ht="12" customHeight="1" x14ac:dyDescent="0.2">
      <c r="A19" s="44" t="s">
        <v>90</v>
      </c>
      <c r="B19" s="46">
        <v>30</v>
      </c>
      <c r="C19" s="58" t="s">
        <v>54</v>
      </c>
      <c r="D19" s="372">
        <v>0.85</v>
      </c>
      <c r="E19" s="46" t="s">
        <v>50</v>
      </c>
      <c r="F19" s="46" t="s">
        <v>50</v>
      </c>
      <c r="G19" s="46" t="s">
        <v>50</v>
      </c>
      <c r="H19" s="46" t="s">
        <v>24</v>
      </c>
      <c r="I19" s="46" t="s">
        <v>52</v>
      </c>
      <c r="J19" s="46" t="s">
        <v>52</v>
      </c>
      <c r="K19" s="46" t="s">
        <v>52</v>
      </c>
      <c r="L19" s="46" t="s">
        <v>80</v>
      </c>
      <c r="M19" s="46" t="s">
        <v>50</v>
      </c>
      <c r="N19" s="46" t="s">
        <v>52</v>
      </c>
      <c r="O19" s="46" t="s">
        <v>50</v>
      </c>
      <c r="P19" s="57" t="s">
        <v>53</v>
      </c>
      <c r="Q19" s="53" t="s">
        <v>24</v>
      </c>
      <c r="R19" s="46" t="s">
        <v>52</v>
      </c>
      <c r="S19" s="46" t="s">
        <v>85</v>
      </c>
      <c r="T19" s="46" t="s">
        <v>85</v>
      </c>
      <c r="U19" s="47">
        <v>80000</v>
      </c>
      <c r="V19" s="46" t="s">
        <v>52</v>
      </c>
      <c r="W19" s="53"/>
      <c r="X19" s="53"/>
      <c r="Y19" s="53"/>
      <c r="Z19" s="53"/>
      <c r="AA19" s="53"/>
      <c r="AB19" s="53"/>
      <c r="AC19" s="53" t="s">
        <v>91</v>
      </c>
      <c r="AD19" s="53" t="s">
        <v>60</v>
      </c>
      <c r="AE19" s="53" t="s">
        <v>60</v>
      </c>
      <c r="AF19" s="55" t="s">
        <v>90</v>
      </c>
    </row>
    <row r="20" spans="1:32" ht="12" customHeight="1" x14ac:dyDescent="0.2">
      <c r="A20" s="44" t="s">
        <v>92</v>
      </c>
      <c r="B20" s="46">
        <v>30</v>
      </c>
      <c r="C20" s="58" t="s">
        <v>87</v>
      </c>
      <c r="D20" s="372">
        <v>1</v>
      </c>
      <c r="E20" s="46" t="s">
        <v>52</v>
      </c>
      <c r="F20" s="46" t="s">
        <v>52</v>
      </c>
      <c r="G20" s="46" t="s">
        <v>52</v>
      </c>
      <c r="H20" s="46" t="s">
        <v>49</v>
      </c>
      <c r="I20" s="46" t="s">
        <v>52</v>
      </c>
      <c r="J20" s="46" t="s">
        <v>52</v>
      </c>
      <c r="K20" s="46" t="s">
        <v>52</v>
      </c>
      <c r="L20" s="46" t="s">
        <v>70</v>
      </c>
      <c r="M20" s="46" t="s">
        <v>52</v>
      </c>
      <c r="N20" s="46" t="s">
        <v>52</v>
      </c>
      <c r="O20" s="46" t="s">
        <v>50</v>
      </c>
      <c r="P20" s="57" t="s">
        <v>53</v>
      </c>
      <c r="Q20" s="53" t="s">
        <v>24</v>
      </c>
      <c r="R20" s="46" t="s">
        <v>52</v>
      </c>
      <c r="S20" s="46" t="s">
        <v>55</v>
      </c>
      <c r="T20" s="46" t="s">
        <v>56</v>
      </c>
      <c r="U20" s="47">
        <v>20000</v>
      </c>
      <c r="V20" s="46" t="s">
        <v>52</v>
      </c>
      <c r="W20" s="53"/>
      <c r="X20" s="53" t="s">
        <v>57</v>
      </c>
      <c r="Y20" s="53"/>
      <c r="Z20" s="53"/>
      <c r="AA20" s="53"/>
      <c r="AB20" s="53"/>
      <c r="AC20" s="53" t="s">
        <v>64</v>
      </c>
      <c r="AD20" s="53" t="s">
        <v>60</v>
      </c>
      <c r="AE20" s="53" t="s">
        <v>60</v>
      </c>
      <c r="AF20" s="55" t="s">
        <v>92</v>
      </c>
    </row>
    <row r="21" spans="1:32" ht="12" customHeight="1" x14ac:dyDescent="0.2">
      <c r="A21" s="44" t="s">
        <v>93</v>
      </c>
      <c r="B21" s="46">
        <v>15</v>
      </c>
      <c r="C21" s="58" t="s">
        <v>317</v>
      </c>
      <c r="D21" s="372">
        <v>0.73333333333333339</v>
      </c>
      <c r="E21" s="46" t="s">
        <v>48</v>
      </c>
      <c r="F21" s="46" t="s">
        <v>48</v>
      </c>
      <c r="G21" s="46" t="s">
        <v>48</v>
      </c>
      <c r="H21" s="46" t="s">
        <v>24</v>
      </c>
      <c r="I21" s="46" t="s">
        <v>48</v>
      </c>
      <c r="J21" s="46" t="s">
        <v>48</v>
      </c>
      <c r="K21" s="46" t="s">
        <v>48</v>
      </c>
      <c r="L21" s="46" t="s">
        <v>70</v>
      </c>
      <c r="M21" s="46" t="s">
        <v>48</v>
      </c>
      <c r="N21" s="46" t="s">
        <v>50</v>
      </c>
      <c r="O21" s="46" t="s">
        <v>50</v>
      </c>
      <c r="P21" s="57" t="s">
        <v>84</v>
      </c>
      <c r="Q21" s="53" t="s">
        <v>24</v>
      </c>
      <c r="R21" s="46" t="s">
        <v>52</v>
      </c>
      <c r="S21" s="46" t="s">
        <v>56</v>
      </c>
      <c r="T21" s="46" t="s">
        <v>85</v>
      </c>
      <c r="U21" s="47">
        <v>180000</v>
      </c>
      <c r="V21" s="46" t="s">
        <v>52</v>
      </c>
      <c r="W21" s="53"/>
      <c r="X21" s="53"/>
      <c r="Y21" s="53" t="s">
        <v>57</v>
      </c>
      <c r="Z21" s="53"/>
      <c r="AA21" s="53" t="s">
        <v>57</v>
      </c>
      <c r="AB21" s="53" t="s">
        <v>57</v>
      </c>
      <c r="AC21" s="53">
        <v>1</v>
      </c>
      <c r="AD21" s="53" t="s">
        <v>65</v>
      </c>
      <c r="AE21" s="53" t="s">
        <v>66</v>
      </c>
      <c r="AF21" s="55" t="s">
        <v>93</v>
      </c>
    </row>
    <row r="22" spans="1:32" ht="12" customHeight="1" x14ac:dyDescent="0.2">
      <c r="A22" s="44" t="s">
        <v>94</v>
      </c>
      <c r="B22" s="46">
        <v>25</v>
      </c>
      <c r="C22" s="58" t="s">
        <v>317</v>
      </c>
      <c r="D22" s="372">
        <v>0.4</v>
      </c>
      <c r="E22" s="46" t="s">
        <v>48</v>
      </c>
      <c r="F22" s="46" t="s">
        <v>48</v>
      </c>
      <c r="G22" s="46" t="s">
        <v>48</v>
      </c>
      <c r="H22" s="46" t="s">
        <v>24</v>
      </c>
      <c r="I22" s="46" t="s">
        <v>48</v>
      </c>
      <c r="J22" s="46" t="s">
        <v>48</v>
      </c>
      <c r="K22" s="46" t="s">
        <v>48</v>
      </c>
      <c r="L22" s="46" t="s">
        <v>70</v>
      </c>
      <c r="M22" s="46" t="s">
        <v>48</v>
      </c>
      <c r="N22" s="46" t="s">
        <v>50</v>
      </c>
      <c r="O22" s="46" t="s">
        <v>50</v>
      </c>
      <c r="P22" s="57" t="s">
        <v>84</v>
      </c>
      <c r="Q22" s="53" t="s">
        <v>24</v>
      </c>
      <c r="R22" s="46" t="s">
        <v>52</v>
      </c>
      <c r="S22" s="46" t="s">
        <v>56</v>
      </c>
      <c r="T22" s="46" t="s">
        <v>85</v>
      </c>
      <c r="U22" s="47">
        <v>80000</v>
      </c>
      <c r="V22" s="46" t="s">
        <v>52</v>
      </c>
      <c r="W22" s="53"/>
      <c r="X22" s="53"/>
      <c r="Y22" s="53" t="s">
        <v>57</v>
      </c>
      <c r="Z22" s="53"/>
      <c r="AA22" s="53" t="s">
        <v>57</v>
      </c>
      <c r="AB22" s="53" t="s">
        <v>57</v>
      </c>
      <c r="AC22" s="53">
        <v>1</v>
      </c>
      <c r="AD22" s="53" t="s">
        <v>65</v>
      </c>
      <c r="AE22" s="53" t="s">
        <v>66</v>
      </c>
      <c r="AF22" s="55" t="s">
        <v>94</v>
      </c>
    </row>
    <row r="23" spans="1:32" ht="12" customHeight="1" x14ac:dyDescent="0.2">
      <c r="A23" s="44" t="s">
        <v>95</v>
      </c>
      <c r="B23" s="46">
        <v>6</v>
      </c>
      <c r="C23" s="58" t="s">
        <v>54</v>
      </c>
      <c r="D23" s="372">
        <v>3</v>
      </c>
      <c r="E23" s="46" t="s">
        <v>50</v>
      </c>
      <c r="F23" s="46" t="s">
        <v>50</v>
      </c>
      <c r="G23" s="46" t="s">
        <v>50</v>
      </c>
      <c r="H23" s="46" t="s">
        <v>24</v>
      </c>
      <c r="I23" s="46" t="s">
        <v>48</v>
      </c>
      <c r="J23" s="46" t="s">
        <v>50</v>
      </c>
      <c r="K23" s="46" t="s">
        <v>52</v>
      </c>
      <c r="L23" s="46" t="s">
        <v>96</v>
      </c>
      <c r="M23" s="46" t="s">
        <v>48</v>
      </c>
      <c r="N23" s="46" t="s">
        <v>50</v>
      </c>
      <c r="O23" s="46" t="s">
        <v>50</v>
      </c>
      <c r="P23" s="57" t="s">
        <v>53</v>
      </c>
      <c r="Q23" s="53" t="s">
        <v>24</v>
      </c>
      <c r="R23" s="46" t="s">
        <v>52</v>
      </c>
      <c r="S23" s="46" t="s">
        <v>55</v>
      </c>
      <c r="T23" s="46" t="s">
        <v>24</v>
      </c>
      <c r="U23" s="47">
        <v>140000</v>
      </c>
      <c r="V23" s="46" t="s">
        <v>52</v>
      </c>
      <c r="W23" s="53"/>
      <c r="X23" s="53" t="s">
        <v>57</v>
      </c>
      <c r="Y23" s="53" t="s">
        <v>57</v>
      </c>
      <c r="Z23" s="53"/>
      <c r="AA23" s="53" t="s">
        <v>57</v>
      </c>
      <c r="AB23" s="53" t="s">
        <v>57</v>
      </c>
      <c r="AC23" s="53">
        <v>1</v>
      </c>
      <c r="AD23" s="53" t="s">
        <v>59</v>
      </c>
      <c r="AE23" s="53" t="s">
        <v>59</v>
      </c>
      <c r="AF23" s="55" t="s">
        <v>95</v>
      </c>
    </row>
    <row r="24" spans="1:32" ht="12" customHeight="1" x14ac:dyDescent="0.2">
      <c r="A24" s="44" t="s">
        <v>97</v>
      </c>
      <c r="B24" s="46">
        <v>70</v>
      </c>
      <c r="C24" s="58" t="s">
        <v>72</v>
      </c>
      <c r="D24" s="372">
        <v>0.33333333333333331</v>
      </c>
      <c r="E24" s="46" t="s">
        <v>48</v>
      </c>
      <c r="F24" s="46" t="s">
        <v>48</v>
      </c>
      <c r="G24" s="46" t="s">
        <v>48</v>
      </c>
      <c r="H24" s="46" t="s">
        <v>24</v>
      </c>
      <c r="I24" s="46" t="s">
        <v>48</v>
      </c>
      <c r="J24" s="46" t="s">
        <v>48</v>
      </c>
      <c r="K24" s="46" t="s">
        <v>48</v>
      </c>
      <c r="L24" s="46" t="s">
        <v>62</v>
      </c>
      <c r="M24" s="46" t="s">
        <v>48</v>
      </c>
      <c r="N24" s="46" t="s">
        <v>50</v>
      </c>
      <c r="O24" s="46" t="s">
        <v>55</v>
      </c>
      <c r="P24" s="57" t="s">
        <v>63</v>
      </c>
      <c r="Q24" s="53" t="s">
        <v>24</v>
      </c>
      <c r="R24" s="46" t="s">
        <v>50</v>
      </c>
      <c r="S24" s="46" t="s">
        <v>56</v>
      </c>
      <c r="T24" s="46" t="s">
        <v>85</v>
      </c>
      <c r="U24" s="47">
        <v>16000</v>
      </c>
      <c r="V24" s="46" t="s">
        <v>50</v>
      </c>
      <c r="W24" s="53" t="s">
        <v>57</v>
      </c>
      <c r="X24" s="53" t="s">
        <v>57</v>
      </c>
      <c r="Y24" s="53" t="s">
        <v>57</v>
      </c>
      <c r="Z24" s="53"/>
      <c r="AA24" s="53" t="s">
        <v>57</v>
      </c>
      <c r="AB24" s="53" t="s">
        <v>57</v>
      </c>
      <c r="AC24" s="53" t="s">
        <v>64</v>
      </c>
      <c r="AD24" s="53" t="s">
        <v>65</v>
      </c>
      <c r="AE24" s="53" t="s">
        <v>66</v>
      </c>
      <c r="AF24" s="55" t="s">
        <v>97</v>
      </c>
    </row>
    <row r="25" spans="1:32" ht="12" customHeight="1" x14ac:dyDescent="0.2">
      <c r="A25" s="44" t="s">
        <v>98</v>
      </c>
      <c r="B25" s="46">
        <v>70</v>
      </c>
      <c r="C25" s="58" t="s">
        <v>311</v>
      </c>
      <c r="D25" s="372">
        <v>0.5</v>
      </c>
      <c r="E25" s="46" t="s">
        <v>50</v>
      </c>
      <c r="F25" s="46" t="s">
        <v>52</v>
      </c>
      <c r="G25" s="46" t="s">
        <v>52</v>
      </c>
      <c r="H25" s="46" t="s">
        <v>49</v>
      </c>
      <c r="I25" s="46" t="s">
        <v>50</v>
      </c>
      <c r="J25" s="46" t="s">
        <v>48</v>
      </c>
      <c r="K25" s="46" t="s">
        <v>48</v>
      </c>
      <c r="L25" s="46" t="s">
        <v>70</v>
      </c>
      <c r="M25" s="46" t="s">
        <v>50</v>
      </c>
      <c r="N25" s="46" t="s">
        <v>50</v>
      </c>
      <c r="O25" s="46" t="s">
        <v>55</v>
      </c>
      <c r="P25" s="57" t="s">
        <v>53</v>
      </c>
      <c r="Q25" s="53" t="s">
        <v>24</v>
      </c>
      <c r="R25" s="46" t="s">
        <v>52</v>
      </c>
      <c r="S25" s="46" t="s">
        <v>55</v>
      </c>
      <c r="T25" s="46" t="s">
        <v>56</v>
      </c>
      <c r="U25" s="47">
        <v>3500</v>
      </c>
      <c r="V25" s="46" t="s">
        <v>50</v>
      </c>
      <c r="W25" s="53"/>
      <c r="X25" s="53" t="s">
        <v>57</v>
      </c>
      <c r="Y25" s="53" t="s">
        <v>57</v>
      </c>
      <c r="Z25" s="53"/>
      <c r="AA25" s="53" t="s">
        <v>57</v>
      </c>
      <c r="AB25" s="53"/>
      <c r="AC25" s="53" t="s">
        <v>58</v>
      </c>
      <c r="AD25" s="53" t="s">
        <v>66</v>
      </c>
      <c r="AE25" s="53" t="s">
        <v>66</v>
      </c>
      <c r="AF25" s="55" t="s">
        <v>98</v>
      </c>
    </row>
    <row r="26" spans="1:32" ht="12" customHeight="1" x14ac:dyDescent="0.2">
      <c r="A26" s="44" t="s">
        <v>99</v>
      </c>
      <c r="B26" s="46">
        <v>4</v>
      </c>
      <c r="C26" s="58" t="s">
        <v>68</v>
      </c>
      <c r="D26" s="372">
        <v>5.91</v>
      </c>
      <c r="E26" s="46" t="s">
        <v>50</v>
      </c>
      <c r="F26" s="46" t="s">
        <v>50</v>
      </c>
      <c r="G26" s="46" t="s">
        <v>50</v>
      </c>
      <c r="H26" s="46" t="s">
        <v>24</v>
      </c>
      <c r="I26" s="46" t="s">
        <v>52</v>
      </c>
      <c r="J26" s="46" t="s">
        <v>52</v>
      </c>
      <c r="K26" s="46" t="s">
        <v>52</v>
      </c>
      <c r="L26" s="46" t="s">
        <v>51</v>
      </c>
      <c r="M26" s="46" t="s">
        <v>50</v>
      </c>
      <c r="N26" s="46" t="s">
        <v>52</v>
      </c>
      <c r="O26" s="46" t="s">
        <v>50</v>
      </c>
      <c r="P26" s="57" t="s">
        <v>53</v>
      </c>
      <c r="Q26" s="53" t="s">
        <v>24</v>
      </c>
      <c r="R26" s="46" t="s">
        <v>52</v>
      </c>
      <c r="S26" s="46" t="s">
        <v>55</v>
      </c>
      <c r="T26" s="46" t="s">
        <v>56</v>
      </c>
      <c r="U26" s="47">
        <v>225000</v>
      </c>
      <c r="V26" s="46" t="s">
        <v>50</v>
      </c>
      <c r="W26" s="53"/>
      <c r="X26" s="46" t="s">
        <v>57</v>
      </c>
      <c r="Y26" s="46" t="s">
        <v>57</v>
      </c>
      <c r="Z26" s="53"/>
      <c r="AA26" s="53"/>
      <c r="AB26" s="53"/>
      <c r="AC26" s="53"/>
      <c r="AD26" s="53" t="s">
        <v>59</v>
      </c>
      <c r="AE26" s="53" t="s">
        <v>59</v>
      </c>
      <c r="AF26" s="55" t="s">
        <v>99</v>
      </c>
    </row>
    <row r="27" spans="1:32" ht="12" customHeight="1" x14ac:dyDescent="0.2">
      <c r="A27" s="44" t="s">
        <v>100</v>
      </c>
      <c r="B27" s="46">
        <v>8</v>
      </c>
      <c r="C27" s="58" t="s">
        <v>54</v>
      </c>
      <c r="D27" s="372">
        <v>1.55</v>
      </c>
      <c r="E27" s="46" t="s">
        <v>50</v>
      </c>
      <c r="F27" s="46" t="s">
        <v>50</v>
      </c>
      <c r="G27" s="46" t="s">
        <v>48</v>
      </c>
      <c r="H27" s="46" t="s">
        <v>24</v>
      </c>
      <c r="I27" s="46" t="s">
        <v>48</v>
      </c>
      <c r="J27" s="46" t="s">
        <v>52</v>
      </c>
      <c r="K27" s="46" t="s">
        <v>48</v>
      </c>
      <c r="L27" s="46" t="s">
        <v>51</v>
      </c>
      <c r="M27" s="46" t="s">
        <v>48</v>
      </c>
      <c r="N27" s="46" t="s">
        <v>48</v>
      </c>
      <c r="O27" s="46" t="s">
        <v>50</v>
      </c>
      <c r="P27" s="57" t="s">
        <v>53</v>
      </c>
      <c r="Q27" s="53" t="s">
        <v>24</v>
      </c>
      <c r="R27" s="46" t="s">
        <v>52</v>
      </c>
      <c r="S27" s="46" t="s">
        <v>55</v>
      </c>
      <c r="T27" s="46" t="s">
        <v>24</v>
      </c>
      <c r="U27" s="47">
        <v>25000</v>
      </c>
      <c r="V27" s="46" t="s">
        <v>52</v>
      </c>
      <c r="W27" s="53"/>
      <c r="X27" s="53" t="s">
        <v>57</v>
      </c>
      <c r="Y27" s="53" t="s">
        <v>57</v>
      </c>
      <c r="Z27" s="53"/>
      <c r="AA27" s="53" t="s">
        <v>57</v>
      </c>
      <c r="AB27" s="53" t="s">
        <v>57</v>
      </c>
      <c r="AC27" s="53">
        <v>1</v>
      </c>
      <c r="AD27" s="53" t="s">
        <v>59</v>
      </c>
      <c r="AE27" s="53" t="s">
        <v>59</v>
      </c>
      <c r="AF27" s="55" t="s">
        <v>100</v>
      </c>
    </row>
    <row r="28" spans="1:32" ht="12" customHeight="1" x14ac:dyDescent="0.2">
      <c r="A28" s="44" t="s">
        <v>101</v>
      </c>
      <c r="B28" s="46">
        <v>5</v>
      </c>
      <c r="C28" s="58" t="s">
        <v>54</v>
      </c>
      <c r="D28" s="372">
        <v>1.2333333333333334</v>
      </c>
      <c r="E28" s="46" t="s">
        <v>50</v>
      </c>
      <c r="F28" s="46" t="s">
        <v>50</v>
      </c>
      <c r="G28" s="46" t="s">
        <v>48</v>
      </c>
      <c r="H28" s="46" t="s">
        <v>24</v>
      </c>
      <c r="I28" s="46" t="s">
        <v>48</v>
      </c>
      <c r="J28" s="46" t="s">
        <v>50</v>
      </c>
      <c r="K28" s="46" t="s">
        <v>48</v>
      </c>
      <c r="L28" s="46" t="s">
        <v>62</v>
      </c>
      <c r="M28" s="46" t="s">
        <v>48</v>
      </c>
      <c r="N28" s="46" t="s">
        <v>48</v>
      </c>
      <c r="O28" s="46" t="s">
        <v>50</v>
      </c>
      <c r="P28" s="57" t="s">
        <v>53</v>
      </c>
      <c r="Q28" s="53" t="s">
        <v>783</v>
      </c>
      <c r="R28" s="46" t="s">
        <v>48</v>
      </c>
      <c r="S28" s="46" t="s">
        <v>55</v>
      </c>
      <c r="T28" s="46" t="s">
        <v>24</v>
      </c>
      <c r="U28" s="47">
        <v>140000</v>
      </c>
      <c r="V28" s="46" t="s">
        <v>50</v>
      </c>
      <c r="W28" s="53"/>
      <c r="X28" s="53" t="s">
        <v>57</v>
      </c>
      <c r="Y28" s="53" t="s">
        <v>57</v>
      </c>
      <c r="Z28" s="53"/>
      <c r="AA28" s="53" t="s">
        <v>57</v>
      </c>
      <c r="AB28" s="53" t="s">
        <v>57</v>
      </c>
      <c r="AC28" s="53">
        <v>1</v>
      </c>
      <c r="AD28" s="53" t="s">
        <v>59</v>
      </c>
      <c r="AE28" s="53" t="s">
        <v>59</v>
      </c>
      <c r="AF28" s="55" t="s">
        <v>101</v>
      </c>
    </row>
    <row r="29" spans="1:32" ht="12" customHeight="1" x14ac:dyDescent="0.2">
      <c r="A29" s="44" t="s">
        <v>801</v>
      </c>
      <c r="B29" s="46">
        <v>60</v>
      </c>
      <c r="C29" s="58" t="s">
        <v>315</v>
      </c>
      <c r="D29" s="372">
        <v>0.255</v>
      </c>
      <c r="E29" s="46" t="s">
        <v>48</v>
      </c>
      <c r="F29" s="46" t="s">
        <v>48</v>
      </c>
      <c r="G29" s="46" t="s">
        <v>48</v>
      </c>
      <c r="H29" s="46" t="s">
        <v>24</v>
      </c>
      <c r="I29" s="46" t="s">
        <v>48</v>
      </c>
      <c r="J29" s="46" t="s">
        <v>48</v>
      </c>
      <c r="K29" s="46" t="s">
        <v>48</v>
      </c>
      <c r="L29" s="46" t="s">
        <v>96</v>
      </c>
      <c r="M29" s="46" t="s">
        <v>48</v>
      </c>
      <c r="N29" s="46" t="s">
        <v>48</v>
      </c>
      <c r="O29" s="46" t="s">
        <v>55</v>
      </c>
      <c r="P29" s="57" t="s">
        <v>63</v>
      </c>
      <c r="Q29" s="53" t="s">
        <v>49</v>
      </c>
      <c r="R29" s="46" t="s">
        <v>48</v>
      </c>
      <c r="S29" s="46" t="s">
        <v>85</v>
      </c>
      <c r="T29" s="46" t="s">
        <v>56</v>
      </c>
      <c r="U29" s="47">
        <v>18000</v>
      </c>
      <c r="V29" s="46" t="s">
        <v>48</v>
      </c>
      <c r="W29" s="53" t="s">
        <v>57</v>
      </c>
      <c r="X29" s="53" t="s">
        <v>57</v>
      </c>
      <c r="Y29" s="53"/>
      <c r="Z29" s="53"/>
      <c r="AA29" s="53" t="s">
        <v>57</v>
      </c>
      <c r="AB29" s="53" t="s">
        <v>57</v>
      </c>
      <c r="AC29" s="53" t="s">
        <v>64</v>
      </c>
      <c r="AD29" s="53" t="s">
        <v>65</v>
      </c>
      <c r="AE29" s="53" t="s">
        <v>66</v>
      </c>
      <c r="AF29" s="55" t="s">
        <v>570</v>
      </c>
    </row>
    <row r="30" spans="1:32" ht="12" customHeight="1" x14ac:dyDescent="0.2">
      <c r="A30" s="44" t="s">
        <v>802</v>
      </c>
      <c r="B30" s="46">
        <v>40</v>
      </c>
      <c r="C30" s="58" t="s">
        <v>315</v>
      </c>
      <c r="D30" s="372">
        <v>0.255</v>
      </c>
      <c r="E30" s="46" t="s">
        <v>48</v>
      </c>
      <c r="F30" s="46" t="s">
        <v>48</v>
      </c>
      <c r="G30" s="46" t="s">
        <v>48</v>
      </c>
      <c r="H30" s="46" t="s">
        <v>24</v>
      </c>
      <c r="I30" s="46" t="s">
        <v>48</v>
      </c>
      <c r="J30" s="46" t="s">
        <v>48</v>
      </c>
      <c r="K30" s="46" t="s">
        <v>48</v>
      </c>
      <c r="L30" s="46" t="s">
        <v>96</v>
      </c>
      <c r="M30" s="46" t="s">
        <v>48</v>
      </c>
      <c r="N30" s="46" t="s">
        <v>48</v>
      </c>
      <c r="O30" s="46" t="s">
        <v>55</v>
      </c>
      <c r="P30" s="57" t="s">
        <v>63</v>
      </c>
      <c r="Q30" s="53" t="s">
        <v>49</v>
      </c>
      <c r="R30" s="46" t="s">
        <v>48</v>
      </c>
      <c r="S30" s="46" t="s">
        <v>85</v>
      </c>
      <c r="T30" s="46" t="s">
        <v>56</v>
      </c>
      <c r="U30" s="47">
        <v>18001</v>
      </c>
      <c r="V30" s="46" t="s">
        <v>48</v>
      </c>
      <c r="W30" s="53" t="s">
        <v>57</v>
      </c>
      <c r="X30" s="53" t="s">
        <v>57</v>
      </c>
      <c r="Y30" s="53"/>
      <c r="Z30" s="53"/>
      <c r="AA30" s="53" t="s">
        <v>57</v>
      </c>
      <c r="AB30" s="53" t="s">
        <v>57</v>
      </c>
      <c r="AC30" s="53" t="s">
        <v>569</v>
      </c>
      <c r="AD30" s="53" t="s">
        <v>65</v>
      </c>
      <c r="AE30" s="53" t="s">
        <v>66</v>
      </c>
      <c r="AF30" s="55" t="s">
        <v>571</v>
      </c>
    </row>
    <row r="31" spans="1:32" ht="12" customHeight="1" x14ac:dyDescent="0.2">
      <c r="A31" s="44" t="s">
        <v>102</v>
      </c>
      <c r="B31" s="46">
        <v>15</v>
      </c>
      <c r="C31" s="58" t="s">
        <v>72</v>
      </c>
      <c r="D31" s="372">
        <v>0.93333333333333324</v>
      </c>
      <c r="E31" s="46" t="s">
        <v>48</v>
      </c>
      <c r="F31" s="46" t="s">
        <v>48</v>
      </c>
      <c r="G31" s="46" t="s">
        <v>48</v>
      </c>
      <c r="H31" s="46" t="s">
        <v>24</v>
      </c>
      <c r="I31" s="46" t="s">
        <v>50</v>
      </c>
      <c r="J31" s="46" t="s">
        <v>48</v>
      </c>
      <c r="K31" s="46" t="s">
        <v>48</v>
      </c>
      <c r="L31" s="46" t="s">
        <v>62</v>
      </c>
      <c r="M31" s="46" t="s">
        <v>48</v>
      </c>
      <c r="N31" s="46" t="s">
        <v>50</v>
      </c>
      <c r="O31" s="46" t="s">
        <v>50</v>
      </c>
      <c r="P31" s="57" t="s">
        <v>63</v>
      </c>
      <c r="Q31" s="53" t="s">
        <v>783</v>
      </c>
      <c r="R31" s="46" t="s">
        <v>50</v>
      </c>
      <c r="S31" s="46" t="s">
        <v>56</v>
      </c>
      <c r="T31" s="46" t="s">
        <v>56</v>
      </c>
      <c r="U31" s="47">
        <v>190000</v>
      </c>
      <c r="V31" s="46" t="s">
        <v>48</v>
      </c>
      <c r="W31" s="53"/>
      <c r="X31" s="53"/>
      <c r="Y31" s="53"/>
      <c r="Z31" s="53"/>
      <c r="AA31" s="53"/>
      <c r="AB31" s="53"/>
      <c r="AC31" s="53"/>
      <c r="AD31" s="53" t="s">
        <v>65</v>
      </c>
      <c r="AE31" s="53" t="s">
        <v>66</v>
      </c>
      <c r="AF31" s="55" t="s">
        <v>102</v>
      </c>
    </row>
    <row r="32" spans="1:32" ht="12" customHeight="1" x14ac:dyDescent="0.2">
      <c r="A32" s="44" t="s">
        <v>103</v>
      </c>
      <c r="B32" s="46">
        <v>30</v>
      </c>
      <c r="C32" s="58" t="s">
        <v>317</v>
      </c>
      <c r="D32" s="372">
        <v>1.4</v>
      </c>
      <c r="E32" s="46" t="s">
        <v>50</v>
      </c>
      <c r="F32" s="46" t="s">
        <v>50</v>
      </c>
      <c r="G32" s="46" t="s">
        <v>48</v>
      </c>
      <c r="H32" s="46" t="s">
        <v>24</v>
      </c>
      <c r="I32" s="46" t="s">
        <v>50</v>
      </c>
      <c r="J32" s="46" t="s">
        <v>52</v>
      </c>
      <c r="K32" s="46" t="s">
        <v>52</v>
      </c>
      <c r="L32" s="46" t="s">
        <v>104</v>
      </c>
      <c r="M32" s="46" t="s">
        <v>50</v>
      </c>
      <c r="N32" s="46" t="s">
        <v>48</v>
      </c>
      <c r="O32" s="46" t="s">
        <v>55</v>
      </c>
      <c r="P32" s="57" t="s">
        <v>71</v>
      </c>
      <c r="Q32" s="53" t="s">
        <v>24</v>
      </c>
      <c r="R32" s="46" t="s">
        <v>50</v>
      </c>
      <c r="S32" s="46" t="s">
        <v>56</v>
      </c>
      <c r="T32" s="46" t="s">
        <v>56</v>
      </c>
      <c r="U32" s="47">
        <v>15000</v>
      </c>
      <c r="V32" s="46" t="s">
        <v>52</v>
      </c>
      <c r="W32" s="53"/>
      <c r="X32" s="53"/>
      <c r="Y32" s="53"/>
      <c r="Z32" s="53"/>
      <c r="AA32" s="53" t="s">
        <v>57</v>
      </c>
      <c r="AB32" s="53" t="s">
        <v>57</v>
      </c>
      <c r="AC32" s="53">
        <v>4</v>
      </c>
      <c r="AD32" s="53" t="s">
        <v>60</v>
      </c>
      <c r="AE32" s="53" t="s">
        <v>60</v>
      </c>
      <c r="AF32" s="55" t="s">
        <v>103</v>
      </c>
    </row>
    <row r="33" spans="1:32" ht="12" customHeight="1" x14ac:dyDescent="0.2">
      <c r="A33" s="51" t="s">
        <v>105</v>
      </c>
      <c r="B33" s="46">
        <v>15</v>
      </c>
      <c r="C33" s="58" t="s">
        <v>72</v>
      </c>
      <c r="D33" s="372">
        <v>1.62</v>
      </c>
      <c r="E33" s="46" t="s">
        <v>48</v>
      </c>
      <c r="F33" s="46" t="s">
        <v>48</v>
      </c>
      <c r="G33" s="46" t="s">
        <v>48</v>
      </c>
      <c r="H33" s="46" t="s">
        <v>24</v>
      </c>
      <c r="I33" s="46" t="s">
        <v>48</v>
      </c>
      <c r="J33" s="46" t="s">
        <v>48</v>
      </c>
      <c r="K33" s="46" t="s">
        <v>48</v>
      </c>
      <c r="L33" s="46" t="s">
        <v>62</v>
      </c>
      <c r="M33" s="46" t="s">
        <v>48</v>
      </c>
      <c r="N33" s="46" t="s">
        <v>48</v>
      </c>
      <c r="O33" s="46" t="s">
        <v>55</v>
      </c>
      <c r="P33" s="57" t="s">
        <v>84</v>
      </c>
      <c r="Q33" s="53" t="s">
        <v>24</v>
      </c>
      <c r="R33" s="46" t="s">
        <v>50</v>
      </c>
      <c r="S33" s="46" t="s">
        <v>56</v>
      </c>
      <c r="T33" s="46" t="s">
        <v>85</v>
      </c>
      <c r="U33" s="47">
        <v>17000</v>
      </c>
      <c r="V33" s="46" t="s">
        <v>52</v>
      </c>
      <c r="W33" s="53"/>
      <c r="X33" s="53"/>
      <c r="Y33" s="53" t="s">
        <v>57</v>
      </c>
      <c r="Z33" s="53" t="s">
        <v>57</v>
      </c>
      <c r="AA33" s="53" t="s">
        <v>57</v>
      </c>
      <c r="AB33" s="53" t="s">
        <v>57</v>
      </c>
      <c r="AC33" s="53" t="s">
        <v>64</v>
      </c>
      <c r="AD33" s="53" t="s">
        <v>65</v>
      </c>
      <c r="AE33" s="53" t="s">
        <v>60</v>
      </c>
      <c r="AF33" s="56" t="s">
        <v>105</v>
      </c>
    </row>
    <row r="34" spans="1:32" ht="12" customHeight="1" x14ac:dyDescent="0.2">
      <c r="A34" s="44" t="s">
        <v>106</v>
      </c>
      <c r="B34" s="46">
        <v>5</v>
      </c>
      <c r="C34" s="58" t="s">
        <v>72</v>
      </c>
      <c r="D34" s="372">
        <v>2.73</v>
      </c>
      <c r="E34" s="46" t="s">
        <v>48</v>
      </c>
      <c r="F34" s="46" t="s">
        <v>48</v>
      </c>
      <c r="G34" s="46" t="s">
        <v>48</v>
      </c>
      <c r="H34" s="46" t="s">
        <v>24</v>
      </c>
      <c r="I34" s="46" t="s">
        <v>48</v>
      </c>
      <c r="J34" s="46" t="s">
        <v>48</v>
      </c>
      <c r="K34" s="46" t="s">
        <v>48</v>
      </c>
      <c r="L34" s="46" t="s">
        <v>62</v>
      </c>
      <c r="M34" s="46" t="s">
        <v>48</v>
      </c>
      <c r="N34" s="46" t="s">
        <v>48</v>
      </c>
      <c r="O34" s="46" t="s">
        <v>55</v>
      </c>
      <c r="P34" s="57" t="s">
        <v>84</v>
      </c>
      <c r="Q34" s="53" t="s">
        <v>24</v>
      </c>
      <c r="R34" s="46" t="s">
        <v>50</v>
      </c>
      <c r="S34" s="46" t="s">
        <v>56</v>
      </c>
      <c r="T34" s="46" t="s">
        <v>85</v>
      </c>
      <c r="U34" s="47">
        <v>17000</v>
      </c>
      <c r="V34" s="46" t="s">
        <v>52</v>
      </c>
      <c r="W34" s="53"/>
      <c r="X34" s="53"/>
      <c r="Y34" s="53" t="s">
        <v>57</v>
      </c>
      <c r="Z34" s="53" t="s">
        <v>57</v>
      </c>
      <c r="AA34" s="53" t="s">
        <v>57</v>
      </c>
      <c r="AB34" s="53" t="s">
        <v>57</v>
      </c>
      <c r="AC34" s="53" t="s">
        <v>64</v>
      </c>
      <c r="AD34" s="53" t="s">
        <v>65</v>
      </c>
      <c r="AE34" s="53" t="s">
        <v>60</v>
      </c>
      <c r="AF34" s="55" t="s">
        <v>106</v>
      </c>
    </row>
    <row r="35" spans="1:32" ht="12" customHeight="1" x14ac:dyDescent="0.2">
      <c r="A35" s="44" t="s">
        <v>11</v>
      </c>
      <c r="B35" s="46">
        <v>35</v>
      </c>
      <c r="C35" s="58" t="s">
        <v>87</v>
      </c>
      <c r="D35" s="372">
        <v>0.82</v>
      </c>
      <c r="E35" s="46" t="s">
        <v>50</v>
      </c>
      <c r="F35" s="46" t="s">
        <v>52</v>
      </c>
      <c r="G35" s="46" t="s">
        <v>50</v>
      </c>
      <c r="H35" s="46" t="s">
        <v>49</v>
      </c>
      <c r="I35" s="46" t="s">
        <v>50</v>
      </c>
      <c r="J35" s="46" t="s">
        <v>50</v>
      </c>
      <c r="K35" s="46" t="s">
        <v>50</v>
      </c>
      <c r="L35" s="46" t="s">
        <v>80</v>
      </c>
      <c r="M35" s="46" t="s">
        <v>50</v>
      </c>
      <c r="N35" s="46" t="s">
        <v>50</v>
      </c>
      <c r="O35" s="46" t="s">
        <v>55</v>
      </c>
      <c r="P35" s="57" t="s">
        <v>71</v>
      </c>
      <c r="Q35" s="53" t="s">
        <v>24</v>
      </c>
      <c r="R35" s="46" t="s">
        <v>52</v>
      </c>
      <c r="S35" s="46" t="s">
        <v>55</v>
      </c>
      <c r="T35" s="46" t="s">
        <v>56</v>
      </c>
      <c r="U35" s="47">
        <v>3000</v>
      </c>
      <c r="V35" s="46" t="s">
        <v>50</v>
      </c>
      <c r="W35" s="53"/>
      <c r="X35" s="53"/>
      <c r="Y35" s="53"/>
      <c r="Z35" s="53"/>
      <c r="AA35" s="53" t="s">
        <v>57</v>
      </c>
      <c r="AB35" s="53" t="s">
        <v>57</v>
      </c>
      <c r="AC35" s="53" t="s">
        <v>88</v>
      </c>
      <c r="AD35" s="53" t="s">
        <v>60</v>
      </c>
      <c r="AE35" s="53" t="s">
        <v>60</v>
      </c>
      <c r="AF35" s="55" t="s">
        <v>11</v>
      </c>
    </row>
    <row r="36" spans="1:32" ht="12" customHeight="1" x14ac:dyDescent="0.2">
      <c r="A36" s="44" t="s">
        <v>107</v>
      </c>
      <c r="B36" s="46">
        <v>20</v>
      </c>
      <c r="C36" s="58" t="s">
        <v>72</v>
      </c>
      <c r="D36" s="372">
        <v>1.5833333333333333</v>
      </c>
      <c r="E36" s="46" t="s">
        <v>48</v>
      </c>
      <c r="F36" s="46" t="s">
        <v>48</v>
      </c>
      <c r="G36" s="46" t="s">
        <v>48</v>
      </c>
      <c r="H36" s="46" t="s">
        <v>24</v>
      </c>
      <c r="I36" s="46" t="s">
        <v>48</v>
      </c>
      <c r="J36" s="46" t="s">
        <v>48</v>
      </c>
      <c r="K36" s="46" t="s">
        <v>48</v>
      </c>
      <c r="L36" s="46" t="s">
        <v>62</v>
      </c>
      <c r="M36" s="46" t="s">
        <v>48</v>
      </c>
      <c r="N36" s="46" t="s">
        <v>48</v>
      </c>
      <c r="O36" s="46" t="s">
        <v>55</v>
      </c>
      <c r="P36" s="57" t="s">
        <v>84</v>
      </c>
      <c r="Q36" s="53" t="s">
        <v>24</v>
      </c>
      <c r="R36" s="46" t="s">
        <v>50</v>
      </c>
      <c r="S36" s="46" t="s">
        <v>56</v>
      </c>
      <c r="T36" s="46" t="s">
        <v>85</v>
      </c>
      <c r="U36" s="47">
        <v>25000</v>
      </c>
      <c r="V36" s="46" t="s">
        <v>52</v>
      </c>
      <c r="W36" s="53"/>
      <c r="X36" s="53"/>
      <c r="Y36" s="53" t="s">
        <v>57</v>
      </c>
      <c r="Z36" s="53" t="s">
        <v>57</v>
      </c>
      <c r="AA36" s="53" t="s">
        <v>57</v>
      </c>
      <c r="AB36" s="53" t="s">
        <v>57</v>
      </c>
      <c r="AC36" s="53" t="s">
        <v>64</v>
      </c>
      <c r="AD36" s="53" t="s">
        <v>65</v>
      </c>
      <c r="AE36" s="53" t="s">
        <v>60</v>
      </c>
      <c r="AF36" s="55" t="s">
        <v>107</v>
      </c>
    </row>
    <row r="37" spans="1:32" ht="12" customHeight="1" x14ac:dyDescent="0.2">
      <c r="A37" s="44" t="s">
        <v>108</v>
      </c>
      <c r="B37" s="46">
        <v>4</v>
      </c>
      <c r="C37" s="58" t="s">
        <v>68</v>
      </c>
      <c r="D37" s="372">
        <v>4.55</v>
      </c>
      <c r="E37" s="46" t="s">
        <v>50</v>
      </c>
      <c r="F37" s="46" t="s">
        <v>52</v>
      </c>
      <c r="G37" s="46" t="s">
        <v>48</v>
      </c>
      <c r="H37" s="46" t="s">
        <v>24</v>
      </c>
      <c r="I37" s="46" t="s">
        <v>50</v>
      </c>
      <c r="J37" s="46" t="s">
        <v>52</v>
      </c>
      <c r="K37" s="46" t="s">
        <v>48</v>
      </c>
      <c r="L37" s="46" t="s">
        <v>51</v>
      </c>
      <c r="M37" s="46" t="s">
        <v>48</v>
      </c>
      <c r="N37" s="46" t="s">
        <v>48</v>
      </c>
      <c r="O37" s="46" t="s">
        <v>50</v>
      </c>
      <c r="P37" s="57" t="s">
        <v>53</v>
      </c>
      <c r="Q37" s="53" t="s">
        <v>24</v>
      </c>
      <c r="R37" s="46" t="s">
        <v>48</v>
      </c>
      <c r="S37" s="46" t="s">
        <v>55</v>
      </c>
      <c r="T37" s="46" t="s">
        <v>24</v>
      </c>
      <c r="U37" s="47">
        <v>22000</v>
      </c>
      <c r="V37" s="46" t="s">
        <v>52</v>
      </c>
      <c r="W37" s="53"/>
      <c r="X37" s="53" t="s">
        <v>57</v>
      </c>
      <c r="Y37" s="53" t="s">
        <v>57</v>
      </c>
      <c r="Z37" s="53"/>
      <c r="AA37" s="53" t="s">
        <v>57</v>
      </c>
      <c r="AB37" s="53" t="s">
        <v>57</v>
      </c>
      <c r="AC37" s="53">
        <v>1</v>
      </c>
      <c r="AD37" s="53" t="s">
        <v>66</v>
      </c>
      <c r="AE37" s="53" t="s">
        <v>66</v>
      </c>
      <c r="AF37" s="55" t="s">
        <v>108</v>
      </c>
    </row>
    <row r="38" spans="1:32" ht="12" customHeight="1" x14ac:dyDescent="0.2">
      <c r="A38" s="44" t="s">
        <v>109</v>
      </c>
      <c r="B38" s="46">
        <v>7</v>
      </c>
      <c r="C38" s="58" t="s">
        <v>317</v>
      </c>
      <c r="D38" s="372">
        <v>0.7</v>
      </c>
      <c r="E38" s="46" t="s">
        <v>50</v>
      </c>
      <c r="F38" s="46" t="s">
        <v>50</v>
      </c>
      <c r="G38" s="46" t="s">
        <v>48</v>
      </c>
      <c r="H38" s="46" t="s">
        <v>24</v>
      </c>
      <c r="I38" s="46" t="s">
        <v>50</v>
      </c>
      <c r="J38" s="46" t="s">
        <v>52</v>
      </c>
      <c r="K38" s="46" t="s">
        <v>48</v>
      </c>
      <c r="L38" s="46" t="s">
        <v>104</v>
      </c>
      <c r="M38" s="46" t="s">
        <v>50</v>
      </c>
      <c r="N38" s="46" t="s">
        <v>110</v>
      </c>
      <c r="O38" s="46" t="s">
        <v>55</v>
      </c>
      <c r="P38" s="57" t="s">
        <v>71</v>
      </c>
      <c r="Q38" s="53" t="s">
        <v>24</v>
      </c>
      <c r="R38" s="46" t="s">
        <v>50</v>
      </c>
      <c r="S38" s="46" t="s">
        <v>56</v>
      </c>
      <c r="T38" s="46" t="s">
        <v>56</v>
      </c>
      <c r="U38" s="47">
        <v>8000</v>
      </c>
      <c r="V38" s="46" t="s">
        <v>52</v>
      </c>
      <c r="W38" s="53"/>
      <c r="X38" s="53"/>
      <c r="Y38" s="53"/>
      <c r="Z38" s="53"/>
      <c r="AA38" s="53" t="s">
        <v>57</v>
      </c>
      <c r="AB38" s="53" t="s">
        <v>57</v>
      </c>
      <c r="AC38" s="53">
        <v>4</v>
      </c>
      <c r="AD38" s="53" t="s">
        <v>59</v>
      </c>
      <c r="AE38" s="53" t="s">
        <v>59</v>
      </c>
      <c r="AF38" s="55" t="s">
        <v>109</v>
      </c>
    </row>
    <row r="39" spans="1:32" ht="12" customHeight="1" x14ac:dyDescent="0.2">
      <c r="A39" s="44" t="s">
        <v>111</v>
      </c>
      <c r="B39" s="46">
        <v>15</v>
      </c>
      <c r="C39" s="58" t="s">
        <v>318</v>
      </c>
      <c r="D39" s="372">
        <v>1.8</v>
      </c>
      <c r="E39" s="46" t="s">
        <v>50</v>
      </c>
      <c r="F39" s="46" t="s">
        <v>50</v>
      </c>
      <c r="G39" s="46" t="s">
        <v>50</v>
      </c>
      <c r="H39" s="46" t="s">
        <v>49</v>
      </c>
      <c r="I39" s="46" t="s">
        <v>50</v>
      </c>
      <c r="J39" s="46" t="s">
        <v>52</v>
      </c>
      <c r="K39" s="46" t="s">
        <v>50</v>
      </c>
      <c r="L39" s="46" t="s">
        <v>104</v>
      </c>
      <c r="M39" s="46" t="s">
        <v>50</v>
      </c>
      <c r="N39" s="46" t="s">
        <v>50</v>
      </c>
      <c r="O39" s="46" t="s">
        <v>55</v>
      </c>
      <c r="P39" s="57" t="s">
        <v>71</v>
      </c>
      <c r="Q39" s="53" t="s">
        <v>24</v>
      </c>
      <c r="R39" s="46" t="s">
        <v>52</v>
      </c>
      <c r="S39" s="46" t="s">
        <v>55</v>
      </c>
      <c r="T39" s="46" t="s">
        <v>56</v>
      </c>
      <c r="U39" s="47">
        <v>15000</v>
      </c>
      <c r="V39" s="46" t="s">
        <v>52</v>
      </c>
      <c r="W39" s="53"/>
      <c r="X39" s="53"/>
      <c r="Y39" s="53"/>
      <c r="Z39" s="53"/>
      <c r="AA39" s="53"/>
      <c r="AB39" s="53"/>
      <c r="AC39" s="66" t="s">
        <v>112</v>
      </c>
      <c r="AD39" s="53" t="s">
        <v>59</v>
      </c>
      <c r="AE39" s="53" t="s">
        <v>60</v>
      </c>
      <c r="AF39" s="55" t="s">
        <v>111</v>
      </c>
    </row>
    <row r="40" spans="1:32" ht="12" customHeight="1" x14ac:dyDescent="0.2">
      <c r="A40" s="44" t="s">
        <v>113</v>
      </c>
      <c r="B40" s="46">
        <v>5</v>
      </c>
      <c r="C40" s="58" t="s">
        <v>114</v>
      </c>
      <c r="D40" s="372">
        <v>2.5</v>
      </c>
      <c r="E40" s="46" t="s">
        <v>48</v>
      </c>
      <c r="F40" s="46" t="s">
        <v>48</v>
      </c>
      <c r="G40" s="46" t="s">
        <v>50</v>
      </c>
      <c r="H40" s="46" t="s">
        <v>24</v>
      </c>
      <c r="I40" s="46" t="s">
        <v>50</v>
      </c>
      <c r="J40" s="46" t="s">
        <v>48</v>
      </c>
      <c r="K40" s="46" t="s">
        <v>48</v>
      </c>
      <c r="L40" s="46" t="s">
        <v>80</v>
      </c>
      <c r="M40" s="46" t="s">
        <v>48</v>
      </c>
      <c r="N40" s="46" t="s">
        <v>50</v>
      </c>
      <c r="O40" s="46" t="s">
        <v>50</v>
      </c>
      <c r="P40" s="57" t="s">
        <v>84</v>
      </c>
      <c r="Q40" s="53" t="s">
        <v>24</v>
      </c>
      <c r="R40" s="46" t="s">
        <v>52</v>
      </c>
      <c r="S40" s="46" t="s">
        <v>56</v>
      </c>
      <c r="T40" s="46" t="s">
        <v>85</v>
      </c>
      <c r="U40" s="54">
        <v>1000000</v>
      </c>
      <c r="V40" s="46" t="s">
        <v>24</v>
      </c>
      <c r="W40" s="53"/>
      <c r="X40" s="53"/>
      <c r="Y40" s="53" t="s">
        <v>57</v>
      </c>
      <c r="Z40" s="53"/>
      <c r="AA40" s="53"/>
      <c r="AB40" s="53"/>
      <c r="AC40" s="53"/>
      <c r="AD40" s="53" t="s">
        <v>65</v>
      </c>
      <c r="AE40" s="53" t="s">
        <v>66</v>
      </c>
      <c r="AF40" s="55" t="s">
        <v>113</v>
      </c>
    </row>
    <row r="41" spans="1:32" ht="12" customHeight="1" x14ac:dyDescent="0.2">
      <c r="A41" s="44" t="s">
        <v>793</v>
      </c>
      <c r="B41" s="46">
        <v>60</v>
      </c>
      <c r="C41" s="58" t="s">
        <v>72</v>
      </c>
      <c r="D41" s="372">
        <v>0.46499999999999997</v>
      </c>
      <c r="E41" s="46" t="s">
        <v>48</v>
      </c>
      <c r="F41" s="46" t="s">
        <v>48</v>
      </c>
      <c r="G41" s="46" t="s">
        <v>48</v>
      </c>
      <c r="H41" s="46" t="s">
        <v>24</v>
      </c>
      <c r="I41" s="46" t="s">
        <v>48</v>
      </c>
      <c r="J41" s="46" t="s">
        <v>48</v>
      </c>
      <c r="K41" s="46" t="s">
        <v>48</v>
      </c>
      <c r="L41" s="46" t="s">
        <v>96</v>
      </c>
      <c r="M41" s="46" t="s">
        <v>48</v>
      </c>
      <c r="N41" s="46" t="s">
        <v>50</v>
      </c>
      <c r="O41" s="46" t="s">
        <v>55</v>
      </c>
      <c r="P41" s="57" t="s">
        <v>63</v>
      </c>
      <c r="Q41" s="53" t="s">
        <v>49</v>
      </c>
      <c r="R41" s="46" t="s">
        <v>48</v>
      </c>
      <c r="S41" s="46" t="s">
        <v>56</v>
      </c>
      <c r="T41" s="46" t="s">
        <v>56</v>
      </c>
      <c r="U41" s="47">
        <v>15000</v>
      </c>
      <c r="V41" s="46" t="s">
        <v>50</v>
      </c>
      <c r="W41" s="53" t="s">
        <v>57</v>
      </c>
      <c r="X41" s="53" t="s">
        <v>57</v>
      </c>
      <c r="Y41" s="53"/>
      <c r="Z41" s="53"/>
      <c r="AA41" s="53" t="s">
        <v>57</v>
      </c>
      <c r="AB41" s="53" t="s">
        <v>57</v>
      </c>
      <c r="AC41" s="53" t="s">
        <v>64</v>
      </c>
      <c r="AD41" s="53" t="s">
        <v>65</v>
      </c>
      <c r="AE41" s="53" t="s">
        <v>66</v>
      </c>
      <c r="AF41" s="55" t="s">
        <v>793</v>
      </c>
    </row>
    <row r="42" spans="1:32" ht="12" customHeight="1" x14ac:dyDescent="0.2">
      <c r="A42" s="44" t="s">
        <v>794</v>
      </c>
      <c r="B42" s="46">
        <v>40</v>
      </c>
      <c r="C42" s="58" t="s">
        <v>72</v>
      </c>
      <c r="D42" s="372">
        <v>0.46499999999999997</v>
      </c>
      <c r="E42" s="46" t="s">
        <v>48</v>
      </c>
      <c r="F42" s="46" t="s">
        <v>48</v>
      </c>
      <c r="G42" s="46" t="s">
        <v>48</v>
      </c>
      <c r="H42" s="46" t="s">
        <v>24</v>
      </c>
      <c r="I42" s="46" t="s">
        <v>48</v>
      </c>
      <c r="J42" s="46" t="s">
        <v>48</v>
      </c>
      <c r="K42" s="46" t="s">
        <v>48</v>
      </c>
      <c r="L42" s="46" t="s">
        <v>96</v>
      </c>
      <c r="M42" s="46" t="s">
        <v>48</v>
      </c>
      <c r="N42" s="46" t="s">
        <v>50</v>
      </c>
      <c r="O42" s="46" t="s">
        <v>55</v>
      </c>
      <c r="P42" s="57" t="s">
        <v>63</v>
      </c>
      <c r="Q42" s="53" t="s">
        <v>49</v>
      </c>
      <c r="R42" s="46" t="s">
        <v>48</v>
      </c>
      <c r="S42" s="46" t="s">
        <v>56</v>
      </c>
      <c r="T42" s="46" t="s">
        <v>56</v>
      </c>
      <c r="U42" s="47">
        <v>15000</v>
      </c>
      <c r="V42" s="46" t="s">
        <v>50</v>
      </c>
      <c r="W42" s="53" t="s">
        <v>57</v>
      </c>
      <c r="X42" s="53" t="s">
        <v>57</v>
      </c>
      <c r="Y42" s="53"/>
      <c r="Z42" s="53"/>
      <c r="AA42" s="53" t="s">
        <v>57</v>
      </c>
      <c r="AB42" s="53" t="s">
        <v>57</v>
      </c>
      <c r="AC42" s="53" t="s">
        <v>64</v>
      </c>
      <c r="AD42" s="53" t="s">
        <v>65</v>
      </c>
      <c r="AE42" s="53" t="s">
        <v>66</v>
      </c>
      <c r="AF42" s="55" t="s">
        <v>794</v>
      </c>
    </row>
    <row r="43" spans="1:32" ht="12" customHeight="1" x14ac:dyDescent="0.2">
      <c r="A43" s="44" t="s">
        <v>115</v>
      </c>
      <c r="B43" s="46">
        <v>4</v>
      </c>
      <c r="C43" s="58" t="s">
        <v>68</v>
      </c>
      <c r="D43" s="372">
        <v>1.8333333333333333</v>
      </c>
      <c r="E43" s="46" t="s">
        <v>50</v>
      </c>
      <c r="F43" s="46" t="s">
        <v>52</v>
      </c>
      <c r="G43" s="46" t="s">
        <v>48</v>
      </c>
      <c r="H43" s="46" t="s">
        <v>24</v>
      </c>
      <c r="I43" s="46" t="s">
        <v>48</v>
      </c>
      <c r="J43" s="46" t="s">
        <v>52</v>
      </c>
      <c r="K43" s="46" t="s">
        <v>48</v>
      </c>
      <c r="L43" s="46" t="s">
        <v>51</v>
      </c>
      <c r="M43" s="46" t="s">
        <v>48</v>
      </c>
      <c r="N43" s="46" t="s">
        <v>48</v>
      </c>
      <c r="O43" s="46" t="s">
        <v>50</v>
      </c>
      <c r="P43" s="57" t="s">
        <v>53</v>
      </c>
      <c r="Q43" s="53" t="s">
        <v>783</v>
      </c>
      <c r="R43" s="46" t="s">
        <v>52</v>
      </c>
      <c r="S43" s="46" t="s">
        <v>55</v>
      </c>
      <c r="T43" s="46" t="s">
        <v>24</v>
      </c>
      <c r="U43" s="47">
        <v>175000</v>
      </c>
      <c r="V43" s="46" t="s">
        <v>52</v>
      </c>
      <c r="W43" s="53"/>
      <c r="X43" s="53" t="s">
        <v>57</v>
      </c>
      <c r="Y43" s="53" t="s">
        <v>57</v>
      </c>
      <c r="Z43" s="53"/>
      <c r="AA43" s="53" t="s">
        <v>57</v>
      </c>
      <c r="AB43" s="53" t="s">
        <v>57</v>
      </c>
      <c r="AC43" s="53">
        <v>1</v>
      </c>
      <c r="AD43" s="53" t="s">
        <v>59</v>
      </c>
      <c r="AE43" s="53" t="s">
        <v>59</v>
      </c>
      <c r="AF43" s="55" t="s">
        <v>115</v>
      </c>
    </row>
    <row r="44" spans="1:32" ht="12" customHeight="1" x14ac:dyDescent="0.2">
      <c r="A44" s="44" t="s">
        <v>116</v>
      </c>
      <c r="B44" s="46">
        <v>50</v>
      </c>
      <c r="C44" s="58" t="s">
        <v>72</v>
      </c>
      <c r="D44" s="372">
        <v>1.19</v>
      </c>
      <c r="E44" s="46" t="s">
        <v>50</v>
      </c>
      <c r="F44" s="46" t="s">
        <v>50</v>
      </c>
      <c r="G44" s="46" t="s">
        <v>50</v>
      </c>
      <c r="H44" s="46" t="s">
        <v>49</v>
      </c>
      <c r="I44" s="46" t="s">
        <v>50</v>
      </c>
      <c r="J44" s="46" t="s">
        <v>50</v>
      </c>
      <c r="K44" s="46" t="s">
        <v>52</v>
      </c>
      <c r="L44" s="46" t="s">
        <v>70</v>
      </c>
      <c r="M44" s="46" t="s">
        <v>50</v>
      </c>
      <c r="N44" s="46" t="s">
        <v>50</v>
      </c>
      <c r="O44" s="46" t="s">
        <v>55</v>
      </c>
      <c r="P44" s="57" t="s">
        <v>53</v>
      </c>
      <c r="Q44" s="53" t="s">
        <v>24</v>
      </c>
      <c r="R44" s="46" t="s">
        <v>52</v>
      </c>
      <c r="S44" s="46" t="s">
        <v>55</v>
      </c>
      <c r="T44" s="46" t="s">
        <v>56</v>
      </c>
      <c r="U44" s="47">
        <v>2500</v>
      </c>
      <c r="V44" s="46" t="s">
        <v>50</v>
      </c>
      <c r="W44" s="53"/>
      <c r="X44" s="53"/>
      <c r="Y44" s="53"/>
      <c r="Z44" s="53"/>
      <c r="AA44" s="53"/>
      <c r="AB44" s="53"/>
      <c r="AC44" s="53" t="s">
        <v>88</v>
      </c>
      <c r="AD44" s="53" t="s">
        <v>59</v>
      </c>
      <c r="AE44" s="53" t="s">
        <v>59</v>
      </c>
      <c r="AF44" s="55" t="s">
        <v>116</v>
      </c>
    </row>
    <row r="45" spans="1:32" ht="12" customHeight="1" x14ac:dyDescent="0.2">
      <c r="A45" s="44" t="s">
        <v>117</v>
      </c>
      <c r="B45" s="46">
        <v>25</v>
      </c>
      <c r="C45" s="58" t="s">
        <v>72</v>
      </c>
      <c r="D45" s="372">
        <v>1.6766666666666665</v>
      </c>
      <c r="E45" s="46" t="s">
        <v>50</v>
      </c>
      <c r="F45" s="46" t="s">
        <v>50</v>
      </c>
      <c r="G45" s="46" t="s">
        <v>50</v>
      </c>
      <c r="H45" s="46" t="s">
        <v>49</v>
      </c>
      <c r="I45" s="46" t="s">
        <v>50</v>
      </c>
      <c r="J45" s="46" t="s">
        <v>50</v>
      </c>
      <c r="K45" s="46" t="s">
        <v>48</v>
      </c>
      <c r="L45" s="46" t="s">
        <v>80</v>
      </c>
      <c r="M45" s="46" t="s">
        <v>50</v>
      </c>
      <c r="N45" s="46" t="s">
        <v>50</v>
      </c>
      <c r="O45" s="46" t="s">
        <v>55</v>
      </c>
      <c r="P45" s="57" t="s">
        <v>53</v>
      </c>
      <c r="Q45" s="53" t="s">
        <v>24</v>
      </c>
      <c r="R45" s="46" t="s">
        <v>52</v>
      </c>
      <c r="S45" s="46" t="s">
        <v>55</v>
      </c>
      <c r="T45" s="46" t="s">
        <v>56</v>
      </c>
      <c r="U45" s="47">
        <v>8000</v>
      </c>
      <c r="V45" s="46" t="s">
        <v>50</v>
      </c>
      <c r="W45" s="53"/>
      <c r="X45" s="53"/>
      <c r="Y45" s="53"/>
      <c r="Z45" s="53"/>
      <c r="AA45" s="53" t="s">
        <v>57</v>
      </c>
      <c r="AB45" s="53"/>
      <c r="AC45" s="53" t="s">
        <v>58</v>
      </c>
      <c r="AD45" s="53" t="s">
        <v>59</v>
      </c>
      <c r="AE45" s="53" t="s">
        <v>59</v>
      </c>
      <c r="AF45" s="55" t="s">
        <v>117</v>
      </c>
    </row>
    <row r="46" spans="1:32" ht="12" customHeight="1" x14ac:dyDescent="0.2">
      <c r="A46" s="44" t="s">
        <v>118</v>
      </c>
      <c r="B46" s="46">
        <v>15</v>
      </c>
      <c r="C46" s="58" t="s">
        <v>72</v>
      </c>
      <c r="D46" s="372">
        <v>2.95</v>
      </c>
      <c r="E46" s="46" t="s">
        <v>48</v>
      </c>
      <c r="F46" s="46" t="s">
        <v>50</v>
      </c>
      <c r="G46" s="46" t="s">
        <v>50</v>
      </c>
      <c r="H46" s="46" t="s">
        <v>49</v>
      </c>
      <c r="I46" s="46" t="s">
        <v>50</v>
      </c>
      <c r="J46" s="46" t="s">
        <v>50</v>
      </c>
      <c r="K46" s="46" t="s">
        <v>50</v>
      </c>
      <c r="L46" s="46" t="s">
        <v>80</v>
      </c>
      <c r="M46" s="46" t="s">
        <v>48</v>
      </c>
      <c r="N46" s="46" t="s">
        <v>50</v>
      </c>
      <c r="O46" s="46" t="s">
        <v>55</v>
      </c>
      <c r="P46" s="57" t="s">
        <v>53</v>
      </c>
      <c r="Q46" s="53" t="s">
        <v>49</v>
      </c>
      <c r="R46" s="46" t="s">
        <v>52</v>
      </c>
      <c r="S46" s="46" t="s">
        <v>55</v>
      </c>
      <c r="T46" s="46" t="s">
        <v>56</v>
      </c>
      <c r="U46" s="47">
        <v>14000</v>
      </c>
      <c r="V46" s="46" t="s">
        <v>48</v>
      </c>
      <c r="W46" s="53"/>
      <c r="X46" s="53" t="s">
        <v>57</v>
      </c>
      <c r="Y46" s="53"/>
      <c r="Z46" s="53"/>
      <c r="AA46" s="53" t="s">
        <v>57</v>
      </c>
      <c r="AB46" s="53" t="s">
        <v>57</v>
      </c>
      <c r="AC46" s="53" t="s">
        <v>64</v>
      </c>
      <c r="AD46" s="53" t="s">
        <v>59</v>
      </c>
      <c r="AE46" s="53" t="s">
        <v>59</v>
      </c>
      <c r="AF46" s="55" t="s">
        <v>118</v>
      </c>
    </row>
    <row r="47" spans="1:32" ht="12" customHeight="1" x14ac:dyDescent="0.2">
      <c r="A47" s="44" t="s">
        <v>119</v>
      </c>
      <c r="B47" s="46">
        <v>60</v>
      </c>
      <c r="C47" s="58" t="s">
        <v>72</v>
      </c>
      <c r="D47" s="372">
        <v>0.26</v>
      </c>
      <c r="E47" s="46" t="s">
        <v>48</v>
      </c>
      <c r="F47" s="46" t="s">
        <v>48</v>
      </c>
      <c r="G47" s="46" t="s">
        <v>48</v>
      </c>
      <c r="H47" s="46" t="s">
        <v>24</v>
      </c>
      <c r="I47" s="46" t="s">
        <v>48</v>
      </c>
      <c r="J47" s="46" t="s">
        <v>48</v>
      </c>
      <c r="K47" s="46" t="s">
        <v>48</v>
      </c>
      <c r="L47" s="46" t="s">
        <v>96</v>
      </c>
      <c r="M47" s="46" t="s">
        <v>48</v>
      </c>
      <c r="N47" s="46" t="s">
        <v>50</v>
      </c>
      <c r="O47" s="46" t="s">
        <v>55</v>
      </c>
      <c r="P47" s="57" t="s">
        <v>63</v>
      </c>
      <c r="Q47" s="53" t="s">
        <v>24</v>
      </c>
      <c r="R47" s="46" t="s">
        <v>48</v>
      </c>
      <c r="S47" s="46" t="s">
        <v>56</v>
      </c>
      <c r="T47" s="46" t="s">
        <v>56</v>
      </c>
      <c r="U47" s="47">
        <v>15000</v>
      </c>
      <c r="V47" s="46" t="s">
        <v>50</v>
      </c>
      <c r="W47" s="53" t="s">
        <v>57</v>
      </c>
      <c r="X47" s="53" t="s">
        <v>57</v>
      </c>
      <c r="Y47" s="53"/>
      <c r="Z47" s="53"/>
      <c r="AA47" s="53" t="s">
        <v>57</v>
      </c>
      <c r="AB47" s="53" t="s">
        <v>57</v>
      </c>
      <c r="AC47" s="53" t="s">
        <v>64</v>
      </c>
      <c r="AD47" s="53" t="s">
        <v>65</v>
      </c>
      <c r="AE47" s="53" t="s">
        <v>66</v>
      </c>
      <c r="AF47" s="55" t="s">
        <v>119</v>
      </c>
    </row>
    <row r="48" spans="1:32" ht="12" customHeight="1" x14ac:dyDescent="0.2">
      <c r="A48" s="189" t="s">
        <v>796</v>
      </c>
      <c r="B48" s="190">
        <v>60</v>
      </c>
      <c r="C48" s="193" t="s">
        <v>315</v>
      </c>
      <c r="D48" s="372">
        <v>0.25</v>
      </c>
      <c r="E48" s="190" t="s">
        <v>48</v>
      </c>
      <c r="F48" s="190" t="s">
        <v>48</v>
      </c>
      <c r="G48" s="190" t="s">
        <v>48</v>
      </c>
      <c r="H48" s="190" t="s">
        <v>24</v>
      </c>
      <c r="I48" s="190" t="s">
        <v>48</v>
      </c>
      <c r="J48" s="190" t="s">
        <v>48</v>
      </c>
      <c r="K48" s="190" t="s">
        <v>48</v>
      </c>
      <c r="L48" s="190" t="s">
        <v>96</v>
      </c>
      <c r="M48" s="190" t="s">
        <v>48</v>
      </c>
      <c r="N48" s="190" t="s">
        <v>50</v>
      </c>
      <c r="O48" s="190" t="s">
        <v>55</v>
      </c>
      <c r="P48" s="191" t="s">
        <v>63</v>
      </c>
      <c r="Q48" s="192" t="s">
        <v>49</v>
      </c>
      <c r="R48" s="190" t="s">
        <v>48</v>
      </c>
      <c r="S48" s="190" t="s">
        <v>56</v>
      </c>
      <c r="T48" s="190" t="s">
        <v>56</v>
      </c>
      <c r="U48" s="194">
        <v>15000</v>
      </c>
      <c r="V48" s="190" t="s">
        <v>50</v>
      </c>
      <c r="W48" s="192" t="s">
        <v>57</v>
      </c>
      <c r="X48" s="192" t="s">
        <v>57</v>
      </c>
      <c r="Y48" s="192"/>
      <c r="Z48" s="192"/>
      <c r="AA48" s="192" t="s">
        <v>57</v>
      </c>
      <c r="AB48" s="192" t="s">
        <v>57</v>
      </c>
      <c r="AC48" s="192" t="s">
        <v>64</v>
      </c>
      <c r="AD48" s="192" t="s">
        <v>65</v>
      </c>
      <c r="AE48" s="192" t="s">
        <v>66</v>
      </c>
      <c r="AF48" s="195" t="s">
        <v>796</v>
      </c>
    </row>
    <row r="49" spans="1:32" ht="12" customHeight="1" x14ac:dyDescent="0.2">
      <c r="A49" s="189" t="s">
        <v>795</v>
      </c>
      <c r="B49" s="190">
        <v>40</v>
      </c>
      <c r="C49" s="193" t="s">
        <v>315</v>
      </c>
      <c r="D49" s="372">
        <v>0.25</v>
      </c>
      <c r="E49" s="190" t="s">
        <v>48</v>
      </c>
      <c r="F49" s="190" t="s">
        <v>48</v>
      </c>
      <c r="G49" s="190" t="s">
        <v>48</v>
      </c>
      <c r="H49" s="190" t="s">
        <v>24</v>
      </c>
      <c r="I49" s="190" t="s">
        <v>48</v>
      </c>
      <c r="J49" s="190" t="s">
        <v>48</v>
      </c>
      <c r="K49" s="190" t="s">
        <v>48</v>
      </c>
      <c r="L49" s="190" t="s">
        <v>96</v>
      </c>
      <c r="M49" s="190" t="s">
        <v>48</v>
      </c>
      <c r="N49" s="190" t="s">
        <v>50</v>
      </c>
      <c r="O49" s="190" t="s">
        <v>55</v>
      </c>
      <c r="P49" s="191" t="s">
        <v>63</v>
      </c>
      <c r="Q49" s="192" t="s">
        <v>49</v>
      </c>
      <c r="R49" s="190" t="s">
        <v>48</v>
      </c>
      <c r="S49" s="190" t="s">
        <v>56</v>
      </c>
      <c r="T49" s="190" t="s">
        <v>56</v>
      </c>
      <c r="U49" s="194">
        <v>15000</v>
      </c>
      <c r="V49" s="190" t="s">
        <v>50</v>
      </c>
      <c r="W49" s="192" t="s">
        <v>57</v>
      </c>
      <c r="X49" s="192" t="s">
        <v>57</v>
      </c>
      <c r="Y49" s="192"/>
      <c r="Z49" s="192"/>
      <c r="AA49" s="192" t="s">
        <v>57</v>
      </c>
      <c r="AB49" s="192" t="s">
        <v>57</v>
      </c>
      <c r="AC49" s="192" t="s">
        <v>64</v>
      </c>
      <c r="AD49" s="192" t="s">
        <v>65</v>
      </c>
      <c r="AE49" s="192" t="s">
        <v>66</v>
      </c>
      <c r="AF49" s="195" t="s">
        <v>795</v>
      </c>
    </row>
    <row r="50" spans="1:32" ht="12" customHeight="1" x14ac:dyDescent="0.2">
      <c r="A50" s="216"/>
      <c r="B50" s="217"/>
      <c r="C50" s="218"/>
      <c r="D50" s="219"/>
      <c r="E50" s="220"/>
      <c r="F50" s="220"/>
      <c r="G50" s="220"/>
      <c r="H50" s="220"/>
      <c r="I50" s="220"/>
      <c r="J50" s="220"/>
      <c r="K50" s="220"/>
      <c r="L50" s="220"/>
      <c r="M50" s="220"/>
      <c r="N50" s="220"/>
      <c r="O50" s="220"/>
      <c r="P50" s="220"/>
      <c r="Q50" s="221"/>
      <c r="R50" s="220"/>
      <c r="S50" s="220"/>
      <c r="T50" s="220"/>
      <c r="U50" s="222"/>
      <c r="V50" s="220"/>
      <c r="W50" s="223"/>
      <c r="X50" s="223"/>
      <c r="Y50" s="223"/>
      <c r="Z50" s="223"/>
      <c r="AA50" s="223"/>
      <c r="AB50" s="223"/>
      <c r="AC50" s="223"/>
      <c r="AD50" s="223"/>
      <c r="AE50" s="223"/>
      <c r="AF50" s="223"/>
    </row>
    <row r="51" spans="1:32" ht="12" customHeight="1" x14ac:dyDescent="0.2">
      <c r="A51" s="216"/>
      <c r="B51" s="217"/>
      <c r="C51" s="218"/>
      <c r="D51" s="219"/>
      <c r="E51" s="220"/>
      <c r="F51" s="220"/>
      <c r="G51" s="220"/>
      <c r="H51" s="220"/>
      <c r="I51" s="220"/>
      <c r="J51" s="220"/>
      <c r="K51" s="220"/>
      <c r="L51" s="220"/>
      <c r="M51" s="220"/>
      <c r="N51" s="220"/>
      <c r="O51" s="220"/>
      <c r="P51" s="220"/>
      <c r="Q51" s="221"/>
      <c r="R51" s="220"/>
      <c r="S51" s="220"/>
      <c r="T51" s="220"/>
      <c r="U51" s="222"/>
      <c r="V51" s="220"/>
      <c r="W51" s="223"/>
      <c r="X51" s="223"/>
      <c r="Y51" s="223"/>
      <c r="Z51" s="223"/>
      <c r="AA51" s="223"/>
      <c r="AB51" s="223"/>
      <c r="AC51" s="223"/>
      <c r="AD51" s="223"/>
      <c r="AE51" s="223"/>
      <c r="AF51" s="223"/>
    </row>
    <row r="52" spans="1:32" ht="12" customHeight="1" x14ac:dyDescent="0.2">
      <c r="A52" s="216"/>
      <c r="B52" s="217"/>
      <c r="C52" s="218"/>
      <c r="D52" s="219"/>
      <c r="E52" s="220"/>
      <c r="F52" s="220"/>
      <c r="G52" s="220"/>
      <c r="H52" s="220"/>
      <c r="I52" s="220"/>
      <c r="J52" s="220"/>
      <c r="K52" s="220"/>
      <c r="L52" s="220"/>
      <c r="M52" s="220"/>
      <c r="N52" s="220"/>
      <c r="O52" s="220"/>
      <c r="P52" s="220"/>
      <c r="Q52" s="221"/>
      <c r="R52" s="220"/>
      <c r="S52" s="220"/>
      <c r="T52" s="220"/>
      <c r="U52" s="222"/>
      <c r="V52" s="220"/>
      <c r="W52" s="223"/>
      <c r="X52" s="223"/>
      <c r="Y52" s="223"/>
      <c r="Z52" s="223"/>
      <c r="AA52" s="223"/>
      <c r="AB52" s="223"/>
      <c r="AC52" s="223"/>
      <c r="AD52" s="223"/>
      <c r="AE52" s="223"/>
      <c r="AF52" s="223"/>
    </row>
    <row r="53" spans="1:32" ht="12" customHeight="1" x14ac:dyDescent="0.2">
      <c r="A53" s="216"/>
      <c r="B53" s="217"/>
      <c r="C53" s="218"/>
      <c r="D53" s="219"/>
      <c r="E53" s="220"/>
      <c r="F53" s="220"/>
      <c r="G53" s="220"/>
      <c r="H53" s="220"/>
      <c r="I53" s="220"/>
      <c r="J53" s="220"/>
      <c r="K53" s="220"/>
      <c r="L53" s="220"/>
      <c r="M53" s="220"/>
      <c r="N53" s="220"/>
      <c r="O53" s="220"/>
      <c r="P53" s="220"/>
      <c r="Q53" s="221"/>
      <c r="R53" s="220"/>
      <c r="S53" s="220"/>
      <c r="T53" s="220"/>
      <c r="U53" s="222"/>
      <c r="V53" s="220"/>
      <c r="W53" s="223"/>
      <c r="X53" s="223"/>
      <c r="Y53" s="223"/>
      <c r="Z53" s="223"/>
      <c r="AA53" s="223"/>
      <c r="AB53" s="223"/>
      <c r="AC53" s="223"/>
      <c r="AD53" s="223"/>
      <c r="AE53" s="223"/>
      <c r="AF53" s="223"/>
    </row>
    <row r="54" spans="1:32" ht="12" customHeight="1" x14ac:dyDescent="0.2">
      <c r="A54" s="216"/>
      <c r="B54" s="217"/>
      <c r="C54" s="218"/>
      <c r="D54" s="219"/>
      <c r="E54" s="220"/>
      <c r="F54" s="220"/>
      <c r="G54" s="220"/>
      <c r="H54" s="220"/>
      <c r="I54" s="220"/>
      <c r="J54" s="220"/>
      <c r="K54" s="220"/>
      <c r="L54" s="220"/>
      <c r="M54" s="220"/>
      <c r="N54" s="220"/>
      <c r="O54" s="220"/>
      <c r="P54" s="220"/>
      <c r="Q54" s="221"/>
      <c r="R54" s="220"/>
      <c r="S54" s="220"/>
      <c r="T54" s="220"/>
      <c r="U54" s="222"/>
      <c r="V54" s="220"/>
      <c r="W54" s="223"/>
      <c r="X54" s="223"/>
      <c r="Y54" s="223"/>
      <c r="Z54" s="223"/>
      <c r="AA54" s="223"/>
      <c r="AB54" s="223"/>
      <c r="AC54" s="223"/>
      <c r="AD54" s="223"/>
      <c r="AE54" s="223"/>
      <c r="AF54" s="223"/>
    </row>
    <row r="55" spans="1:32" ht="12" customHeight="1" x14ac:dyDescent="0.2">
      <c r="A55" s="216"/>
      <c r="B55" s="217"/>
      <c r="C55" s="218"/>
      <c r="D55" s="219"/>
      <c r="E55" s="220"/>
      <c r="F55" s="220"/>
      <c r="G55" s="220"/>
      <c r="H55" s="220"/>
      <c r="I55" s="220"/>
      <c r="J55" s="220"/>
      <c r="K55" s="220"/>
      <c r="L55" s="220"/>
      <c r="M55" s="220"/>
      <c r="N55" s="220"/>
      <c r="O55" s="220"/>
      <c r="P55" s="220"/>
      <c r="Q55" s="221"/>
      <c r="R55" s="220"/>
      <c r="S55" s="220"/>
      <c r="T55" s="220"/>
      <c r="U55" s="222"/>
      <c r="V55" s="220"/>
      <c r="W55" s="223"/>
      <c r="X55" s="223"/>
      <c r="Y55" s="223"/>
      <c r="Z55" s="223"/>
      <c r="AA55" s="223"/>
      <c r="AB55" s="223"/>
      <c r="AC55" s="223"/>
      <c r="AD55" s="223"/>
      <c r="AE55" s="223"/>
      <c r="AF55" s="223"/>
    </row>
    <row r="56" spans="1:32" ht="12" customHeight="1" thickBot="1" x14ac:dyDescent="0.25">
      <c r="A56" s="184"/>
      <c r="B56" s="185"/>
      <c r="C56" s="185"/>
      <c r="D56" s="185"/>
      <c r="E56" s="185"/>
      <c r="F56" s="185"/>
      <c r="G56" s="185"/>
      <c r="H56" s="185"/>
      <c r="I56" s="185"/>
      <c r="J56" s="185"/>
      <c r="K56" s="185"/>
      <c r="L56" s="185"/>
      <c r="M56" s="185"/>
      <c r="N56" s="185"/>
      <c r="P56" s="185"/>
      <c r="Q56" s="185"/>
      <c r="R56" s="185"/>
      <c r="S56" s="185"/>
      <c r="T56" s="186"/>
      <c r="U56" s="343"/>
      <c r="V56" s="187"/>
      <c r="W56" s="188"/>
      <c r="X56" s="188"/>
      <c r="Y56" s="188"/>
      <c r="Z56" s="188"/>
      <c r="AA56" s="188"/>
      <c r="AB56" s="188"/>
      <c r="AC56" s="188"/>
      <c r="AD56" s="188"/>
      <c r="AE56" s="188"/>
      <c r="AF56" s="188"/>
    </row>
    <row r="57" spans="1:32" ht="18" customHeight="1" x14ac:dyDescent="0.2">
      <c r="A57" s="96"/>
      <c r="B57" s="615"/>
      <c r="C57" s="616"/>
      <c r="D57" s="616"/>
      <c r="E57" s="616"/>
      <c r="F57" s="617"/>
      <c r="G57" s="616"/>
      <c r="H57" s="616"/>
      <c r="I57" s="616"/>
      <c r="J57" s="617"/>
      <c r="K57" s="616"/>
      <c r="L57" s="616"/>
      <c r="M57" s="617"/>
      <c r="N57" s="617"/>
      <c r="O57" s="617"/>
      <c r="P57" s="617"/>
      <c r="Q57" s="616"/>
      <c r="R57" s="618"/>
      <c r="S57" s="618"/>
      <c r="T57" s="618"/>
      <c r="U57" s="619"/>
      <c r="V57" s="620"/>
      <c r="W57" s="631"/>
      <c r="AC57" s="733"/>
      <c r="AD57" s="734"/>
      <c r="AE57" s="735"/>
      <c r="AF57" s="48"/>
    </row>
    <row r="58" spans="1:32" ht="11.1" customHeight="1" x14ac:dyDescent="0.2">
      <c r="A58" s="96"/>
      <c r="B58" s="621"/>
      <c r="C58" s="60"/>
      <c r="D58" s="61" t="s">
        <v>120</v>
      </c>
      <c r="E58" s="60"/>
      <c r="F58" s="60"/>
      <c r="G58" s="60"/>
      <c r="H58" s="62"/>
      <c r="I58" s="622"/>
      <c r="J58" s="1037" t="s">
        <v>121</v>
      </c>
      <c r="K58" s="1038"/>
      <c r="L58" s="623"/>
      <c r="N58" s="624"/>
      <c r="O58" s="1036" t="s">
        <v>122</v>
      </c>
      <c r="P58" s="1005"/>
      <c r="Q58" s="1005"/>
      <c r="R58" s="1005"/>
      <c r="S58" s="1005"/>
      <c r="T58" s="1040"/>
      <c r="V58" s="625"/>
      <c r="W58" s="631"/>
      <c r="AC58" s="736" t="s">
        <v>876</v>
      </c>
      <c r="AE58" s="97"/>
      <c r="AF58" s="48"/>
    </row>
    <row r="59" spans="1:32" s="50" customFormat="1" ht="11.1" customHeight="1" x14ac:dyDescent="0.2">
      <c r="A59" s="96"/>
      <c r="B59" s="626" t="s">
        <v>124</v>
      </c>
      <c r="C59" s="49" t="s">
        <v>125</v>
      </c>
      <c r="D59" s="48"/>
      <c r="E59" s="48"/>
      <c r="F59" s="49"/>
      <c r="G59" s="627" t="s">
        <v>126</v>
      </c>
      <c r="H59" s="49" t="s">
        <v>127</v>
      </c>
      <c r="I59" s="48"/>
      <c r="J59" s="49" t="s">
        <v>128</v>
      </c>
      <c r="K59" s="48"/>
      <c r="L59" s="48"/>
      <c r="M59" s="49"/>
      <c r="N59" s="624"/>
      <c r="O59" s="624" t="s">
        <v>129</v>
      </c>
      <c r="P59" s="48"/>
      <c r="Q59" s="49" t="s">
        <v>130</v>
      </c>
      <c r="R59" s="49" t="s">
        <v>131</v>
      </c>
      <c r="S59" s="48"/>
      <c r="T59" s="48"/>
      <c r="U59" s="48"/>
      <c r="V59" s="628"/>
      <c r="W59" s="49"/>
      <c r="X59" s="49"/>
      <c r="AC59" s="736" t="s">
        <v>877</v>
      </c>
      <c r="AD59" s="48"/>
      <c r="AE59" s="653"/>
      <c r="AF59" s="48"/>
    </row>
    <row r="60" spans="1:32" ht="11.1" customHeight="1" x14ac:dyDescent="0.2">
      <c r="A60" s="96"/>
      <c r="B60" s="626" t="s">
        <v>132</v>
      </c>
      <c r="C60" s="49" t="s">
        <v>133</v>
      </c>
      <c r="G60" s="629" t="s">
        <v>134</v>
      </c>
      <c r="H60" s="49" t="s">
        <v>135</v>
      </c>
      <c r="J60" s="49" t="s">
        <v>136</v>
      </c>
      <c r="N60" s="624"/>
      <c r="O60" s="624" t="s">
        <v>137</v>
      </c>
      <c r="P60" s="48"/>
      <c r="Q60" s="49" t="s">
        <v>138</v>
      </c>
      <c r="R60" s="49" t="s">
        <v>139</v>
      </c>
      <c r="S60" s="48"/>
      <c r="U60" s="48"/>
      <c r="V60" s="628"/>
      <c r="AC60" s="736" t="s">
        <v>878</v>
      </c>
      <c r="AD60" s="48"/>
      <c r="AE60" s="653"/>
      <c r="AF60" s="48"/>
    </row>
    <row r="61" spans="1:32" s="48" customFormat="1" ht="11.1" customHeight="1" x14ac:dyDescent="0.2">
      <c r="A61" s="98"/>
      <c r="B61" s="626" t="s">
        <v>140</v>
      </c>
      <c r="C61" s="49" t="s">
        <v>141</v>
      </c>
      <c r="F61" s="49"/>
      <c r="G61" s="629" t="s">
        <v>142</v>
      </c>
      <c r="H61" s="49" t="s">
        <v>143</v>
      </c>
      <c r="J61" s="49" t="s">
        <v>144</v>
      </c>
      <c r="N61" s="624"/>
      <c r="O61" s="624" t="s">
        <v>145</v>
      </c>
      <c r="Q61" s="49" t="s">
        <v>146</v>
      </c>
      <c r="R61" s="49" t="s">
        <v>147</v>
      </c>
      <c r="V61" s="628"/>
      <c r="AC61" s="736" t="s">
        <v>879</v>
      </c>
      <c r="AE61" s="653"/>
    </row>
    <row r="62" spans="1:32" s="48" customFormat="1" ht="11.1" customHeight="1" x14ac:dyDescent="0.2">
      <c r="A62" s="98"/>
      <c r="B62" s="626" t="s">
        <v>148</v>
      </c>
      <c r="C62" s="49" t="s">
        <v>149</v>
      </c>
      <c r="F62" s="49"/>
      <c r="J62" s="49" t="s">
        <v>150</v>
      </c>
      <c r="N62" s="624"/>
      <c r="O62" s="624" t="s">
        <v>151</v>
      </c>
      <c r="Q62" s="49"/>
      <c r="R62" s="49"/>
      <c r="V62" s="628"/>
      <c r="AC62" s="736" t="s">
        <v>880</v>
      </c>
      <c r="AE62" s="653"/>
    </row>
    <row r="63" spans="1:32" s="48" customFormat="1" ht="11.1" customHeight="1" x14ac:dyDescent="0.2">
      <c r="A63" s="98"/>
      <c r="B63" s="626" t="s">
        <v>152</v>
      </c>
      <c r="C63" s="49" t="s">
        <v>153</v>
      </c>
      <c r="F63" s="49"/>
      <c r="J63" s="49"/>
      <c r="N63" s="624"/>
      <c r="O63" s="624" t="s">
        <v>154</v>
      </c>
      <c r="Q63" s="49"/>
      <c r="R63" s="49"/>
      <c r="V63" s="628"/>
      <c r="AC63" s="737"/>
      <c r="AD63" s="738"/>
      <c r="AE63" s="654"/>
    </row>
    <row r="64" spans="1:32" s="48" customFormat="1" ht="11.1" customHeight="1" x14ac:dyDescent="0.2">
      <c r="A64" s="98"/>
      <c r="B64" s="626" t="s">
        <v>155</v>
      </c>
      <c r="C64" s="49" t="s">
        <v>156</v>
      </c>
      <c r="F64" s="49"/>
      <c r="J64" s="49"/>
      <c r="N64" s="630"/>
      <c r="O64" s="630" t="s">
        <v>157</v>
      </c>
      <c r="Q64" s="49"/>
      <c r="R64" s="49"/>
      <c r="V64" s="628"/>
    </row>
    <row r="65" spans="1:22" s="48" customFormat="1" ht="11.1" customHeight="1" x14ac:dyDescent="0.2">
      <c r="A65" s="98"/>
      <c r="B65" s="626" t="s">
        <v>158</v>
      </c>
      <c r="C65" s="49" t="s">
        <v>159</v>
      </c>
      <c r="F65" s="49"/>
      <c r="N65" s="624"/>
      <c r="O65" s="624" t="s">
        <v>160</v>
      </c>
      <c r="Q65" s="49"/>
      <c r="R65" s="49"/>
      <c r="V65" s="628"/>
    </row>
    <row r="66" spans="1:22" s="48" customFormat="1" ht="11.1" customHeight="1" x14ac:dyDescent="0.2">
      <c r="A66" s="98"/>
      <c r="B66" s="626" t="s">
        <v>161</v>
      </c>
      <c r="C66" s="49" t="s">
        <v>162</v>
      </c>
      <c r="F66" s="49"/>
      <c r="M66" s="49"/>
      <c r="N66" s="49"/>
      <c r="O66" s="49"/>
      <c r="Q66" s="59"/>
      <c r="S66" s="49"/>
      <c r="T66" s="49"/>
      <c r="V66" s="628"/>
    </row>
    <row r="67" spans="1:22" s="48" customFormat="1" ht="11.1" customHeight="1" x14ac:dyDescent="0.2">
      <c r="A67" s="98"/>
      <c r="B67" s="626" t="s">
        <v>163</v>
      </c>
      <c r="C67" s="49" t="s">
        <v>164</v>
      </c>
      <c r="F67" s="49"/>
      <c r="M67" s="49"/>
      <c r="N67" s="49"/>
      <c r="O67" s="49"/>
      <c r="Q67" s="59"/>
      <c r="S67" s="49"/>
      <c r="T67" s="49"/>
      <c r="V67" s="628"/>
    </row>
    <row r="68" spans="1:22" s="48" customFormat="1" ht="6" customHeight="1" x14ac:dyDescent="0.2">
      <c r="A68" s="98"/>
      <c r="B68" s="1030"/>
      <c r="C68" s="1031"/>
      <c r="D68" s="1031"/>
      <c r="E68" s="1031"/>
      <c r="F68" s="49"/>
      <c r="J68" s="49"/>
      <c r="M68" s="49"/>
      <c r="N68" s="49"/>
      <c r="O68" s="49"/>
      <c r="Q68" s="59"/>
      <c r="S68" s="49"/>
      <c r="T68" s="49"/>
      <c r="V68" s="628"/>
    </row>
    <row r="69" spans="1:22" s="48" customFormat="1" ht="11.1" customHeight="1" x14ac:dyDescent="0.2">
      <c r="A69" s="98"/>
      <c r="B69" s="1028" t="s">
        <v>165</v>
      </c>
      <c r="C69" s="1029"/>
      <c r="D69" s="1029"/>
      <c r="E69" s="1029"/>
      <c r="F69" s="1029"/>
      <c r="G69" s="1029"/>
      <c r="I69" s="64" t="s">
        <v>170</v>
      </c>
      <c r="J69" s="347"/>
      <c r="K69" s="348"/>
      <c r="N69" s="49"/>
      <c r="O69" s="64" t="s">
        <v>804</v>
      </c>
      <c r="P69" s="349"/>
      <c r="Q69" s="350"/>
      <c r="R69" s="348"/>
      <c r="S69" s="347"/>
      <c r="T69" s="593"/>
      <c r="V69" s="628"/>
    </row>
    <row r="70" spans="1:22" s="48" customFormat="1" ht="11.1" customHeight="1" x14ac:dyDescent="0.2">
      <c r="A70" s="98"/>
      <c r="B70" s="631" t="s">
        <v>166</v>
      </c>
      <c r="F70" s="49"/>
      <c r="I70" s="49" t="s">
        <v>171</v>
      </c>
      <c r="J70" s="49"/>
      <c r="N70" s="49"/>
      <c r="O70" s="49" t="s">
        <v>805</v>
      </c>
      <c r="Q70" s="59"/>
      <c r="S70" s="49"/>
      <c r="T70" s="49"/>
      <c r="V70" s="628"/>
    </row>
    <row r="71" spans="1:22" s="48" customFormat="1" ht="11.1" customHeight="1" x14ac:dyDescent="0.2">
      <c r="A71" s="98"/>
      <c r="B71" s="631" t="s">
        <v>167</v>
      </c>
      <c r="F71" s="49"/>
      <c r="J71" s="49"/>
      <c r="N71" s="49"/>
      <c r="O71" s="49" t="s">
        <v>803</v>
      </c>
      <c r="Q71" s="59"/>
      <c r="S71" s="49"/>
      <c r="T71" s="49"/>
      <c r="V71" s="628"/>
    </row>
    <row r="72" spans="1:22" s="48" customFormat="1" ht="11.1" customHeight="1" x14ac:dyDescent="0.2">
      <c r="A72" s="98"/>
      <c r="B72" s="631" t="s">
        <v>169</v>
      </c>
      <c r="F72" s="49"/>
      <c r="J72" s="49"/>
      <c r="M72" s="49"/>
      <c r="N72" s="49"/>
      <c r="O72" s="49"/>
      <c r="Q72" s="59"/>
      <c r="S72" s="49"/>
      <c r="T72" s="49"/>
      <c r="V72" s="628"/>
    </row>
    <row r="73" spans="1:22" s="48" customFormat="1" ht="11.1" customHeight="1" x14ac:dyDescent="0.2">
      <c r="A73" s="98"/>
      <c r="B73" s="631" t="s">
        <v>498</v>
      </c>
      <c r="F73" s="49"/>
      <c r="J73" s="49"/>
      <c r="M73" s="49"/>
      <c r="N73" s="49"/>
      <c r="O73" s="592" t="s">
        <v>785</v>
      </c>
      <c r="P73" s="349"/>
      <c r="Q73" s="350"/>
      <c r="R73" s="349"/>
      <c r="S73" s="347"/>
      <c r="T73" s="347"/>
      <c r="U73" s="348"/>
      <c r="V73" s="628"/>
    </row>
    <row r="74" spans="1:22" s="48" customFormat="1" ht="11.1" customHeight="1" x14ac:dyDescent="0.2">
      <c r="B74" s="631" t="s">
        <v>780</v>
      </c>
      <c r="F74" s="49"/>
      <c r="J74" s="49"/>
      <c r="M74" s="49"/>
      <c r="N74" s="49"/>
      <c r="O74" s="49" t="s">
        <v>886</v>
      </c>
      <c r="Q74" s="59"/>
      <c r="S74" s="49"/>
      <c r="T74" s="49"/>
      <c r="V74" s="628"/>
    </row>
    <row r="75" spans="1:22" ht="12.75" thickBot="1" x14ac:dyDescent="0.25">
      <c r="B75" s="632"/>
      <c r="C75" s="633"/>
      <c r="D75" s="633"/>
      <c r="E75" s="633"/>
      <c r="F75" s="634"/>
      <c r="G75" s="633"/>
      <c r="H75" s="633"/>
      <c r="I75" s="633"/>
      <c r="J75" s="634"/>
      <c r="K75" s="633"/>
      <c r="L75" s="633"/>
      <c r="M75" s="634"/>
      <c r="N75" s="634"/>
      <c r="O75" s="635"/>
      <c r="P75" s="634"/>
      <c r="Q75" s="633"/>
      <c r="R75" s="634"/>
      <c r="S75" s="634"/>
      <c r="T75" s="633"/>
      <c r="U75" s="634"/>
      <c r="V75" s="718"/>
    </row>
  </sheetData>
  <sheetProtection algorithmName="SHA-512" hashValue="tJvpBBqxHAwePGEjsmRNi7vbhz7iIC8DNkunEkKgMd52T1dENX3ddLOqlOEdSy1iyBEDqhbVfMojOoi5qc75RQ==" saltValue="kLUiBWztYz+YDgy9lT5VpQ==" spinCount="100000" sheet="1" scenarios="1" formatCells="0" formatColumns="0" formatRows="0" selectLockedCells="1" sort="0" autoFilter="0"/>
  <protectedRanges>
    <protectedRange sqref="A3:AF49" name="AllowSortFilter"/>
  </protectedRanges>
  <autoFilter ref="A3:AF55" xr:uid="{E3637B70-C708-49E4-BF60-F5835C6DB653}"/>
  <sortState xmlns:xlrd2="http://schemas.microsoft.com/office/spreadsheetml/2017/richdata2" ref="A4:AD49">
    <sortCondition ref="A4"/>
  </sortState>
  <mergeCells count="9">
    <mergeCell ref="B69:G69"/>
    <mergeCell ref="B68:E68"/>
    <mergeCell ref="W2:Z2"/>
    <mergeCell ref="W1:AC1"/>
    <mergeCell ref="AD1:AE2"/>
    <mergeCell ref="AA2:AC2"/>
    <mergeCell ref="J58:K58"/>
    <mergeCell ref="B1:H1"/>
    <mergeCell ref="O58:T58"/>
  </mergeCells>
  <phoneticPr fontId="23" type="noConversion"/>
  <conditionalFormatting sqref="E4:AF49">
    <cfRule type="expression" dxfId="13" priority="17">
      <formula>MOD(ROW(),2)=1</formula>
    </cfRule>
  </conditionalFormatting>
  <conditionalFormatting sqref="D4:D49">
    <cfRule type="expression" dxfId="12" priority="2">
      <formula>MOD(ROW(),2)=1</formula>
    </cfRule>
  </conditionalFormatting>
  <conditionalFormatting sqref="A4:C49">
    <cfRule type="expression" dxfId="11" priority="1">
      <formula>MOD(ROW(),2)=1</formula>
    </cfRule>
  </conditionalFormatting>
  <printOptions horizontalCentered="1" verticalCentered="1"/>
  <pageMargins left="0" right="0" top="0" bottom="0" header="0" footer="0"/>
  <pageSetup paperSize="17" scale="79" orientation="landscape" r:id="rId1"/>
  <colBreaks count="1" manualBreakCount="1">
    <brk id="21"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3" r:id="rId4" name="Button 3">
              <controlPr defaultSize="0" print="0" autoFill="0" autoPict="0" macro="[0]!PrintTable2">
                <anchor moveWithCells="1" sizeWithCells="1">
                  <from>
                    <xdr:col>31</xdr:col>
                    <xdr:colOff>9525</xdr:colOff>
                    <xdr:row>0</xdr:row>
                    <xdr:rowOff>38100</xdr:rowOff>
                  </from>
                  <to>
                    <xdr:col>31</xdr:col>
                    <xdr:colOff>1819275</xdr:colOff>
                    <xdr:row>1</xdr:row>
                    <xdr:rowOff>123825</xdr:rowOff>
                  </to>
                </anchor>
              </controlPr>
            </control>
          </mc:Choice>
        </mc:AlternateContent>
        <mc:AlternateContent xmlns:mc="http://schemas.openxmlformats.org/markup-compatibility/2006">
          <mc:Choice Requires="x14">
            <control shapeId="5122" r:id="rId5" name="Button 2">
              <controlPr defaultSize="0" print="0" autoFill="0" autoPict="0" macro="[0]!printTable1">
                <anchor moveWithCells="1" sizeWithCells="1">
                  <from>
                    <xdr:col>0</xdr:col>
                    <xdr:colOff>628650</xdr:colOff>
                    <xdr:row>0</xdr:row>
                    <xdr:rowOff>38100</xdr:rowOff>
                  </from>
                  <to>
                    <xdr:col>0</xdr:col>
                    <xdr:colOff>1581150</xdr:colOff>
                    <xdr:row>1</xdr:row>
                    <xdr:rowOff>66675</xdr:rowOff>
                  </to>
                </anchor>
              </controlPr>
            </control>
          </mc:Choice>
        </mc:AlternateContent>
        <mc:AlternateContent xmlns:mc="http://schemas.openxmlformats.org/markup-compatibility/2006">
          <mc:Choice Requires="x14">
            <control shapeId="5126" r:id="rId6" name="Button 6">
              <controlPr defaultSize="0" print="0" autoFill="0" autoPict="0" macro="[0]!Go_To_Cover_Crop_Worksheet">
                <anchor moveWithCells="1" sizeWithCells="1">
                  <from>
                    <xdr:col>0</xdr:col>
                    <xdr:colOff>619125</xdr:colOff>
                    <xdr:row>2</xdr:row>
                    <xdr:rowOff>57150</xdr:rowOff>
                  </from>
                  <to>
                    <xdr:col>0</xdr:col>
                    <xdr:colOff>1571625</xdr:colOff>
                    <xdr:row>2</xdr:row>
                    <xdr:rowOff>247650</xdr:rowOff>
                  </to>
                </anchor>
              </controlPr>
            </control>
          </mc:Choice>
        </mc:AlternateContent>
        <mc:AlternateContent xmlns:mc="http://schemas.openxmlformats.org/markup-compatibility/2006">
          <mc:Choice Requires="x14">
            <control shapeId="5136" r:id="rId7" name="Button 16">
              <controlPr defaultSize="0" print="0" autoFill="0" autoPict="0" macro="[0]!Clear_filter">
                <anchor moveWithCells="1" sizeWithCells="1">
                  <from>
                    <xdr:col>0</xdr:col>
                    <xdr:colOff>600075</xdr:colOff>
                    <xdr:row>2</xdr:row>
                    <xdr:rowOff>323850</xdr:rowOff>
                  </from>
                  <to>
                    <xdr:col>0</xdr:col>
                    <xdr:colOff>1581150</xdr:colOff>
                    <xdr:row>2</xdr:row>
                    <xdr:rowOff>476250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7099239F-33F1-4C99-BD1D-604B396B1C6C}">
          <x14:formula1>
            <xm:f>DATA!$AK$2:$AK$12</xm:f>
          </x14:formula1>
          <xm:sqref>C50:C55</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D0C5B-A2E3-483A-87AB-53277B6820F4}">
  <sheetPr codeName="Sheet8">
    <pageSetUpPr fitToPage="1"/>
  </sheetPr>
  <dimension ref="A1:BB75"/>
  <sheetViews>
    <sheetView showGridLines="0" zoomScale="106" zoomScaleNormal="106" workbookViewId="0">
      <selection activeCell="B1" sqref="B1:H1"/>
    </sheetView>
  </sheetViews>
  <sheetFormatPr defaultRowHeight="12.75" x14ac:dyDescent="0.2"/>
  <cols>
    <col min="1" max="1" width="34" customWidth="1"/>
    <col min="2" max="3" width="11" customWidth="1"/>
    <col min="4" max="4" width="8.42578125" hidden="1" customWidth="1"/>
    <col min="5" max="5" width="9.140625" hidden="1" customWidth="1"/>
    <col min="6" max="9" width="9.140625" customWidth="1"/>
    <col min="10" max="11" width="9.140625" hidden="1" customWidth="1"/>
    <col min="12" max="12" width="10.140625" customWidth="1"/>
    <col min="13" max="13" width="14.85546875" customWidth="1"/>
    <col min="14" max="14" width="12.7109375" customWidth="1"/>
    <col min="15" max="16" width="9.140625" hidden="1" customWidth="1"/>
    <col min="17" max="17" width="9.140625" customWidth="1"/>
    <col min="18" max="18" width="9.140625" hidden="1" customWidth="1"/>
    <col min="19" max="19" width="9.140625" customWidth="1"/>
    <col min="20" max="20" width="10.140625" customWidth="1"/>
    <col min="21" max="21" width="9.140625" customWidth="1"/>
    <col min="22" max="29" width="9.140625" hidden="1" customWidth="1"/>
    <col min="30" max="31" width="13.140625" hidden="1" customWidth="1"/>
    <col min="32" max="32" width="30.5703125" hidden="1" customWidth="1"/>
    <col min="33" max="33" width="11.85546875" customWidth="1"/>
  </cols>
  <sheetData>
    <row r="1" spans="1:54" ht="15.75" customHeight="1" x14ac:dyDescent="0.25">
      <c r="A1" s="90"/>
      <c r="B1" s="1039" t="s">
        <v>800</v>
      </c>
      <c r="C1" s="796"/>
      <c r="D1" s="796"/>
      <c r="E1" s="796"/>
      <c r="F1" s="796"/>
      <c r="G1" s="796"/>
      <c r="H1" s="796"/>
      <c r="I1" s="94"/>
      <c r="J1" s="94"/>
      <c r="K1" s="94"/>
      <c r="L1" s="94"/>
      <c r="M1" s="94"/>
      <c r="N1" s="94"/>
      <c r="O1" s="94"/>
      <c r="P1" s="94"/>
      <c r="Q1" s="94"/>
      <c r="R1" s="94"/>
      <c r="S1" s="94"/>
      <c r="T1" s="94"/>
      <c r="U1" s="94"/>
      <c r="V1" s="95"/>
      <c r="W1" s="1032" t="s">
        <v>287</v>
      </c>
      <c r="X1" s="1033"/>
      <c r="Y1" s="1033"/>
      <c r="Z1" s="1033"/>
      <c r="AA1" s="1033"/>
      <c r="AB1" s="1033"/>
      <c r="AC1" s="1034"/>
      <c r="AD1" s="1035" t="s">
        <v>29</v>
      </c>
      <c r="AE1" s="1035"/>
      <c r="AF1" s="376"/>
      <c r="BB1" t="s">
        <v>872</v>
      </c>
    </row>
    <row r="2" spans="1:54" ht="15.75" x14ac:dyDescent="0.2">
      <c r="A2" s="91"/>
      <c r="B2" s="92"/>
      <c r="C2" s="92"/>
      <c r="D2" s="637"/>
      <c r="E2" s="92"/>
      <c r="F2" s="92"/>
      <c r="G2" s="92"/>
      <c r="H2" s="92"/>
      <c r="I2" s="92"/>
      <c r="J2" s="92"/>
      <c r="K2" s="92"/>
      <c r="L2" s="92"/>
      <c r="M2" s="92"/>
      <c r="N2" s="92"/>
      <c r="O2" s="92"/>
      <c r="P2" s="92"/>
      <c r="Q2" s="92"/>
      <c r="R2" s="92"/>
      <c r="S2" s="92"/>
      <c r="T2" s="92"/>
      <c r="U2" s="92"/>
      <c r="V2" s="93"/>
      <c r="W2" s="1029" t="s">
        <v>286</v>
      </c>
      <c r="X2" s="1029"/>
      <c r="Y2" s="1029"/>
      <c r="Z2" s="1029"/>
      <c r="AA2" s="1029" t="s">
        <v>30</v>
      </c>
      <c r="AB2" s="1029"/>
      <c r="AC2" s="1036"/>
      <c r="AD2" s="1035"/>
      <c r="AE2" s="1035"/>
      <c r="AF2" s="376"/>
      <c r="BB2" t="s">
        <v>854</v>
      </c>
    </row>
    <row r="3" spans="1:54" ht="78" customHeight="1" x14ac:dyDescent="0.2">
      <c r="A3" s="63" t="str">
        <f>'Table 1 Purpose rating'!A3</f>
        <v>Cover Crop</v>
      </c>
      <c r="B3" s="207" t="str">
        <f>'Table 1 Purpose rating'!B3</f>
        <v>Full seeding rate lbs/acre /4</v>
      </c>
      <c r="C3" s="208" t="str">
        <f>'Table 1 Purpose rating'!C3</f>
        <v>Seeding depth, inches</v>
      </c>
      <c r="D3" s="638" t="str">
        <f>'Table 1 Purpose rating'!D3</f>
        <v>Average
 cost/
LB.</v>
      </c>
      <c r="E3" s="206" t="str">
        <f>'Table 1 Purpose rating'!E3</f>
        <v xml:space="preserve">Reduce erosion </v>
      </c>
      <c r="F3" s="209" t="str">
        <f>'Table 1 Purpose rating'!F3</f>
        <v xml:space="preserve">Increase soil organic matter </v>
      </c>
      <c r="G3" s="206" t="str">
        <f>'Table 1 Purpose rating'!G3</f>
        <v>Scavenge nutrients</v>
      </c>
      <c r="H3" s="209" t="str">
        <f>'Table 1 Purpose rating'!H3</f>
        <v xml:space="preserve">Promote 
biological
 nitrogen
fixation </v>
      </c>
      <c r="I3" s="206" t="str">
        <f>'Table 1 Purpose rating'!I3</f>
        <v>Suppress weeds</v>
      </c>
      <c r="J3" s="209" t="str">
        <f>'Table 1 Purpose rating'!J3</f>
        <v>Provide supplemental hay</v>
      </c>
      <c r="K3" s="206" t="str">
        <f>'Table 1 Purpose rating'!K3</f>
        <v xml:space="preserve">Provide supplemental grazing </v>
      </c>
      <c r="L3" s="209" t="str">
        <f>'Table 1 Purpose rating'!L3</f>
        <v>Rooting depth/Plant water use /1</v>
      </c>
      <c r="M3" s="206" t="str">
        <f>'Table 1 Purpose rating'!M3</f>
        <v xml:space="preserve">Minimize/Reduce surface soil compaction </v>
      </c>
      <c r="N3" s="209" t="str">
        <f>'Table 1 Purpose rating'!N3</f>
        <v xml:space="preserve">Minimize/ Reduce subsoil compaction </v>
      </c>
      <c r="O3" s="206" t="str">
        <f>'Table 1 Purpose rating'!O3</f>
        <v>Seed size (Large or Fine)</v>
      </c>
      <c r="P3" s="210" t="str">
        <f>'Table 1 Purpose rating'!P3</f>
        <v>Crop type  and seeding dates /2 /3</v>
      </c>
      <c r="Q3" s="211" t="str">
        <f>'Table 1 Purpose rating'!Q3</f>
        <v>Winter Survival 6/</v>
      </c>
      <c r="R3" s="206" t="str">
        <f>'Table 1 Purpose rating'!R3</f>
        <v xml:space="preserve">Salinity Tolerance </v>
      </c>
      <c r="S3" s="209" t="str">
        <f>'Table 1 Purpose rating'!S3</f>
        <v xml:space="preserve">C:N Ratio </v>
      </c>
      <c r="T3" s="206" t="str">
        <f>'Table 1 Purpose rating'!T3</f>
        <v xml:space="preserve">Mycorrhizal fungi association </v>
      </c>
      <c r="U3" s="212" t="str">
        <f>'Table 1 Purpose rating'!U3</f>
        <v xml:space="preserve">Seeds/lb </v>
      </c>
      <c r="V3" s="206" t="str">
        <f>'Table 1 Purpose rating'!V3</f>
        <v>Shade Tolerance</v>
      </c>
      <c r="W3" s="213" t="str">
        <f>'Table 1 Purpose rating'!W3</f>
        <v>Nesting</v>
      </c>
      <c r="X3" s="214" t="str">
        <f>'Table 1 Purpose rating'!X3</f>
        <v>Brood</v>
      </c>
      <c r="Y3" s="213" t="str">
        <f>'Table 1 Purpose rating'!Y3</f>
        <v>Fall</v>
      </c>
      <c r="Z3" s="214" t="str">
        <f>'Table 1 Purpose rating'!Z3</f>
        <v>Winter</v>
      </c>
      <c r="AA3" s="213" t="str">
        <f>'Table 1 Purpose rating'!AA3</f>
        <v>Fall</v>
      </c>
      <c r="AB3" s="214" t="str">
        <f>'Table 1 Purpose rating'!AB3</f>
        <v>Winter</v>
      </c>
      <c r="AC3" s="215" t="str">
        <f>'Table 1 Purpose rating'!AC3</f>
        <v>Green browse use</v>
      </c>
      <c r="AD3" s="211" t="str">
        <f>'Table 1 Purpose rating'!AD3</f>
        <v>Attracts native and honey bees</v>
      </c>
      <c r="AE3" s="215" t="str">
        <f>'Table 1 Purpose rating'!AE3</f>
        <v>Predator Parasitoid</v>
      </c>
      <c r="AF3" s="377">
        <f>'Table 1 Purpose rating'!AF3</f>
        <v>0</v>
      </c>
      <c r="AG3" s="206" t="s">
        <v>856</v>
      </c>
    </row>
    <row r="4" spans="1:54" ht="16.5" customHeight="1" x14ac:dyDescent="0.2">
      <c r="A4" s="639" t="str">
        <f>IF('Table 1 Purpose rating'!A4=0,"",'Table 1 Purpose rating'!A4)</f>
        <v>Alfalfa</v>
      </c>
      <c r="B4" s="46">
        <f>'Table 1 Purpose rating'!B4</f>
        <v>6.5</v>
      </c>
      <c r="C4" s="58" t="str">
        <f>'Table 1 Purpose rating'!C4</f>
        <v>.25 - .75</v>
      </c>
      <c r="D4" s="640">
        <f>'Table 1 Purpose rating'!D4</f>
        <v>2.7750000000000004</v>
      </c>
      <c r="E4" s="46" t="str">
        <f>'Table 1 Purpose rating'!E4</f>
        <v>G</v>
      </c>
      <c r="F4" s="46" t="str">
        <f>'Table 1 Purpose rating'!F4</f>
        <v>G</v>
      </c>
      <c r="G4" s="46" t="str">
        <f>'Table 1 Purpose rating'!G4</f>
        <v>G</v>
      </c>
      <c r="H4" s="46" t="str">
        <f>'Table 1 Purpose rating'!H4</f>
        <v>Y</v>
      </c>
      <c r="I4" s="46" t="str">
        <f>'Table 1 Purpose rating'!I4</f>
        <v>G</v>
      </c>
      <c r="J4" s="46" t="str">
        <f>'Table 1 Purpose rating'!J4</f>
        <v>G</v>
      </c>
      <c r="K4" s="46" t="str">
        <f>'Table 1 Purpose rating'!K4</f>
        <v>F</v>
      </c>
      <c r="L4" s="46" t="str">
        <f>'Table 1 Purpose rating'!L4</f>
        <v>DH</v>
      </c>
      <c r="M4" s="46" t="str">
        <f>'Table 1 Purpose rating'!M4</f>
        <v>G</v>
      </c>
      <c r="N4" s="46" t="str">
        <f>'Table 1 Purpose rating'!N4</f>
        <v>G</v>
      </c>
      <c r="O4" s="46" t="str">
        <f>'Table 1 Purpose rating'!O4</f>
        <v>F</v>
      </c>
      <c r="P4" s="57" t="str">
        <f>'Table 1 Purpose rating'!P4</f>
        <v>CB</v>
      </c>
      <c r="Q4" s="53" t="str">
        <f>'Table 1 Purpose rating'!Q4</f>
        <v>Y</v>
      </c>
      <c r="R4" s="46" t="str">
        <f>'Table 1 Purpose rating'!R4</f>
        <v>P</v>
      </c>
      <c r="S4" s="46" t="str">
        <f>'Table 1 Purpose rating'!S4</f>
        <v>L</v>
      </c>
      <c r="T4" s="46" t="str">
        <f>'Table 1 Purpose rating'!T4</f>
        <v>M</v>
      </c>
      <c r="U4" s="47">
        <f>'Table 1 Purpose rating'!U4</f>
        <v>210000</v>
      </c>
      <c r="V4" s="46" t="str">
        <f>'Table 1 Purpose rating'!V4</f>
        <v>F</v>
      </c>
      <c r="W4" s="53">
        <f>'Table 1 Purpose rating'!W4</f>
        <v>0</v>
      </c>
      <c r="X4" s="53" t="str">
        <f>'Table 1 Purpose rating'!X4</f>
        <v>X</v>
      </c>
      <c r="Y4" s="53" t="str">
        <f>'Table 1 Purpose rating'!Y4</f>
        <v>X</v>
      </c>
      <c r="Z4" s="53">
        <f>'Table 1 Purpose rating'!Z4</f>
        <v>0</v>
      </c>
      <c r="AA4" s="53" t="str">
        <f>'Table 1 Purpose rating'!AA4</f>
        <v>X</v>
      </c>
      <c r="AB4" s="53">
        <f>'Table 1 Purpose rating'!AB4</f>
        <v>0</v>
      </c>
      <c r="AC4" s="53" t="str">
        <f>'Table 1 Purpose rating'!AC4</f>
        <v>1,2,3,4</v>
      </c>
      <c r="AD4" s="53" t="str">
        <f>'Table 1 Purpose rating'!AD4</f>
        <v>High</v>
      </c>
      <c r="AE4" s="53" t="str">
        <f>'Table 1 Purpose rating'!AE4</f>
        <v>Moderate</v>
      </c>
      <c r="AF4" s="264" t="str">
        <f>'Table 1 Purpose rating'!AF4</f>
        <v>Alfalfa</v>
      </c>
      <c r="AG4" s="702">
        <f>B4*U4/43560</f>
        <v>31.336088154269973</v>
      </c>
    </row>
    <row r="5" spans="1:54" x14ac:dyDescent="0.2">
      <c r="A5" s="639" t="str">
        <f>IF('Table 1 Purpose rating'!A5=0,"",'Table 1 Purpose rating'!A5)</f>
        <v>Barley</v>
      </c>
      <c r="B5" s="46">
        <f>'Table 1 Purpose rating'!B5</f>
        <v>50</v>
      </c>
      <c r="C5" s="58" t="str">
        <f>'Table 1 Purpose rating'!C5</f>
        <v>.75 - 2.0</v>
      </c>
      <c r="D5" s="640">
        <f>'Table 1 Purpose rating'!D5</f>
        <v>0.3833333333333333</v>
      </c>
      <c r="E5" s="46" t="str">
        <f>'Table 1 Purpose rating'!E5</f>
        <v>G</v>
      </c>
      <c r="F5" s="46" t="str">
        <f>'Table 1 Purpose rating'!F5</f>
        <v>G</v>
      </c>
      <c r="G5" s="46" t="str">
        <f>'Table 1 Purpose rating'!G5</f>
        <v>G</v>
      </c>
      <c r="H5" s="46" t="str">
        <f>'Table 1 Purpose rating'!H5</f>
        <v>N</v>
      </c>
      <c r="I5" s="46" t="str">
        <f>'Table 1 Purpose rating'!I5</f>
        <v>G</v>
      </c>
      <c r="J5" s="46" t="str">
        <f>'Table 1 Purpose rating'!J5</f>
        <v>G</v>
      </c>
      <c r="K5" s="46" t="str">
        <f>'Table 1 Purpose rating'!K5</f>
        <v>G</v>
      </c>
      <c r="L5" s="46" t="str">
        <f>'Table 1 Purpose rating'!L5</f>
        <v>MM</v>
      </c>
      <c r="M5" s="46" t="str">
        <f>'Table 1 Purpose rating'!M5</f>
        <v>G</v>
      </c>
      <c r="N5" s="46" t="str">
        <f>'Table 1 Purpose rating'!N5</f>
        <v>F</v>
      </c>
      <c r="O5" s="46" t="str">
        <f>'Table 1 Purpose rating'!O5</f>
        <v>L</v>
      </c>
      <c r="P5" s="57" t="str">
        <f>'Table 1 Purpose rating'!P5</f>
        <v>CG</v>
      </c>
      <c r="Q5" s="53" t="str">
        <f>'Table 1 Purpose rating'!Q5</f>
        <v>N</v>
      </c>
      <c r="R5" s="46" t="str">
        <f>'Table 1 Purpose rating'!R5</f>
        <v>G</v>
      </c>
      <c r="S5" s="46" t="str">
        <f>'Table 1 Purpose rating'!S5</f>
        <v>M</v>
      </c>
      <c r="T5" s="46" t="str">
        <f>'Table 1 Purpose rating'!T5</f>
        <v>M</v>
      </c>
      <c r="U5" s="47">
        <f>'Table 1 Purpose rating'!U5</f>
        <v>14000</v>
      </c>
      <c r="V5" s="46" t="str">
        <f>'Table 1 Purpose rating'!V5</f>
        <v>F</v>
      </c>
      <c r="W5" s="53" t="str">
        <f>'Table 1 Purpose rating'!W5</f>
        <v>X</v>
      </c>
      <c r="X5" s="53" t="str">
        <f>'Table 1 Purpose rating'!X5</f>
        <v>X</v>
      </c>
      <c r="Y5" s="53">
        <f>'Table 1 Purpose rating'!Y5</f>
        <v>0</v>
      </c>
      <c r="Z5" s="53">
        <f>'Table 1 Purpose rating'!Z5</f>
        <v>0</v>
      </c>
      <c r="AA5" s="53">
        <f>'Table 1 Purpose rating'!AA5</f>
        <v>0</v>
      </c>
      <c r="AB5" s="53">
        <f>'Table 1 Purpose rating'!AB5</f>
        <v>0</v>
      </c>
      <c r="AC5" s="53" t="str">
        <f>'Table 1 Purpose rating'!AC5</f>
        <v>1,2,3</v>
      </c>
      <c r="AD5" s="53" t="str">
        <f>'Table 1 Purpose rating'!AD5</f>
        <v>None</v>
      </c>
      <c r="AE5" s="53" t="str">
        <f>'Table 1 Purpose rating'!AE5</f>
        <v>Low</v>
      </c>
      <c r="AF5" s="55" t="str">
        <f>'Table 1 Purpose rating'!AF5</f>
        <v>Barley</v>
      </c>
      <c r="AG5" s="702">
        <f t="shared" ref="AG5:AG55" si="0">B5*U5/43560</f>
        <v>16.069788797061523</v>
      </c>
    </row>
    <row r="6" spans="1:54" ht="15.75" customHeight="1" x14ac:dyDescent="0.2">
      <c r="A6" s="639" t="str">
        <f>IF('Table 1 Purpose rating'!A6=0,"",'Table 1 Purpose rating'!A6)</f>
        <v>Brassica hybrids</v>
      </c>
      <c r="B6" s="46">
        <f>'Table 1 Purpose rating'!B6</f>
        <v>7</v>
      </c>
      <c r="C6" s="58" t="str">
        <f>'Table 1 Purpose rating'!C6</f>
        <v>.25 - .5</v>
      </c>
      <c r="D6" s="640">
        <f>'Table 1 Purpose rating'!D6</f>
        <v>3.5</v>
      </c>
      <c r="E6" s="46" t="str">
        <f>'Table 1 Purpose rating'!E6</f>
        <v>F</v>
      </c>
      <c r="F6" s="46" t="str">
        <f>'Table 1 Purpose rating'!F6</f>
        <v>F</v>
      </c>
      <c r="G6" s="46" t="str">
        <f>'Table 1 Purpose rating'!G6</f>
        <v>G</v>
      </c>
      <c r="H6" s="46" t="str">
        <f>'Table 1 Purpose rating'!H6</f>
        <v>N</v>
      </c>
      <c r="I6" s="46" t="str">
        <f>'Table 1 Purpose rating'!I6</f>
        <v>G</v>
      </c>
      <c r="J6" s="46" t="str">
        <f>'Table 1 Purpose rating'!J6</f>
        <v>F</v>
      </c>
      <c r="K6" s="46" t="str">
        <f>'Table 1 Purpose rating'!K6</f>
        <v>G</v>
      </c>
      <c r="L6" s="46" t="str">
        <f>'Table 1 Purpose rating'!L6</f>
        <v>MM</v>
      </c>
      <c r="M6" s="46" t="str">
        <f>'Table 1 Purpose rating'!M6</f>
        <v>G</v>
      </c>
      <c r="N6" s="46" t="str">
        <f>'Table 1 Purpose rating'!N6</f>
        <v>G</v>
      </c>
      <c r="O6" s="46" t="str">
        <f>'Table 1 Purpose rating'!O6</f>
        <v>F</v>
      </c>
      <c r="P6" s="57" t="str">
        <f>'Table 1 Purpose rating'!P6</f>
        <v>CB</v>
      </c>
      <c r="Q6" s="53" t="str">
        <f>'Table 1 Purpose rating'!Q6</f>
        <v>N</v>
      </c>
      <c r="R6" s="46" t="str">
        <f>'Table 1 Purpose rating'!R6</f>
        <v>G</v>
      </c>
      <c r="S6" s="46" t="str">
        <f>'Table 1 Purpose rating'!S6</f>
        <v>L</v>
      </c>
      <c r="T6" s="46" t="str">
        <f>'Table 1 Purpose rating'!T6</f>
        <v>N</v>
      </c>
      <c r="U6" s="47">
        <f>'Table 1 Purpose rating'!U6</f>
        <v>180000</v>
      </c>
      <c r="V6" s="46" t="str">
        <f>'Table 1 Purpose rating'!V6</f>
        <v>P</v>
      </c>
      <c r="W6" s="53">
        <f>'Table 1 Purpose rating'!W6</f>
        <v>0</v>
      </c>
      <c r="X6" s="53" t="str">
        <f>'Table 1 Purpose rating'!X6</f>
        <v>X</v>
      </c>
      <c r="Y6" s="53">
        <f>'Table 1 Purpose rating'!Y6</f>
        <v>0</v>
      </c>
      <c r="Z6" s="53">
        <f>'Table 1 Purpose rating'!Z6</f>
        <v>0</v>
      </c>
      <c r="AA6" s="53" t="str">
        <f>'Table 1 Purpose rating'!AA6</f>
        <v>X</v>
      </c>
      <c r="AB6" s="53" t="str">
        <f>'Table 1 Purpose rating'!AB6</f>
        <v>X</v>
      </c>
      <c r="AC6" s="53">
        <f>'Table 1 Purpose rating'!AC6</f>
        <v>1</v>
      </c>
      <c r="AD6" s="53" t="str">
        <f>'Table 1 Purpose rating'!AD6</f>
        <v>High</v>
      </c>
      <c r="AE6" s="53" t="str">
        <f>'Table 1 Purpose rating'!AE6</f>
        <v>High</v>
      </c>
      <c r="AF6" s="55" t="str">
        <f>'Table 1 Purpose rating'!AF6</f>
        <v>Brassica hybrids</v>
      </c>
      <c r="AG6" s="702">
        <f t="shared" si="0"/>
        <v>28.925619834710744</v>
      </c>
    </row>
    <row r="7" spans="1:54" ht="15.75" customHeight="1" x14ac:dyDescent="0.2">
      <c r="A7" s="639" t="str">
        <f>IF('Table 1 Purpose rating'!A7=0,"",'Table 1 Purpose rating'!A7)</f>
        <v>Buckwheat /5</v>
      </c>
      <c r="B7" s="46">
        <f>'Table 1 Purpose rating'!B7</f>
        <v>50</v>
      </c>
      <c r="C7" s="58" t="str">
        <f>'Table 1 Purpose rating'!C7</f>
        <v>.5 - 1.5</v>
      </c>
      <c r="D7" s="640">
        <f>'Table 1 Purpose rating'!D7</f>
        <v>1.2666666666666666</v>
      </c>
      <c r="E7" s="46" t="str">
        <f>'Table 1 Purpose rating'!E7</f>
        <v>P</v>
      </c>
      <c r="F7" s="46" t="str">
        <f>'Table 1 Purpose rating'!F7</f>
        <v>P</v>
      </c>
      <c r="G7" s="46" t="str">
        <f>'Table 1 Purpose rating'!G7</f>
        <v>F</v>
      </c>
      <c r="H7" s="46" t="str">
        <f>'Table 1 Purpose rating'!H7</f>
        <v>N</v>
      </c>
      <c r="I7" s="46" t="str">
        <f>'Table 1 Purpose rating'!I7</f>
        <v>F</v>
      </c>
      <c r="J7" s="46" t="str">
        <f>'Table 1 Purpose rating'!J7</f>
        <v>P</v>
      </c>
      <c r="K7" s="46" t="str">
        <f>'Table 1 Purpose rating'!K7</f>
        <v>P</v>
      </c>
      <c r="L7" s="46" t="str">
        <f>'Table 1 Purpose rating'!L7</f>
        <v>SL</v>
      </c>
      <c r="M7" s="46" t="str">
        <f>'Table 1 Purpose rating'!M7</f>
        <v>F</v>
      </c>
      <c r="N7" s="46" t="str">
        <f>'Table 1 Purpose rating'!N7</f>
        <v>P</v>
      </c>
      <c r="O7" s="46" t="str">
        <f>'Table 1 Purpose rating'!O7</f>
        <v>L</v>
      </c>
      <c r="P7" s="57" t="str">
        <f>'Table 1 Purpose rating'!P7</f>
        <v>WB</v>
      </c>
      <c r="Q7" s="53" t="str">
        <f>'Table 1 Purpose rating'!Q7</f>
        <v>N</v>
      </c>
      <c r="R7" s="46" t="str">
        <f>'Table 1 Purpose rating'!R7</f>
        <v>P</v>
      </c>
      <c r="S7" s="46" t="str">
        <f>'Table 1 Purpose rating'!S7</f>
        <v>L</v>
      </c>
      <c r="T7" s="46" t="str">
        <f>'Table 1 Purpose rating'!T7</f>
        <v>N</v>
      </c>
      <c r="U7" s="47">
        <f>'Table 1 Purpose rating'!U7</f>
        <v>19000</v>
      </c>
      <c r="V7" s="46" t="str">
        <f>'Table 1 Purpose rating'!V7</f>
        <v>G</v>
      </c>
      <c r="W7" s="53">
        <f>'Table 1 Purpose rating'!W7</f>
        <v>0</v>
      </c>
      <c r="X7" s="53" t="str">
        <f>'Table 1 Purpose rating'!X7</f>
        <v>X</v>
      </c>
      <c r="Y7" s="53">
        <f>'Table 1 Purpose rating'!Y7</f>
        <v>0</v>
      </c>
      <c r="Z7" s="53">
        <f>'Table 1 Purpose rating'!Z7</f>
        <v>0</v>
      </c>
      <c r="AA7" s="53" t="str">
        <f>'Table 1 Purpose rating'!AA7</f>
        <v>X</v>
      </c>
      <c r="AB7" s="53">
        <f>'Table 1 Purpose rating'!AB7</f>
        <v>0</v>
      </c>
      <c r="AC7" s="53">
        <f>'Table 1 Purpose rating'!AC7</f>
        <v>0</v>
      </c>
      <c r="AD7" s="53" t="str">
        <f>'Table 1 Purpose rating'!AD7</f>
        <v>High</v>
      </c>
      <c r="AE7" s="53" t="str">
        <f>'Table 1 Purpose rating'!AE7</f>
        <v>High</v>
      </c>
      <c r="AF7" s="55" t="str">
        <f>'Table 1 Purpose rating'!AF7</f>
        <v>Buckwheat /5</v>
      </c>
      <c r="AG7" s="702">
        <f t="shared" si="0"/>
        <v>21.808999081726355</v>
      </c>
    </row>
    <row r="8" spans="1:54" ht="15.75" customHeight="1" x14ac:dyDescent="0.2">
      <c r="A8" s="639" t="str">
        <f>IF('Table 1 Purpose rating'!A8=0,"",'Table 1 Purpose rating'!A8)</f>
        <v>Cabbage, African</v>
      </c>
      <c r="B8" s="46">
        <f>'Table 1 Purpose rating'!B8</f>
        <v>5</v>
      </c>
      <c r="C8" s="58" t="str">
        <f>'Table 1 Purpose rating'!C8</f>
        <v>.25 - .75</v>
      </c>
      <c r="D8" s="640">
        <f>'Table 1 Purpose rating'!D8</f>
        <v>5.5</v>
      </c>
      <c r="E8" s="46" t="str">
        <f>'Table 1 Purpose rating'!E8</f>
        <v>F</v>
      </c>
      <c r="F8" s="46" t="str">
        <f>'Table 1 Purpose rating'!F8</f>
        <v>F</v>
      </c>
      <c r="G8" s="46" t="str">
        <f>'Table 1 Purpose rating'!G8</f>
        <v>G</v>
      </c>
      <c r="H8" s="46" t="str">
        <f>'Table 1 Purpose rating'!H8</f>
        <v>N</v>
      </c>
      <c r="I8" s="46" t="str">
        <f>'Table 1 Purpose rating'!I8</f>
        <v>F</v>
      </c>
      <c r="J8" s="46" t="str">
        <f>'Table 1 Purpose rating'!J8</f>
        <v>F</v>
      </c>
      <c r="K8" s="46" t="str">
        <f>'Table 1 Purpose rating'!K8</f>
        <v>F</v>
      </c>
      <c r="L8" s="46" t="str">
        <f>'Table 1 Purpose rating'!L8</f>
        <v>MM</v>
      </c>
      <c r="M8" s="46" t="str">
        <f>'Table 1 Purpose rating'!M8</f>
        <v>G</v>
      </c>
      <c r="N8" s="46" t="str">
        <f>'Table 1 Purpose rating'!N8</f>
        <v>G</v>
      </c>
      <c r="O8" s="46" t="str">
        <f>'Table 1 Purpose rating'!O8</f>
        <v>F</v>
      </c>
      <c r="P8" s="57" t="str">
        <f>'Table 1 Purpose rating'!P8</f>
        <v>CB</v>
      </c>
      <c r="Q8" s="53" t="str">
        <f>'Table 1 Purpose rating'!Q8</f>
        <v>N</v>
      </c>
      <c r="R8" s="46" t="str">
        <f>'Table 1 Purpose rating'!R8</f>
        <v>G</v>
      </c>
      <c r="S8" s="46" t="str">
        <f>'Table 1 Purpose rating'!S8</f>
        <v>L</v>
      </c>
      <c r="T8" s="46" t="str">
        <f>'Table 1 Purpose rating'!T8</f>
        <v>N</v>
      </c>
      <c r="U8" s="47">
        <f>'Table 1 Purpose rating'!U8</f>
        <v>180000</v>
      </c>
      <c r="V8" s="46" t="str">
        <f>'Table 1 Purpose rating'!V8</f>
        <v>F</v>
      </c>
      <c r="W8" s="53">
        <f>'Table 1 Purpose rating'!W8</f>
        <v>0</v>
      </c>
      <c r="X8" s="53" t="str">
        <f>'Table 1 Purpose rating'!X8</f>
        <v>X</v>
      </c>
      <c r="Y8" s="53">
        <f>'Table 1 Purpose rating'!Y8</f>
        <v>0</v>
      </c>
      <c r="Z8" s="53">
        <f>'Table 1 Purpose rating'!Z8</f>
        <v>0</v>
      </c>
      <c r="AA8" s="53" t="str">
        <f>'Table 1 Purpose rating'!AA8</f>
        <v>X</v>
      </c>
      <c r="AB8" s="53" t="str">
        <f>'Table 1 Purpose rating'!AB8</f>
        <v>X</v>
      </c>
      <c r="AC8" s="53">
        <f>'Table 1 Purpose rating'!AC8</f>
        <v>1</v>
      </c>
      <c r="AD8" s="53" t="str">
        <f>'Table 1 Purpose rating'!AD8</f>
        <v>High</v>
      </c>
      <c r="AE8" s="53" t="str">
        <f>'Table 1 Purpose rating'!AE8</f>
        <v>High</v>
      </c>
      <c r="AF8" s="55" t="str">
        <f>'Table 1 Purpose rating'!AF8</f>
        <v>Cabbage, African</v>
      </c>
      <c r="AG8" s="702">
        <f t="shared" si="0"/>
        <v>20.66115702479339</v>
      </c>
    </row>
    <row r="9" spans="1:54" ht="15.75" customHeight="1" x14ac:dyDescent="0.2">
      <c r="A9" s="639" t="str">
        <f>IF('Table 1 Purpose rating'!A9=0,"",'Table 1 Purpose rating'!A9)</f>
        <v>Camelina, Winter</v>
      </c>
      <c r="B9" s="46">
        <f>'Table 1 Purpose rating'!B9</f>
        <v>3</v>
      </c>
      <c r="C9" s="58" t="str">
        <f>'Table 1 Purpose rating'!C9</f>
        <v>.25 - .5</v>
      </c>
      <c r="D9" s="640">
        <f>'Table 1 Purpose rating'!D9</f>
        <v>3</v>
      </c>
      <c r="E9" s="46" t="str">
        <f>'Table 1 Purpose rating'!E9</f>
        <v>F</v>
      </c>
      <c r="F9" s="46" t="str">
        <f>'Table 1 Purpose rating'!F9</f>
        <v>F</v>
      </c>
      <c r="G9" s="46" t="str">
        <f>'Table 1 Purpose rating'!G9</f>
        <v>F</v>
      </c>
      <c r="H9" s="46" t="str">
        <f>'Table 1 Purpose rating'!H9</f>
        <v>N</v>
      </c>
      <c r="I9" s="46" t="str">
        <f>'Table 1 Purpose rating'!I9</f>
        <v>P</v>
      </c>
      <c r="J9" s="46" t="str">
        <f>'Table 1 Purpose rating'!J9</f>
        <v>P</v>
      </c>
      <c r="K9" s="46" t="str">
        <f>'Table 1 Purpose rating'!K9</f>
        <v>P</v>
      </c>
      <c r="L9" s="46" t="str">
        <f>'Table 1 Purpose rating'!L9</f>
        <v>ML</v>
      </c>
      <c r="M9" s="46" t="str">
        <f>'Table 1 Purpose rating'!M9</f>
        <v>P</v>
      </c>
      <c r="N9" s="46" t="str">
        <f>'Table 1 Purpose rating'!N9</f>
        <v>F</v>
      </c>
      <c r="O9" s="46" t="str">
        <f>'Table 1 Purpose rating'!O9</f>
        <v>F</v>
      </c>
      <c r="P9" s="57" t="str">
        <f>'Table 1 Purpose rating'!P9</f>
        <v>CB</v>
      </c>
      <c r="Q9" s="53" t="str">
        <f>'Table 1 Purpose rating'!Q9</f>
        <v>N /6</v>
      </c>
      <c r="R9" s="46" t="str">
        <f>'Table 1 Purpose rating'!R9</f>
        <v>P</v>
      </c>
      <c r="S9" s="46" t="str">
        <f>'Table 1 Purpose rating'!S9</f>
        <v>L</v>
      </c>
      <c r="T9" s="46" t="str">
        <f>'Table 1 Purpose rating'!T9</f>
        <v>N</v>
      </c>
      <c r="U9" s="47">
        <f>'Table 1 Purpose rating'!U9</f>
        <v>400000</v>
      </c>
      <c r="V9" s="46" t="str">
        <f>'Table 1 Purpose rating'!V9</f>
        <v>P</v>
      </c>
      <c r="W9" s="53">
        <f>'Table 1 Purpose rating'!W9</f>
        <v>0</v>
      </c>
      <c r="X9" s="53">
        <f>'Table 1 Purpose rating'!X9</f>
        <v>0</v>
      </c>
      <c r="Y9" s="53">
        <f>'Table 1 Purpose rating'!Y9</f>
        <v>0</v>
      </c>
      <c r="Z9" s="53">
        <f>'Table 1 Purpose rating'!Z9</f>
        <v>0</v>
      </c>
      <c r="AA9" s="53">
        <f>'Table 1 Purpose rating'!AA9</f>
        <v>0</v>
      </c>
      <c r="AB9" s="53">
        <f>'Table 1 Purpose rating'!AB9</f>
        <v>0</v>
      </c>
      <c r="AC9" s="53">
        <f>'Table 1 Purpose rating'!AC9</f>
        <v>0</v>
      </c>
      <c r="AD9" s="53" t="str">
        <f>'Table 1 Purpose rating'!AD9</f>
        <v>High</v>
      </c>
      <c r="AE9" s="53" t="str">
        <f>'Table 1 Purpose rating'!AE9</f>
        <v>High</v>
      </c>
      <c r="AF9" s="55" t="str">
        <f>'Table 1 Purpose rating'!AF9</f>
        <v>Camelina, Winter</v>
      </c>
      <c r="AG9" s="702">
        <f t="shared" si="0"/>
        <v>27.548209366391184</v>
      </c>
    </row>
    <row r="10" spans="1:54" x14ac:dyDescent="0.2">
      <c r="A10" s="639" t="str">
        <f>IF('Table 1 Purpose rating'!A10=0,"",'Table 1 Purpose rating'!A10)</f>
        <v>Canola</v>
      </c>
      <c r="B10" s="46">
        <f>'Table 1 Purpose rating'!B10</f>
        <v>5</v>
      </c>
      <c r="C10" s="58" t="str">
        <f>'Table 1 Purpose rating'!C10</f>
        <v>.25 - .75</v>
      </c>
      <c r="D10" s="641">
        <f>'Table 1 Purpose rating'!D10</f>
        <v>3.19</v>
      </c>
      <c r="E10" s="46" t="str">
        <f>'Table 1 Purpose rating'!E10</f>
        <v>F</v>
      </c>
      <c r="F10" s="46" t="str">
        <f>'Table 1 Purpose rating'!F10</f>
        <v>F</v>
      </c>
      <c r="G10" s="46" t="str">
        <f>'Table 1 Purpose rating'!G10</f>
        <v>G</v>
      </c>
      <c r="H10" s="46" t="str">
        <f>'Table 1 Purpose rating'!H10</f>
        <v>N</v>
      </c>
      <c r="I10" s="46" t="str">
        <f>'Table 1 Purpose rating'!I10</f>
        <v>G</v>
      </c>
      <c r="J10" s="46" t="str">
        <f>'Table 1 Purpose rating'!J10</f>
        <v>F</v>
      </c>
      <c r="K10" s="46" t="str">
        <f>'Table 1 Purpose rating'!K10</f>
        <v>F</v>
      </c>
      <c r="L10" s="46" t="str">
        <f>'Table 1 Purpose rating'!L10</f>
        <v>MM</v>
      </c>
      <c r="M10" s="46" t="str">
        <f>'Table 1 Purpose rating'!M10</f>
        <v>G</v>
      </c>
      <c r="N10" s="46" t="str">
        <f>'Table 1 Purpose rating'!N10</f>
        <v>G</v>
      </c>
      <c r="O10" s="46" t="str">
        <f>'Table 1 Purpose rating'!O10</f>
        <v>F</v>
      </c>
      <c r="P10" s="57" t="str">
        <f>'Table 1 Purpose rating'!P10</f>
        <v>CB</v>
      </c>
      <c r="Q10" s="53" t="str">
        <f>'Table 1 Purpose rating'!Q10</f>
        <v>N /6</v>
      </c>
      <c r="R10" s="46" t="str">
        <f>'Table 1 Purpose rating'!R10</f>
        <v>G</v>
      </c>
      <c r="S10" s="46" t="str">
        <f>'Table 1 Purpose rating'!S10</f>
        <v>L</v>
      </c>
      <c r="T10" s="46" t="str">
        <f>'Table 1 Purpose rating'!T10</f>
        <v>N</v>
      </c>
      <c r="U10" s="47">
        <f>'Table 1 Purpose rating'!U10</f>
        <v>140000</v>
      </c>
      <c r="V10" s="46" t="str">
        <f>'Table 1 Purpose rating'!V10</f>
        <v>F</v>
      </c>
      <c r="W10" s="53">
        <f>'Table 1 Purpose rating'!W10</f>
        <v>0</v>
      </c>
      <c r="X10" s="53" t="str">
        <f>'Table 1 Purpose rating'!X10</f>
        <v>X</v>
      </c>
      <c r="Y10" s="53" t="str">
        <f>'Table 1 Purpose rating'!Y10</f>
        <v>X</v>
      </c>
      <c r="Z10" s="53">
        <f>'Table 1 Purpose rating'!Z10</f>
        <v>0</v>
      </c>
      <c r="AA10" s="53" t="str">
        <f>'Table 1 Purpose rating'!AA10</f>
        <v>X</v>
      </c>
      <c r="AB10" s="53" t="str">
        <f>'Table 1 Purpose rating'!AB10</f>
        <v>X</v>
      </c>
      <c r="AC10" s="53">
        <f>'Table 1 Purpose rating'!AC10</f>
        <v>1</v>
      </c>
      <c r="AD10" s="46" t="str">
        <f>'Table 1 Purpose rating'!AD10</f>
        <v>High</v>
      </c>
      <c r="AE10" s="53" t="str">
        <f>'Table 1 Purpose rating'!AE10</f>
        <v>High</v>
      </c>
      <c r="AF10" s="55" t="str">
        <f>'Table 1 Purpose rating'!AF10</f>
        <v>Canola</v>
      </c>
      <c r="AG10" s="702">
        <f t="shared" si="0"/>
        <v>16.069788797061523</v>
      </c>
    </row>
    <row r="11" spans="1:54" ht="15.75" customHeight="1" x14ac:dyDescent="0.2">
      <c r="A11" s="639" t="str">
        <f>IF('Table 1 Purpose rating'!A11=0,"",'Table 1 Purpose rating'!A11)</f>
        <v>Clover, Balansa</v>
      </c>
      <c r="B11" s="46">
        <f>'Table 1 Purpose rating'!B11</f>
        <v>5</v>
      </c>
      <c r="C11" s="58" t="str">
        <f>'Table 1 Purpose rating'!C11</f>
        <v>.25 - .75</v>
      </c>
      <c r="D11" s="642">
        <f>'Table 1 Purpose rating'!D11</f>
        <v>3.37</v>
      </c>
      <c r="E11" s="46" t="str">
        <f>'Table 1 Purpose rating'!E11</f>
        <v>F</v>
      </c>
      <c r="F11" s="46" t="str">
        <f>'Table 1 Purpose rating'!F11</f>
        <v>P</v>
      </c>
      <c r="G11" s="46" t="str">
        <f>'Table 1 Purpose rating'!G11</f>
        <v>F</v>
      </c>
      <c r="H11" s="46" t="str">
        <f>'Table 1 Purpose rating'!H11</f>
        <v>Y</v>
      </c>
      <c r="I11" s="46" t="str">
        <f>'Table 1 Purpose rating'!I11</f>
        <v>P</v>
      </c>
      <c r="J11" s="46" t="str">
        <f>'Table 1 Purpose rating'!J11</f>
        <v>P</v>
      </c>
      <c r="K11" s="46" t="str">
        <f>'Table 1 Purpose rating'!K11</f>
        <v>F</v>
      </c>
      <c r="L11" s="46" t="str">
        <f>'Table 1 Purpose rating'!L11</f>
        <v>SL</v>
      </c>
      <c r="M11" s="46" t="str">
        <f>'Table 1 Purpose rating'!M11</f>
        <v>P</v>
      </c>
      <c r="N11" s="46" t="str">
        <f>'Table 1 Purpose rating'!N11</f>
        <v>P</v>
      </c>
      <c r="O11" s="46" t="str">
        <f>'Table 1 Purpose rating'!O11</f>
        <v>F</v>
      </c>
      <c r="P11" s="57" t="str">
        <f>'Table 1 Purpose rating'!P11</f>
        <v>CB</v>
      </c>
      <c r="Q11" s="53" t="str">
        <f>'Table 1 Purpose rating'!Q11</f>
        <v>N</v>
      </c>
      <c r="R11" s="46" t="str">
        <f>'Table 1 Purpose rating'!R11</f>
        <v>P</v>
      </c>
      <c r="S11" s="46" t="str">
        <f>'Table 1 Purpose rating'!S11</f>
        <v>L</v>
      </c>
      <c r="T11" s="46" t="str">
        <f>'Table 1 Purpose rating'!T11</f>
        <v>M</v>
      </c>
      <c r="U11" s="47">
        <f>'Table 1 Purpose rating'!U11</f>
        <v>500000</v>
      </c>
      <c r="V11" s="46" t="str">
        <f>'Table 1 Purpose rating'!V11</f>
        <v>F</v>
      </c>
      <c r="W11" s="53">
        <f>'Table 1 Purpose rating'!W11</f>
        <v>0</v>
      </c>
      <c r="X11" s="53" t="str">
        <f>'Table 1 Purpose rating'!X11</f>
        <v>X</v>
      </c>
      <c r="Y11" s="53" t="str">
        <f>'Table 1 Purpose rating'!Y11</f>
        <v>X</v>
      </c>
      <c r="Z11" s="53">
        <f>'Table 1 Purpose rating'!Z11</f>
        <v>0</v>
      </c>
      <c r="AA11" s="53" t="str">
        <f>'Table 1 Purpose rating'!AA11</f>
        <v>X</v>
      </c>
      <c r="AB11" s="53">
        <f>'Table 1 Purpose rating'!AB11</f>
        <v>0</v>
      </c>
      <c r="AC11" s="53" t="str">
        <f>'Table 1 Purpose rating'!AC11</f>
        <v>1,2,3,4</v>
      </c>
      <c r="AD11" s="46" t="str">
        <f>'Table 1 Purpose rating'!AD11</f>
        <v>High</v>
      </c>
      <c r="AE11" s="53" t="str">
        <f>'Table 1 Purpose rating'!AE11</f>
        <v>Moderate</v>
      </c>
      <c r="AF11" s="55" t="str">
        <f>'Table 1 Purpose rating'!AF11</f>
        <v>Clover, Balansa</v>
      </c>
      <c r="AG11" s="702">
        <f t="shared" si="0"/>
        <v>57.392102846648299</v>
      </c>
    </row>
    <row r="12" spans="1:54" ht="15.75" customHeight="1" x14ac:dyDescent="0.2">
      <c r="A12" s="639" t="str">
        <f>IF('Table 1 Purpose rating'!A12=0,"",'Table 1 Purpose rating'!A12)</f>
        <v>Clover, Crimson</v>
      </c>
      <c r="B12" s="46">
        <f>'Table 1 Purpose rating'!B12</f>
        <v>15</v>
      </c>
      <c r="C12" s="58" t="str">
        <f>'Table 1 Purpose rating'!C12</f>
        <v>.25 - .75</v>
      </c>
      <c r="D12" s="642">
        <f>'Table 1 Purpose rating'!D12</f>
        <v>2.6666666666666665</v>
      </c>
      <c r="E12" s="46" t="str">
        <f>'Table 1 Purpose rating'!E12</f>
        <v>F</v>
      </c>
      <c r="F12" s="46" t="str">
        <f>'Table 1 Purpose rating'!F12</f>
        <v>F</v>
      </c>
      <c r="G12" s="46" t="str">
        <f>'Table 1 Purpose rating'!G12</f>
        <v>F</v>
      </c>
      <c r="H12" s="46" t="str">
        <f>'Table 1 Purpose rating'!H12</f>
        <v>Y</v>
      </c>
      <c r="I12" s="46" t="str">
        <f>'Table 1 Purpose rating'!I12</f>
        <v>P</v>
      </c>
      <c r="J12" s="46" t="str">
        <f>'Table 1 Purpose rating'!J12</f>
        <v>F</v>
      </c>
      <c r="K12" s="46" t="str">
        <f>'Table 1 Purpose rating'!K12</f>
        <v>F</v>
      </c>
      <c r="L12" s="46" t="str">
        <f>'Table 1 Purpose rating'!L12</f>
        <v>SM</v>
      </c>
      <c r="M12" s="46" t="str">
        <f>'Table 1 Purpose rating'!M12</f>
        <v>P</v>
      </c>
      <c r="N12" s="46" t="str">
        <f>'Table 1 Purpose rating'!N12</f>
        <v>P</v>
      </c>
      <c r="O12" s="46" t="str">
        <f>'Table 1 Purpose rating'!O12</f>
        <v>F</v>
      </c>
      <c r="P12" s="57" t="str">
        <f>'Table 1 Purpose rating'!P12</f>
        <v>CB</v>
      </c>
      <c r="Q12" s="53" t="str">
        <f>'Table 1 Purpose rating'!Q12</f>
        <v>N /6</v>
      </c>
      <c r="R12" s="46" t="str">
        <f>'Table 1 Purpose rating'!R12</f>
        <v>P</v>
      </c>
      <c r="S12" s="46" t="str">
        <f>'Table 1 Purpose rating'!S12</f>
        <v>L</v>
      </c>
      <c r="T12" s="46" t="str">
        <f>'Table 1 Purpose rating'!T12</f>
        <v>M</v>
      </c>
      <c r="U12" s="47">
        <f>'Table 1 Purpose rating'!U12</f>
        <v>150000</v>
      </c>
      <c r="V12" s="46" t="str">
        <f>'Table 1 Purpose rating'!V12</f>
        <v>F</v>
      </c>
      <c r="W12" s="53">
        <f>'Table 1 Purpose rating'!W12</f>
        <v>0</v>
      </c>
      <c r="X12" s="53" t="str">
        <f>'Table 1 Purpose rating'!X12</f>
        <v>X</v>
      </c>
      <c r="Y12" s="53" t="str">
        <f>'Table 1 Purpose rating'!Y12</f>
        <v>X</v>
      </c>
      <c r="Z12" s="53">
        <f>'Table 1 Purpose rating'!Z12</f>
        <v>0</v>
      </c>
      <c r="AA12" s="53" t="str">
        <f>'Table 1 Purpose rating'!AA12</f>
        <v>X</v>
      </c>
      <c r="AB12" s="53">
        <f>'Table 1 Purpose rating'!AB12</f>
        <v>0</v>
      </c>
      <c r="AC12" s="53" t="str">
        <f>'Table 1 Purpose rating'!AC12</f>
        <v>1,2,3,4</v>
      </c>
      <c r="AD12" s="46" t="str">
        <f>'Table 1 Purpose rating'!AD12</f>
        <v>High</v>
      </c>
      <c r="AE12" s="53" t="str">
        <f>'Table 1 Purpose rating'!AE12</f>
        <v>Moderate</v>
      </c>
      <c r="AF12" s="55" t="str">
        <f>'Table 1 Purpose rating'!AF12</f>
        <v>Clover, Crimson</v>
      </c>
      <c r="AG12" s="702">
        <f t="shared" si="0"/>
        <v>51.652892561983471</v>
      </c>
    </row>
    <row r="13" spans="1:54" ht="15.75" customHeight="1" x14ac:dyDescent="0.2">
      <c r="A13" s="639" t="str">
        <f>IF('Table 1 Purpose rating'!A13=0,"",'Table 1 Purpose rating'!A13)</f>
        <v xml:space="preserve">Clover, Red </v>
      </c>
      <c r="B13" s="46">
        <f>'Table 1 Purpose rating'!B13</f>
        <v>5</v>
      </c>
      <c r="C13" s="58" t="str">
        <f>'Table 1 Purpose rating'!C13</f>
        <v>.25 - .75</v>
      </c>
      <c r="D13" s="642">
        <f>'Table 1 Purpose rating'!D13</f>
        <v>3.85</v>
      </c>
      <c r="E13" s="46" t="str">
        <f>'Table 1 Purpose rating'!E13</f>
        <v>G</v>
      </c>
      <c r="F13" s="46" t="str">
        <f>'Table 1 Purpose rating'!F13</f>
        <v>F</v>
      </c>
      <c r="G13" s="46" t="str">
        <f>'Table 1 Purpose rating'!G13</f>
        <v>F</v>
      </c>
      <c r="H13" s="46" t="str">
        <f>'Table 1 Purpose rating'!H13</f>
        <v>Y</v>
      </c>
      <c r="I13" s="46" t="str">
        <f>'Table 1 Purpose rating'!I13</f>
        <v>F</v>
      </c>
      <c r="J13" s="46" t="str">
        <f>'Table 1 Purpose rating'!J13</f>
        <v>F</v>
      </c>
      <c r="K13" s="46" t="str">
        <f>'Table 1 Purpose rating'!K13</f>
        <v>F</v>
      </c>
      <c r="L13" s="46" t="str">
        <f>'Table 1 Purpose rating'!L13</f>
        <v>SL</v>
      </c>
      <c r="M13" s="46" t="str">
        <f>'Table 1 Purpose rating'!M13</f>
        <v>F</v>
      </c>
      <c r="N13" s="46" t="str">
        <f>'Table 1 Purpose rating'!N13</f>
        <v>F</v>
      </c>
      <c r="O13" s="46" t="str">
        <f>'Table 1 Purpose rating'!O13</f>
        <v>F</v>
      </c>
      <c r="P13" s="57" t="str">
        <f>'Table 1 Purpose rating'!P13</f>
        <v>CB</v>
      </c>
      <c r="Q13" s="53" t="str">
        <f>'Table 1 Purpose rating'!Q13</f>
        <v>Y</v>
      </c>
      <c r="R13" s="46" t="str">
        <f>'Table 1 Purpose rating'!R13</f>
        <v>P</v>
      </c>
      <c r="S13" s="46" t="str">
        <f>'Table 1 Purpose rating'!S13</f>
        <v>L</v>
      </c>
      <c r="T13" s="46" t="str">
        <f>'Table 1 Purpose rating'!T13</f>
        <v>M</v>
      </c>
      <c r="U13" s="47">
        <f>'Table 1 Purpose rating'!U13</f>
        <v>275000</v>
      </c>
      <c r="V13" s="46" t="str">
        <f>'Table 1 Purpose rating'!V13</f>
        <v>G</v>
      </c>
      <c r="W13" s="53">
        <f>'Table 1 Purpose rating'!W13</f>
        <v>0</v>
      </c>
      <c r="X13" s="53" t="str">
        <f>'Table 1 Purpose rating'!X13</f>
        <v>X</v>
      </c>
      <c r="Y13" s="53" t="str">
        <f>'Table 1 Purpose rating'!Y13</f>
        <v>X</v>
      </c>
      <c r="Z13" s="53">
        <f>'Table 1 Purpose rating'!Z13</f>
        <v>0</v>
      </c>
      <c r="AA13" s="53" t="str">
        <f>'Table 1 Purpose rating'!AA13</f>
        <v>X</v>
      </c>
      <c r="AB13" s="53">
        <f>'Table 1 Purpose rating'!AB13</f>
        <v>0</v>
      </c>
      <c r="AC13" s="53" t="str">
        <f>'Table 1 Purpose rating'!AC13</f>
        <v>1,2,3,4</v>
      </c>
      <c r="AD13" s="46" t="str">
        <f>'Table 1 Purpose rating'!AD13</f>
        <v>High</v>
      </c>
      <c r="AE13" s="53" t="str">
        <f>'Table 1 Purpose rating'!AE13</f>
        <v>Low</v>
      </c>
      <c r="AF13" s="55" t="str">
        <f>'Table 1 Purpose rating'!AF13</f>
        <v xml:space="preserve">Clover, Red </v>
      </c>
      <c r="AG13" s="702">
        <f t="shared" si="0"/>
        <v>31.565656565656564</v>
      </c>
    </row>
    <row r="14" spans="1:54" ht="15.75" customHeight="1" x14ac:dyDescent="0.2">
      <c r="A14" s="639" t="str">
        <f>IF('Table 1 Purpose rating'!A14=0,"",'Table 1 Purpose rating'!A14)</f>
        <v>Clover, Sweet</v>
      </c>
      <c r="B14" s="46">
        <f>'Table 1 Purpose rating'!B14</f>
        <v>4</v>
      </c>
      <c r="C14" s="58" t="str">
        <f>'Table 1 Purpose rating'!C14</f>
        <v>.25 - 1.0</v>
      </c>
      <c r="D14" s="642">
        <f>'Table 1 Purpose rating'!D14</f>
        <v>4.25</v>
      </c>
      <c r="E14" s="46" t="str">
        <f>'Table 1 Purpose rating'!E14</f>
        <v>G</v>
      </c>
      <c r="F14" s="46" t="str">
        <f>'Table 1 Purpose rating'!F14</f>
        <v>G</v>
      </c>
      <c r="G14" s="46" t="str">
        <f>'Table 1 Purpose rating'!G14</f>
        <v>F</v>
      </c>
      <c r="H14" s="46" t="str">
        <f>'Table 1 Purpose rating'!H14</f>
        <v>Y</v>
      </c>
      <c r="I14" s="46" t="str">
        <f>'Table 1 Purpose rating'!I14</f>
        <v>G</v>
      </c>
      <c r="J14" s="46" t="str">
        <f>'Table 1 Purpose rating'!J14</f>
        <v>F</v>
      </c>
      <c r="K14" s="46" t="str">
        <f>'Table 1 Purpose rating'!K14</f>
        <v>F</v>
      </c>
      <c r="L14" s="46" t="str">
        <f>'Table 1 Purpose rating'!L14</f>
        <v>MM</v>
      </c>
      <c r="M14" s="46" t="str">
        <f>'Table 1 Purpose rating'!M14</f>
        <v>G</v>
      </c>
      <c r="N14" s="46" t="str">
        <f>'Table 1 Purpose rating'!N14</f>
        <v>G</v>
      </c>
      <c r="O14" s="46" t="str">
        <f>'Table 1 Purpose rating'!O14</f>
        <v>F</v>
      </c>
      <c r="P14" s="57" t="str">
        <f>'Table 1 Purpose rating'!P14</f>
        <v>CB</v>
      </c>
      <c r="Q14" s="53" t="str">
        <f>'Table 1 Purpose rating'!Q14</f>
        <v>Y</v>
      </c>
      <c r="R14" s="46" t="str">
        <f>'Table 1 Purpose rating'!R14</f>
        <v>F</v>
      </c>
      <c r="S14" s="46" t="str">
        <f>'Table 1 Purpose rating'!S14</f>
        <v>L</v>
      </c>
      <c r="T14" s="46" t="str">
        <f>'Table 1 Purpose rating'!T14</f>
        <v>M</v>
      </c>
      <c r="U14" s="47">
        <f>'Table 1 Purpose rating'!U14</f>
        <v>260000</v>
      </c>
      <c r="V14" s="46" t="str">
        <f>'Table 1 Purpose rating'!V14</f>
        <v>G</v>
      </c>
      <c r="W14" s="53">
        <f>'Table 1 Purpose rating'!W14</f>
        <v>0</v>
      </c>
      <c r="X14" s="53" t="str">
        <f>'Table 1 Purpose rating'!X14</f>
        <v>X</v>
      </c>
      <c r="Y14" s="53">
        <f>'Table 1 Purpose rating'!Y14</f>
        <v>0</v>
      </c>
      <c r="Z14" s="53">
        <f>'Table 1 Purpose rating'!Z14</f>
        <v>0</v>
      </c>
      <c r="AA14" s="53" t="str">
        <f>'Table 1 Purpose rating'!AA14</f>
        <v>X</v>
      </c>
      <c r="AB14" s="53">
        <f>'Table 1 Purpose rating'!AB14</f>
        <v>0</v>
      </c>
      <c r="AC14" s="53" t="str">
        <f>'Table 1 Purpose rating'!AC14</f>
        <v>1,2,3</v>
      </c>
      <c r="AD14" s="46" t="str">
        <f>'Table 1 Purpose rating'!AD14</f>
        <v>High</v>
      </c>
      <c r="AE14" s="53" t="str">
        <f>'Table 1 Purpose rating'!AE14</f>
        <v>High</v>
      </c>
      <c r="AF14" s="55" t="str">
        <f>'Table 1 Purpose rating'!AF14</f>
        <v>Clover, Sweet</v>
      </c>
      <c r="AG14" s="702">
        <f t="shared" si="0"/>
        <v>23.875114784205692</v>
      </c>
    </row>
    <row r="15" spans="1:54" ht="15.75" customHeight="1" x14ac:dyDescent="0.2">
      <c r="A15" s="639" t="str">
        <f>IF('Table 1 Purpose rating'!A15=0,"",'Table 1 Purpose rating'!A15)</f>
        <v>Collards or Kale</v>
      </c>
      <c r="B15" s="46">
        <f>'Table 1 Purpose rating'!B15</f>
        <v>5</v>
      </c>
      <c r="C15" s="58" t="str">
        <f>'Table 1 Purpose rating'!C15</f>
        <v>.25 - .5</v>
      </c>
      <c r="D15" s="642">
        <f>'Table 1 Purpose rating'!D15</f>
        <v>3.1</v>
      </c>
      <c r="E15" s="46" t="str">
        <f>'Table 1 Purpose rating'!E15</f>
        <v>F</v>
      </c>
      <c r="F15" s="46" t="str">
        <f>'Table 1 Purpose rating'!F15</f>
        <v>F</v>
      </c>
      <c r="G15" s="46" t="str">
        <f>'Table 1 Purpose rating'!G15</f>
        <v>G</v>
      </c>
      <c r="H15" s="46" t="str">
        <f>'Table 1 Purpose rating'!H15</f>
        <v>N</v>
      </c>
      <c r="I15" s="46" t="str">
        <f>'Table 1 Purpose rating'!I15</f>
        <v>G</v>
      </c>
      <c r="J15" s="46" t="str">
        <f>'Table 1 Purpose rating'!J15</f>
        <v>F</v>
      </c>
      <c r="K15" s="46" t="str">
        <f>'Table 1 Purpose rating'!K15</f>
        <v>G</v>
      </c>
      <c r="L15" s="46" t="str">
        <f>'Table 1 Purpose rating'!L15</f>
        <v>MM</v>
      </c>
      <c r="M15" s="46" t="str">
        <f>'Table 1 Purpose rating'!M15</f>
        <v>G</v>
      </c>
      <c r="N15" s="46" t="str">
        <f>'Table 1 Purpose rating'!N15</f>
        <v>G</v>
      </c>
      <c r="O15" s="46" t="str">
        <f>'Table 1 Purpose rating'!O15</f>
        <v>F</v>
      </c>
      <c r="P15" s="57" t="str">
        <f>'Table 1 Purpose rating'!P15</f>
        <v>CB</v>
      </c>
      <c r="Q15" s="53" t="str">
        <f>'Table 1 Purpose rating'!Q15</f>
        <v>N</v>
      </c>
      <c r="R15" s="46" t="str">
        <f>'Table 1 Purpose rating'!R15</f>
        <v>G</v>
      </c>
      <c r="S15" s="46" t="str">
        <f>'Table 1 Purpose rating'!S15</f>
        <v>L</v>
      </c>
      <c r="T15" s="46" t="str">
        <f>'Table 1 Purpose rating'!T15</f>
        <v>N</v>
      </c>
      <c r="U15" s="47">
        <f>'Table 1 Purpose rating'!U15</f>
        <v>175000</v>
      </c>
      <c r="V15" s="46" t="str">
        <f>'Table 1 Purpose rating'!V15</f>
        <v>F</v>
      </c>
      <c r="W15" s="66">
        <f>'Table 1 Purpose rating'!W15</f>
        <v>0</v>
      </c>
      <c r="X15" s="53" t="str">
        <f>'Table 1 Purpose rating'!X15</f>
        <v>X</v>
      </c>
      <c r="Y15" s="53" t="str">
        <f>'Table 1 Purpose rating'!Y15</f>
        <v>X</v>
      </c>
      <c r="Z15" s="53">
        <f>'Table 1 Purpose rating'!Z15</f>
        <v>0</v>
      </c>
      <c r="AA15" s="53" t="str">
        <f>'Table 1 Purpose rating'!AA15</f>
        <v>X</v>
      </c>
      <c r="AB15" s="53" t="str">
        <f>'Table 1 Purpose rating'!AB15</f>
        <v>X</v>
      </c>
      <c r="AC15" s="53">
        <f>'Table 1 Purpose rating'!AC15</f>
        <v>1</v>
      </c>
      <c r="AD15" s="46" t="str">
        <f>'Table 1 Purpose rating'!AD15</f>
        <v>High</v>
      </c>
      <c r="AE15" s="53" t="str">
        <f>'Table 1 Purpose rating'!AE15</f>
        <v>High</v>
      </c>
      <c r="AF15" s="55" t="str">
        <f>'Table 1 Purpose rating'!AF15</f>
        <v>Collards or Kale</v>
      </c>
      <c r="AG15" s="702">
        <f t="shared" si="0"/>
        <v>20.087235996326907</v>
      </c>
    </row>
    <row r="16" spans="1:54" x14ac:dyDescent="0.2">
      <c r="A16" s="639" t="str">
        <f>IF('Table 1 Purpose rating'!A16=0,"",'Table 1 Purpose rating'!A16)</f>
        <v>Corn</v>
      </c>
      <c r="B16" s="46">
        <f>'Table 1 Purpose rating'!B16</f>
        <v>12</v>
      </c>
      <c r="C16" s="58" t="str">
        <f>'Table 1 Purpose rating'!C16</f>
        <v>1 - 1.5</v>
      </c>
      <c r="D16" s="642">
        <f>'Table 1 Purpose rating'!D16</f>
        <v>1.54</v>
      </c>
      <c r="E16" s="46" t="str">
        <f>'Table 1 Purpose rating'!E16</f>
        <v>G</v>
      </c>
      <c r="F16" s="46" t="str">
        <f>'Table 1 Purpose rating'!F16</f>
        <v>G</v>
      </c>
      <c r="G16" s="46" t="str">
        <f>'Table 1 Purpose rating'!G16</f>
        <v>G</v>
      </c>
      <c r="H16" s="46" t="str">
        <f>'Table 1 Purpose rating'!H16</f>
        <v>N</v>
      </c>
      <c r="I16" s="46" t="str">
        <f>'Table 1 Purpose rating'!I16</f>
        <v>G</v>
      </c>
      <c r="J16" s="46" t="str">
        <f>'Table 1 Purpose rating'!J16</f>
        <v>F</v>
      </c>
      <c r="K16" s="46" t="str">
        <f>'Table 1 Purpose rating'!K16</f>
        <v>G</v>
      </c>
      <c r="L16" s="46" t="str">
        <f>'Table 1 Purpose rating'!L16</f>
        <v>DH</v>
      </c>
      <c r="M16" s="46" t="str">
        <f>'Table 1 Purpose rating'!M16</f>
        <v>G</v>
      </c>
      <c r="N16" s="46" t="str">
        <f>'Table 1 Purpose rating'!N16</f>
        <v>G</v>
      </c>
      <c r="O16" s="46" t="str">
        <f>'Table 1 Purpose rating'!O16</f>
        <v>L</v>
      </c>
      <c r="P16" s="57" t="str">
        <f>'Table 1 Purpose rating'!P16</f>
        <v>WG</v>
      </c>
      <c r="Q16" s="53" t="str">
        <f>'Table 1 Purpose rating'!Q16</f>
        <v>N</v>
      </c>
      <c r="R16" s="46" t="str">
        <f>'Table 1 Purpose rating'!R16</f>
        <v>P</v>
      </c>
      <c r="S16" s="46" t="str">
        <f>'Table 1 Purpose rating'!S16</f>
        <v>H</v>
      </c>
      <c r="T16" s="46" t="str">
        <f>'Table 1 Purpose rating'!T16</f>
        <v>H</v>
      </c>
      <c r="U16" s="47">
        <f>'Table 1 Purpose rating'!U16</f>
        <v>2500</v>
      </c>
      <c r="V16" s="46" t="str">
        <f>'Table 1 Purpose rating'!V16</f>
        <v>F</v>
      </c>
      <c r="W16" s="53">
        <f>'Table 1 Purpose rating'!W16</f>
        <v>0</v>
      </c>
      <c r="X16" s="53">
        <f>'Table 1 Purpose rating'!X16</f>
        <v>0</v>
      </c>
      <c r="Y16" s="53" t="str">
        <f>'Table 1 Purpose rating'!Y16</f>
        <v>X</v>
      </c>
      <c r="Z16" s="53" t="str">
        <f>'Table 1 Purpose rating'!Z16</f>
        <v>X</v>
      </c>
      <c r="AA16" s="53" t="str">
        <f>'Table 1 Purpose rating'!AA16</f>
        <v>X</v>
      </c>
      <c r="AB16" s="53" t="str">
        <f>'Table 1 Purpose rating'!AB16</f>
        <v>X</v>
      </c>
      <c r="AC16" s="53" t="str">
        <f>'Table 1 Purpose rating'!AC16</f>
        <v>1,2,3</v>
      </c>
      <c r="AD16" s="46" t="str">
        <f>'Table 1 Purpose rating'!AD16</f>
        <v>None</v>
      </c>
      <c r="AE16" s="53" t="str">
        <f>'Table 1 Purpose rating'!AE16</f>
        <v>Low</v>
      </c>
      <c r="AF16" s="55" t="str">
        <f>'Table 1 Purpose rating'!AF16</f>
        <v>Corn</v>
      </c>
      <c r="AG16" s="702">
        <f t="shared" si="0"/>
        <v>0.68870523415977958</v>
      </c>
    </row>
    <row r="17" spans="1:33" ht="15.75" customHeight="1" x14ac:dyDescent="0.2">
      <c r="A17" s="643" t="str">
        <f>IF('Table 1 Purpose rating'!A17=0,"",'Table 1 Purpose rating'!A17)</f>
        <v>Cowpeas or Dry Beans</v>
      </c>
      <c r="B17" s="46">
        <f>'Table 1 Purpose rating'!B17</f>
        <v>30</v>
      </c>
      <c r="C17" s="58" t="str">
        <f>'Table 1 Purpose rating'!C17</f>
        <v>1 - 1.5</v>
      </c>
      <c r="D17" s="642">
        <f>'Table 1 Purpose rating'!D17</f>
        <v>1.4</v>
      </c>
      <c r="E17" s="46" t="str">
        <f>'Table 1 Purpose rating'!E17</f>
        <v>P</v>
      </c>
      <c r="F17" s="46" t="str">
        <f>'Table 1 Purpose rating'!F17</f>
        <v>F</v>
      </c>
      <c r="G17" s="46" t="str">
        <f>'Table 1 Purpose rating'!G17</f>
        <v>F</v>
      </c>
      <c r="H17" s="46" t="str">
        <f>'Table 1 Purpose rating'!H17</f>
        <v>Y</v>
      </c>
      <c r="I17" s="46" t="str">
        <f>'Table 1 Purpose rating'!I17</f>
        <v>P</v>
      </c>
      <c r="J17" s="46" t="str">
        <f>'Table 1 Purpose rating'!J17</f>
        <v>P</v>
      </c>
      <c r="K17" s="46" t="str">
        <f>'Table 1 Purpose rating'!K17</f>
        <v>F</v>
      </c>
      <c r="L17" s="46" t="str">
        <f>'Table 1 Purpose rating'!L17</f>
        <v>SL</v>
      </c>
      <c r="M17" s="46" t="str">
        <f>'Table 1 Purpose rating'!M17</f>
        <v>F</v>
      </c>
      <c r="N17" s="46" t="str">
        <f>'Table 1 Purpose rating'!N17</f>
        <v>F</v>
      </c>
      <c r="O17" s="46" t="str">
        <f>'Table 1 Purpose rating'!O17</f>
        <v>L</v>
      </c>
      <c r="P17" s="57" t="str">
        <f>'Table 1 Purpose rating'!P17</f>
        <v>WB</v>
      </c>
      <c r="Q17" s="53" t="str">
        <f>'Table 1 Purpose rating'!Q17</f>
        <v>N</v>
      </c>
      <c r="R17" s="46" t="str">
        <f>'Table 1 Purpose rating'!R17</f>
        <v>P</v>
      </c>
      <c r="S17" s="46" t="str">
        <f>'Table 1 Purpose rating'!S17</f>
        <v>L</v>
      </c>
      <c r="T17" s="46" t="str">
        <f>'Table 1 Purpose rating'!T17</f>
        <v>M</v>
      </c>
      <c r="U17" s="47">
        <f>'Table 1 Purpose rating'!U17</f>
        <v>4000</v>
      </c>
      <c r="V17" s="46" t="str">
        <f>'Table 1 Purpose rating'!V17</f>
        <v>F</v>
      </c>
      <c r="W17" s="53">
        <f>'Table 1 Purpose rating'!W17</f>
        <v>0</v>
      </c>
      <c r="X17" s="53" t="str">
        <f>'Table 1 Purpose rating'!X17</f>
        <v>X</v>
      </c>
      <c r="Y17" s="53" t="str">
        <f>'Table 1 Purpose rating'!Y17</f>
        <v>X</v>
      </c>
      <c r="Z17" s="53">
        <f>'Table 1 Purpose rating'!Z17</f>
        <v>0</v>
      </c>
      <c r="AA17" s="53" t="str">
        <f>'Table 1 Purpose rating'!AA17</f>
        <v>X</v>
      </c>
      <c r="AB17" s="53" t="str">
        <f>'Table 1 Purpose rating'!AB17</f>
        <v>X</v>
      </c>
      <c r="AC17" s="53" t="str">
        <f>'Table 1 Purpose rating'!AC17</f>
        <v>1,2</v>
      </c>
      <c r="AD17" s="46" t="str">
        <f>'Table 1 Purpose rating'!AD17</f>
        <v>High</v>
      </c>
      <c r="AE17" s="53" t="str">
        <f>'Table 1 Purpose rating'!AE17</f>
        <v>High</v>
      </c>
      <c r="AF17" s="56" t="str">
        <f>'Table 1 Purpose rating'!AF17</f>
        <v>Cowpeas or Dry Beans</v>
      </c>
      <c r="AG17" s="702">
        <f t="shared" si="0"/>
        <v>2.7548209366391183</v>
      </c>
    </row>
    <row r="18" spans="1:33" ht="15.75" customHeight="1" x14ac:dyDescent="0.2">
      <c r="A18" s="644" t="str">
        <f>IF('Table 1 Purpose rating'!A18=0,"",'Table 1 Purpose rating'!A18)</f>
        <v>Fava beans</v>
      </c>
      <c r="B18" s="259">
        <f>'Table 1 Purpose rating'!B18</f>
        <v>75</v>
      </c>
      <c r="C18" s="58" t="str">
        <f>'Table 1 Purpose rating'!C18</f>
        <v>1 - 1.5</v>
      </c>
      <c r="D18" s="642">
        <f>'Table 1 Purpose rating'!D18</f>
        <v>0.55000000000000004</v>
      </c>
      <c r="E18" s="259" t="str">
        <f>'Table 1 Purpose rating'!E18</f>
        <v>F</v>
      </c>
      <c r="F18" s="259" t="str">
        <f>'Table 1 Purpose rating'!F18</f>
        <v>F</v>
      </c>
      <c r="G18" s="259" t="str">
        <f>'Table 1 Purpose rating'!G18</f>
        <v>F</v>
      </c>
      <c r="H18" s="259" t="str">
        <f>'Table 1 Purpose rating'!H18</f>
        <v>Y</v>
      </c>
      <c r="I18" s="259" t="str">
        <f>'Table 1 Purpose rating'!I18</f>
        <v>F</v>
      </c>
      <c r="J18" s="259" t="str">
        <f>'Table 1 Purpose rating'!J18</f>
        <v>G</v>
      </c>
      <c r="K18" s="259" t="str">
        <f>'Table 1 Purpose rating'!K18</f>
        <v>G</v>
      </c>
      <c r="L18" s="259" t="str">
        <f>'Table 1 Purpose rating'!L18</f>
        <v>DM</v>
      </c>
      <c r="M18" s="259" t="str">
        <f>'Table 1 Purpose rating'!M18</f>
        <v>F</v>
      </c>
      <c r="N18" s="259" t="str">
        <f>'Table 1 Purpose rating'!N18</f>
        <v>F</v>
      </c>
      <c r="O18" s="259" t="str">
        <f>'Table 1 Purpose rating'!O18</f>
        <v>L</v>
      </c>
      <c r="P18" s="262" t="str">
        <f>'Table 1 Purpose rating'!P18</f>
        <v>CB</v>
      </c>
      <c r="Q18" s="260" t="str">
        <f>'Table 1 Purpose rating'!Q18</f>
        <v>N</v>
      </c>
      <c r="R18" s="259" t="str">
        <f>'Table 1 Purpose rating'!R18</f>
        <v>F</v>
      </c>
      <c r="S18" s="259" t="str">
        <f>'Table 1 Purpose rating'!S18</f>
        <v>L</v>
      </c>
      <c r="T18" s="259" t="str">
        <f>'Table 1 Purpose rating'!T18</f>
        <v>P</v>
      </c>
      <c r="U18" s="261">
        <f>'Table 1 Purpose rating'!U18</f>
        <v>2500</v>
      </c>
      <c r="V18" s="259" t="str">
        <f>'Table 1 Purpose rating'!V18</f>
        <v>P</v>
      </c>
      <c r="W18" s="53">
        <f>'Table 1 Purpose rating'!W18</f>
        <v>0</v>
      </c>
      <c r="X18" s="46" t="str">
        <f>'Table 1 Purpose rating'!X18</f>
        <v>X</v>
      </c>
      <c r="Y18" s="46" t="str">
        <f>'Table 1 Purpose rating'!Y18</f>
        <v>X</v>
      </c>
      <c r="Z18" s="46">
        <f>'Table 1 Purpose rating'!Z18</f>
        <v>0</v>
      </c>
      <c r="AA18" s="46" t="str">
        <f>'Table 1 Purpose rating'!AA18</f>
        <v>X</v>
      </c>
      <c r="AB18" s="46" t="str">
        <f>'Table 1 Purpose rating'!AB18</f>
        <v>X</v>
      </c>
      <c r="AC18" s="46" t="str">
        <f>'Table 1 Purpose rating'!AC18</f>
        <v>1,2</v>
      </c>
      <c r="AD18" s="46" t="str">
        <f>'Table 1 Purpose rating'!AD18</f>
        <v>Moderate</v>
      </c>
      <c r="AE18" s="46" t="str">
        <f>'Table 1 Purpose rating'!AE18</f>
        <v>Moderate</v>
      </c>
      <c r="AF18" s="263" t="str">
        <f>'Table 1 Purpose rating'!AF18</f>
        <v>Fava beans</v>
      </c>
      <c r="AG18" s="703">
        <f t="shared" si="0"/>
        <v>4.3044077134986223</v>
      </c>
    </row>
    <row r="19" spans="1:33" x14ac:dyDescent="0.2">
      <c r="A19" s="639" t="str">
        <f>IF('Table 1 Purpose rating'!A19=0,"",'Table 1 Purpose rating'!A19)</f>
        <v>Flax</v>
      </c>
      <c r="B19" s="46">
        <f>'Table 1 Purpose rating'!B19</f>
        <v>30</v>
      </c>
      <c r="C19" s="58" t="str">
        <f>'Table 1 Purpose rating'!C19</f>
        <v>.25 - .75</v>
      </c>
      <c r="D19" s="642">
        <f>'Table 1 Purpose rating'!D19</f>
        <v>0.85</v>
      </c>
      <c r="E19" s="46" t="str">
        <f>'Table 1 Purpose rating'!E19</f>
        <v>F</v>
      </c>
      <c r="F19" s="46" t="str">
        <f>'Table 1 Purpose rating'!F19</f>
        <v>F</v>
      </c>
      <c r="G19" s="46" t="str">
        <f>'Table 1 Purpose rating'!G19</f>
        <v>F</v>
      </c>
      <c r="H19" s="46" t="str">
        <f>'Table 1 Purpose rating'!H19</f>
        <v>N</v>
      </c>
      <c r="I19" s="46" t="str">
        <f>'Table 1 Purpose rating'!I19</f>
        <v>P</v>
      </c>
      <c r="J19" s="46" t="str">
        <f>'Table 1 Purpose rating'!J19</f>
        <v>P</v>
      </c>
      <c r="K19" s="46" t="str">
        <f>'Table 1 Purpose rating'!K19</f>
        <v>P</v>
      </c>
      <c r="L19" s="46" t="str">
        <f>'Table 1 Purpose rating'!L19</f>
        <v>SM</v>
      </c>
      <c r="M19" s="46" t="str">
        <f>'Table 1 Purpose rating'!M19</f>
        <v>F</v>
      </c>
      <c r="N19" s="46" t="str">
        <f>'Table 1 Purpose rating'!N19</f>
        <v>P</v>
      </c>
      <c r="O19" s="46" t="str">
        <f>'Table 1 Purpose rating'!O19</f>
        <v>F</v>
      </c>
      <c r="P19" s="57" t="str">
        <f>'Table 1 Purpose rating'!P19</f>
        <v>CB</v>
      </c>
      <c r="Q19" s="53" t="str">
        <f>'Table 1 Purpose rating'!Q19</f>
        <v>N</v>
      </c>
      <c r="R19" s="46" t="str">
        <f>'Table 1 Purpose rating'!R19</f>
        <v>P</v>
      </c>
      <c r="S19" s="46" t="str">
        <f>'Table 1 Purpose rating'!S19</f>
        <v>H</v>
      </c>
      <c r="T19" s="46" t="str">
        <f>'Table 1 Purpose rating'!T19</f>
        <v>H</v>
      </c>
      <c r="U19" s="47">
        <f>'Table 1 Purpose rating'!U19</f>
        <v>80000</v>
      </c>
      <c r="V19" s="46" t="str">
        <f>'Table 1 Purpose rating'!V19</f>
        <v>P</v>
      </c>
      <c r="W19" s="53">
        <f>'Table 1 Purpose rating'!W19</f>
        <v>0</v>
      </c>
      <c r="X19" s="53">
        <f>'Table 1 Purpose rating'!X19</f>
        <v>0</v>
      </c>
      <c r="Y19" s="53">
        <f>'Table 1 Purpose rating'!Y19</f>
        <v>0</v>
      </c>
      <c r="Z19" s="53">
        <f>'Table 1 Purpose rating'!Z19</f>
        <v>0</v>
      </c>
      <c r="AA19" s="53">
        <f>'Table 1 Purpose rating'!AA19</f>
        <v>0</v>
      </c>
      <c r="AB19" s="53">
        <f>'Table 1 Purpose rating'!AB19</f>
        <v>0</v>
      </c>
      <c r="AC19" s="53" t="str">
        <f>'Table 1 Purpose rating'!AC19</f>
        <v>1,4</v>
      </c>
      <c r="AD19" s="53" t="str">
        <f>'Table 1 Purpose rating'!AD19</f>
        <v>Moderate</v>
      </c>
      <c r="AE19" s="53" t="str">
        <f>'Table 1 Purpose rating'!AE19</f>
        <v>Moderate</v>
      </c>
      <c r="AF19" s="55" t="str">
        <f>'Table 1 Purpose rating'!AF19</f>
        <v>Flax</v>
      </c>
      <c r="AG19" s="702">
        <f t="shared" si="0"/>
        <v>55.096418732782368</v>
      </c>
    </row>
    <row r="20" spans="1:33" x14ac:dyDescent="0.2">
      <c r="A20" s="639" t="str">
        <f>IF('Table 1 Purpose rating'!A20=0,"",'Table 1 Purpose rating'!A20)</f>
        <v>Lentils</v>
      </c>
      <c r="B20" s="46">
        <f>'Table 1 Purpose rating'!B20</f>
        <v>30</v>
      </c>
      <c r="C20" s="58" t="str">
        <f>'Table 1 Purpose rating'!C20</f>
        <v>1 - 1.5</v>
      </c>
      <c r="D20" s="642">
        <f>'Table 1 Purpose rating'!D20</f>
        <v>1</v>
      </c>
      <c r="E20" s="46" t="str">
        <f>'Table 1 Purpose rating'!E20</f>
        <v>P</v>
      </c>
      <c r="F20" s="46" t="str">
        <f>'Table 1 Purpose rating'!F20</f>
        <v>P</v>
      </c>
      <c r="G20" s="46" t="str">
        <f>'Table 1 Purpose rating'!G20</f>
        <v>P</v>
      </c>
      <c r="H20" s="46" t="str">
        <f>'Table 1 Purpose rating'!H20</f>
        <v>Y</v>
      </c>
      <c r="I20" s="46" t="str">
        <f>'Table 1 Purpose rating'!I20</f>
        <v>P</v>
      </c>
      <c r="J20" s="46" t="str">
        <f>'Table 1 Purpose rating'!J20</f>
        <v>P</v>
      </c>
      <c r="K20" s="46" t="str">
        <f>'Table 1 Purpose rating'!K20</f>
        <v>P</v>
      </c>
      <c r="L20" s="46" t="str">
        <f>'Table 1 Purpose rating'!L20</f>
        <v>SL</v>
      </c>
      <c r="M20" s="46" t="str">
        <f>'Table 1 Purpose rating'!M20</f>
        <v>P</v>
      </c>
      <c r="N20" s="46" t="str">
        <f>'Table 1 Purpose rating'!N20</f>
        <v>P</v>
      </c>
      <c r="O20" s="46" t="str">
        <f>'Table 1 Purpose rating'!O20</f>
        <v>F</v>
      </c>
      <c r="P20" s="57" t="str">
        <f>'Table 1 Purpose rating'!P20</f>
        <v>CB</v>
      </c>
      <c r="Q20" s="53" t="str">
        <f>'Table 1 Purpose rating'!Q20</f>
        <v>N</v>
      </c>
      <c r="R20" s="46" t="str">
        <f>'Table 1 Purpose rating'!R20</f>
        <v>P</v>
      </c>
      <c r="S20" s="46" t="str">
        <f>'Table 1 Purpose rating'!S20</f>
        <v>L</v>
      </c>
      <c r="T20" s="46" t="str">
        <f>'Table 1 Purpose rating'!T20</f>
        <v>M</v>
      </c>
      <c r="U20" s="47">
        <f>'Table 1 Purpose rating'!U20</f>
        <v>20000</v>
      </c>
      <c r="V20" s="46" t="str">
        <f>'Table 1 Purpose rating'!V20</f>
        <v>P</v>
      </c>
      <c r="W20" s="53">
        <f>'Table 1 Purpose rating'!W20</f>
        <v>0</v>
      </c>
      <c r="X20" s="53" t="str">
        <f>'Table 1 Purpose rating'!X20</f>
        <v>X</v>
      </c>
      <c r="Y20" s="53">
        <f>'Table 1 Purpose rating'!Y20</f>
        <v>0</v>
      </c>
      <c r="Z20" s="53">
        <f>'Table 1 Purpose rating'!Z20</f>
        <v>0</v>
      </c>
      <c r="AA20" s="53">
        <f>'Table 1 Purpose rating'!AA20</f>
        <v>0</v>
      </c>
      <c r="AB20" s="53">
        <f>'Table 1 Purpose rating'!AB20</f>
        <v>0</v>
      </c>
      <c r="AC20" s="53" t="str">
        <f>'Table 1 Purpose rating'!AC20</f>
        <v>1,2,3</v>
      </c>
      <c r="AD20" s="53" t="str">
        <f>'Table 1 Purpose rating'!AD20</f>
        <v>Moderate</v>
      </c>
      <c r="AE20" s="53" t="str">
        <f>'Table 1 Purpose rating'!AE20</f>
        <v>Moderate</v>
      </c>
      <c r="AF20" s="55" t="str">
        <f>'Table 1 Purpose rating'!AF20</f>
        <v>Lentils</v>
      </c>
      <c r="AG20" s="702">
        <f t="shared" si="0"/>
        <v>13.774104683195592</v>
      </c>
    </row>
    <row r="21" spans="1:33" ht="15.75" customHeight="1" x14ac:dyDescent="0.2">
      <c r="A21" s="639" t="str">
        <f>IF('Table 1 Purpose rating'!A21=0,"",'Table 1 Purpose rating'!A21)</f>
        <v>Millet, hay</v>
      </c>
      <c r="B21" s="46">
        <f>'Table 1 Purpose rating'!B21</f>
        <v>15</v>
      </c>
      <c r="C21" s="58" t="str">
        <f>'Table 1 Purpose rating'!C21</f>
        <v>.5 - 1.0</v>
      </c>
      <c r="D21" s="642">
        <f>'Table 1 Purpose rating'!D21</f>
        <v>0.73333333333333339</v>
      </c>
      <c r="E21" s="46" t="str">
        <f>'Table 1 Purpose rating'!E21</f>
        <v>G</v>
      </c>
      <c r="F21" s="46" t="str">
        <f>'Table 1 Purpose rating'!F21</f>
        <v>G</v>
      </c>
      <c r="G21" s="46" t="str">
        <f>'Table 1 Purpose rating'!G21</f>
        <v>G</v>
      </c>
      <c r="H21" s="46" t="str">
        <f>'Table 1 Purpose rating'!H21</f>
        <v>N</v>
      </c>
      <c r="I21" s="46" t="str">
        <f>'Table 1 Purpose rating'!I21</f>
        <v>G</v>
      </c>
      <c r="J21" s="46" t="str">
        <f>'Table 1 Purpose rating'!J21</f>
        <v>G</v>
      </c>
      <c r="K21" s="46" t="str">
        <f>'Table 1 Purpose rating'!K21</f>
        <v>G</v>
      </c>
      <c r="L21" s="46" t="str">
        <f>'Table 1 Purpose rating'!L21</f>
        <v>SL</v>
      </c>
      <c r="M21" s="46" t="str">
        <f>'Table 1 Purpose rating'!M21</f>
        <v>G</v>
      </c>
      <c r="N21" s="46" t="str">
        <f>'Table 1 Purpose rating'!N21</f>
        <v>F</v>
      </c>
      <c r="O21" s="46" t="str">
        <f>'Table 1 Purpose rating'!O21</f>
        <v>F</v>
      </c>
      <c r="P21" s="57" t="str">
        <f>'Table 1 Purpose rating'!P21</f>
        <v>WG</v>
      </c>
      <c r="Q21" s="53" t="str">
        <f>'Table 1 Purpose rating'!Q21</f>
        <v>N</v>
      </c>
      <c r="R21" s="46" t="str">
        <f>'Table 1 Purpose rating'!R21</f>
        <v>P</v>
      </c>
      <c r="S21" s="46" t="str">
        <f>'Table 1 Purpose rating'!S21</f>
        <v>M</v>
      </c>
      <c r="T21" s="46" t="str">
        <f>'Table 1 Purpose rating'!T21</f>
        <v>H</v>
      </c>
      <c r="U21" s="47">
        <f>'Table 1 Purpose rating'!U21</f>
        <v>180000</v>
      </c>
      <c r="V21" s="46" t="str">
        <f>'Table 1 Purpose rating'!V21</f>
        <v>P</v>
      </c>
      <c r="W21" s="53">
        <f>'Table 1 Purpose rating'!W21</f>
        <v>0</v>
      </c>
      <c r="X21" s="53">
        <f>'Table 1 Purpose rating'!X21</f>
        <v>0</v>
      </c>
      <c r="Y21" s="53" t="str">
        <f>'Table 1 Purpose rating'!Y21</f>
        <v>X</v>
      </c>
      <c r="Z21" s="53">
        <f>'Table 1 Purpose rating'!Z21</f>
        <v>0</v>
      </c>
      <c r="AA21" s="53" t="str">
        <f>'Table 1 Purpose rating'!AA21</f>
        <v>X</v>
      </c>
      <c r="AB21" s="53" t="str">
        <f>'Table 1 Purpose rating'!AB21</f>
        <v>X</v>
      </c>
      <c r="AC21" s="53">
        <f>'Table 1 Purpose rating'!AC21</f>
        <v>1</v>
      </c>
      <c r="AD21" s="53" t="str">
        <f>'Table 1 Purpose rating'!AD21</f>
        <v>None</v>
      </c>
      <c r="AE21" s="53" t="str">
        <f>'Table 1 Purpose rating'!AE21</f>
        <v>Low</v>
      </c>
      <c r="AF21" s="55" t="str">
        <f>'Table 1 Purpose rating'!AF21</f>
        <v>Millet, hay</v>
      </c>
      <c r="AG21" s="702">
        <f t="shared" si="0"/>
        <v>61.983471074380162</v>
      </c>
    </row>
    <row r="22" spans="1:33" ht="15.75" customHeight="1" x14ac:dyDescent="0.2">
      <c r="A22" s="639" t="str">
        <f>IF('Table 1 Purpose rating'!A22=0,"",'Table 1 Purpose rating'!A22)</f>
        <v>Millet, proso</v>
      </c>
      <c r="B22" s="46">
        <f>'Table 1 Purpose rating'!B22</f>
        <v>25</v>
      </c>
      <c r="C22" s="58" t="str">
        <f>'Table 1 Purpose rating'!C22</f>
        <v>.5 - 1.0</v>
      </c>
      <c r="D22" s="642">
        <f>'Table 1 Purpose rating'!D22</f>
        <v>0.4</v>
      </c>
      <c r="E22" s="46" t="str">
        <f>'Table 1 Purpose rating'!E22</f>
        <v>G</v>
      </c>
      <c r="F22" s="46" t="str">
        <f>'Table 1 Purpose rating'!F22</f>
        <v>G</v>
      </c>
      <c r="G22" s="46" t="str">
        <f>'Table 1 Purpose rating'!G22</f>
        <v>G</v>
      </c>
      <c r="H22" s="46" t="str">
        <f>'Table 1 Purpose rating'!H22</f>
        <v>N</v>
      </c>
      <c r="I22" s="46" t="str">
        <f>'Table 1 Purpose rating'!I22</f>
        <v>G</v>
      </c>
      <c r="J22" s="46" t="str">
        <f>'Table 1 Purpose rating'!J22</f>
        <v>G</v>
      </c>
      <c r="K22" s="46" t="str">
        <f>'Table 1 Purpose rating'!K22</f>
        <v>G</v>
      </c>
      <c r="L22" s="46" t="str">
        <f>'Table 1 Purpose rating'!L22</f>
        <v>SL</v>
      </c>
      <c r="M22" s="46" t="str">
        <f>'Table 1 Purpose rating'!M22</f>
        <v>G</v>
      </c>
      <c r="N22" s="46" t="str">
        <f>'Table 1 Purpose rating'!N22</f>
        <v>F</v>
      </c>
      <c r="O22" s="46" t="str">
        <f>'Table 1 Purpose rating'!O22</f>
        <v>F</v>
      </c>
      <c r="P22" s="57" t="str">
        <f>'Table 1 Purpose rating'!P22</f>
        <v>WG</v>
      </c>
      <c r="Q22" s="53" t="str">
        <f>'Table 1 Purpose rating'!Q22</f>
        <v>N</v>
      </c>
      <c r="R22" s="46" t="str">
        <f>'Table 1 Purpose rating'!R22</f>
        <v>P</v>
      </c>
      <c r="S22" s="46" t="str">
        <f>'Table 1 Purpose rating'!S22</f>
        <v>M</v>
      </c>
      <c r="T22" s="46" t="str">
        <f>'Table 1 Purpose rating'!T22</f>
        <v>H</v>
      </c>
      <c r="U22" s="47">
        <f>'Table 1 Purpose rating'!U22</f>
        <v>80000</v>
      </c>
      <c r="V22" s="46" t="str">
        <f>'Table 1 Purpose rating'!V22</f>
        <v>P</v>
      </c>
      <c r="W22" s="53">
        <f>'Table 1 Purpose rating'!W22</f>
        <v>0</v>
      </c>
      <c r="X22" s="53">
        <f>'Table 1 Purpose rating'!X22</f>
        <v>0</v>
      </c>
      <c r="Y22" s="53" t="str">
        <f>'Table 1 Purpose rating'!Y22</f>
        <v>X</v>
      </c>
      <c r="Z22" s="53">
        <f>'Table 1 Purpose rating'!Z22</f>
        <v>0</v>
      </c>
      <c r="AA22" s="53" t="str">
        <f>'Table 1 Purpose rating'!AA22</f>
        <v>X</v>
      </c>
      <c r="AB22" s="53" t="str">
        <f>'Table 1 Purpose rating'!AB22</f>
        <v>X</v>
      </c>
      <c r="AC22" s="53">
        <f>'Table 1 Purpose rating'!AC22</f>
        <v>1</v>
      </c>
      <c r="AD22" s="53" t="str">
        <f>'Table 1 Purpose rating'!AD22</f>
        <v>None</v>
      </c>
      <c r="AE22" s="53" t="str">
        <f>'Table 1 Purpose rating'!AE22</f>
        <v>Low</v>
      </c>
      <c r="AF22" s="55" t="str">
        <f>'Table 1 Purpose rating'!AF22</f>
        <v>Millet, proso</v>
      </c>
      <c r="AG22" s="702">
        <f t="shared" si="0"/>
        <v>45.913682277318642</v>
      </c>
    </row>
    <row r="23" spans="1:33" ht="15.75" customHeight="1" x14ac:dyDescent="0.2">
      <c r="A23" s="639" t="str">
        <f>IF('Table 1 Purpose rating'!A23=0,"",'Table 1 Purpose rating'!A23)</f>
        <v>Mustard</v>
      </c>
      <c r="B23" s="46">
        <f>'Table 1 Purpose rating'!B23</f>
        <v>6</v>
      </c>
      <c r="C23" s="58" t="str">
        <f>'Table 1 Purpose rating'!C23</f>
        <v>.25 - .75</v>
      </c>
      <c r="D23" s="642">
        <f>'Table 1 Purpose rating'!D23</f>
        <v>3</v>
      </c>
      <c r="E23" s="46" t="str">
        <f>'Table 1 Purpose rating'!E23</f>
        <v>F</v>
      </c>
      <c r="F23" s="46" t="str">
        <f>'Table 1 Purpose rating'!F23</f>
        <v>F</v>
      </c>
      <c r="G23" s="46" t="str">
        <f>'Table 1 Purpose rating'!G23</f>
        <v>F</v>
      </c>
      <c r="H23" s="46" t="str">
        <f>'Table 1 Purpose rating'!H23</f>
        <v>N</v>
      </c>
      <c r="I23" s="46" t="str">
        <f>'Table 1 Purpose rating'!I23</f>
        <v>G</v>
      </c>
      <c r="J23" s="46" t="str">
        <f>'Table 1 Purpose rating'!J23</f>
        <v>F</v>
      </c>
      <c r="K23" s="46" t="str">
        <f>'Table 1 Purpose rating'!K23</f>
        <v>P</v>
      </c>
      <c r="L23" s="46" t="str">
        <f>'Table 1 Purpose rating'!L23</f>
        <v>MH</v>
      </c>
      <c r="M23" s="46" t="str">
        <f>'Table 1 Purpose rating'!M23</f>
        <v>G</v>
      </c>
      <c r="N23" s="46" t="str">
        <f>'Table 1 Purpose rating'!N23</f>
        <v>F</v>
      </c>
      <c r="O23" s="46" t="str">
        <f>'Table 1 Purpose rating'!O23</f>
        <v>F</v>
      </c>
      <c r="P23" s="57" t="str">
        <f>'Table 1 Purpose rating'!P23</f>
        <v>CB</v>
      </c>
      <c r="Q23" s="53" t="str">
        <f>'Table 1 Purpose rating'!Q23</f>
        <v>N</v>
      </c>
      <c r="R23" s="46" t="str">
        <f>'Table 1 Purpose rating'!R23</f>
        <v>P</v>
      </c>
      <c r="S23" s="46" t="str">
        <f>'Table 1 Purpose rating'!S23</f>
        <v>L</v>
      </c>
      <c r="T23" s="46" t="str">
        <f>'Table 1 Purpose rating'!T23</f>
        <v>N</v>
      </c>
      <c r="U23" s="47">
        <f>'Table 1 Purpose rating'!U23</f>
        <v>140000</v>
      </c>
      <c r="V23" s="46" t="str">
        <f>'Table 1 Purpose rating'!V23</f>
        <v>P</v>
      </c>
      <c r="W23" s="53">
        <f>'Table 1 Purpose rating'!W23</f>
        <v>0</v>
      </c>
      <c r="X23" s="53" t="str">
        <f>'Table 1 Purpose rating'!X23</f>
        <v>X</v>
      </c>
      <c r="Y23" s="53" t="str">
        <f>'Table 1 Purpose rating'!Y23</f>
        <v>X</v>
      </c>
      <c r="Z23" s="53">
        <f>'Table 1 Purpose rating'!Z23</f>
        <v>0</v>
      </c>
      <c r="AA23" s="53" t="str">
        <f>'Table 1 Purpose rating'!AA23</f>
        <v>X</v>
      </c>
      <c r="AB23" s="53" t="str">
        <f>'Table 1 Purpose rating'!AB23</f>
        <v>X</v>
      </c>
      <c r="AC23" s="53">
        <f>'Table 1 Purpose rating'!AC23</f>
        <v>1</v>
      </c>
      <c r="AD23" s="53" t="str">
        <f>'Table 1 Purpose rating'!AD23</f>
        <v>High</v>
      </c>
      <c r="AE23" s="53" t="str">
        <f>'Table 1 Purpose rating'!AE23</f>
        <v>High</v>
      </c>
      <c r="AF23" s="55" t="str">
        <f>'Table 1 Purpose rating'!AF23</f>
        <v>Mustard</v>
      </c>
      <c r="AG23" s="702">
        <f t="shared" si="0"/>
        <v>19.28374655647383</v>
      </c>
    </row>
    <row r="24" spans="1:33" x14ac:dyDescent="0.2">
      <c r="A24" s="639" t="str">
        <f>IF('Table 1 Purpose rating'!A24=0,"",'Table 1 Purpose rating'!A24)</f>
        <v>Oats</v>
      </c>
      <c r="B24" s="46">
        <f>'Table 1 Purpose rating'!B24</f>
        <v>70</v>
      </c>
      <c r="C24" s="58" t="str">
        <f>'Table 1 Purpose rating'!C24</f>
        <v>.5 - 1.5</v>
      </c>
      <c r="D24" s="642">
        <f>'Table 1 Purpose rating'!D24</f>
        <v>0.33333333333333331</v>
      </c>
      <c r="E24" s="46" t="str">
        <f>'Table 1 Purpose rating'!E24</f>
        <v>G</v>
      </c>
      <c r="F24" s="46" t="str">
        <f>'Table 1 Purpose rating'!F24</f>
        <v>G</v>
      </c>
      <c r="G24" s="46" t="str">
        <f>'Table 1 Purpose rating'!G24</f>
        <v>G</v>
      </c>
      <c r="H24" s="46" t="str">
        <f>'Table 1 Purpose rating'!H24</f>
        <v>N</v>
      </c>
      <c r="I24" s="46" t="str">
        <f>'Table 1 Purpose rating'!I24</f>
        <v>G</v>
      </c>
      <c r="J24" s="46" t="str">
        <f>'Table 1 Purpose rating'!J24</f>
        <v>G</v>
      </c>
      <c r="K24" s="46" t="str">
        <f>'Table 1 Purpose rating'!K24</f>
        <v>G</v>
      </c>
      <c r="L24" s="46" t="str">
        <f>'Table 1 Purpose rating'!L24</f>
        <v>MM</v>
      </c>
      <c r="M24" s="46" t="str">
        <f>'Table 1 Purpose rating'!M24</f>
        <v>G</v>
      </c>
      <c r="N24" s="46" t="str">
        <f>'Table 1 Purpose rating'!N24</f>
        <v>F</v>
      </c>
      <c r="O24" s="46" t="str">
        <f>'Table 1 Purpose rating'!O24</f>
        <v>L</v>
      </c>
      <c r="P24" s="57" t="str">
        <f>'Table 1 Purpose rating'!P24</f>
        <v>CG</v>
      </c>
      <c r="Q24" s="53" t="str">
        <f>'Table 1 Purpose rating'!Q24</f>
        <v>N</v>
      </c>
      <c r="R24" s="46" t="str">
        <f>'Table 1 Purpose rating'!R24</f>
        <v>F</v>
      </c>
      <c r="S24" s="46" t="str">
        <f>'Table 1 Purpose rating'!S24</f>
        <v>M</v>
      </c>
      <c r="T24" s="46" t="str">
        <f>'Table 1 Purpose rating'!T24</f>
        <v>H</v>
      </c>
      <c r="U24" s="47">
        <f>'Table 1 Purpose rating'!U24</f>
        <v>16000</v>
      </c>
      <c r="V24" s="46" t="str">
        <f>'Table 1 Purpose rating'!V24</f>
        <v>F</v>
      </c>
      <c r="W24" s="53" t="str">
        <f>'Table 1 Purpose rating'!W24</f>
        <v>X</v>
      </c>
      <c r="X24" s="53" t="str">
        <f>'Table 1 Purpose rating'!X24</f>
        <v>X</v>
      </c>
      <c r="Y24" s="53" t="str">
        <f>'Table 1 Purpose rating'!Y24</f>
        <v>X</v>
      </c>
      <c r="Z24" s="53">
        <f>'Table 1 Purpose rating'!Z24</f>
        <v>0</v>
      </c>
      <c r="AA24" s="53" t="str">
        <f>'Table 1 Purpose rating'!AA24</f>
        <v>X</v>
      </c>
      <c r="AB24" s="53" t="str">
        <f>'Table 1 Purpose rating'!AB24</f>
        <v>X</v>
      </c>
      <c r="AC24" s="53" t="str">
        <f>'Table 1 Purpose rating'!AC24</f>
        <v>1,2,3</v>
      </c>
      <c r="AD24" s="53" t="str">
        <f>'Table 1 Purpose rating'!AD24</f>
        <v>None</v>
      </c>
      <c r="AE24" s="53" t="str">
        <f>'Table 1 Purpose rating'!AE24</f>
        <v>Low</v>
      </c>
      <c r="AF24" s="55" t="str">
        <f>'Table 1 Purpose rating'!AF24</f>
        <v>Oats</v>
      </c>
      <c r="AG24" s="702">
        <f t="shared" si="0"/>
        <v>25.711662075298438</v>
      </c>
    </row>
    <row r="25" spans="1:33" x14ac:dyDescent="0.2">
      <c r="A25" s="639" t="str">
        <f>IF('Table 1 Purpose rating'!A25=0,"",'Table 1 Purpose rating'!A25)</f>
        <v>Peas</v>
      </c>
      <c r="B25" s="46">
        <f>'Table 1 Purpose rating'!B25</f>
        <v>70</v>
      </c>
      <c r="C25" s="58" t="str">
        <f>'Table 1 Purpose rating'!C25</f>
        <v>1.5 - 3.0</v>
      </c>
      <c r="D25" s="642">
        <f>'Table 1 Purpose rating'!D25</f>
        <v>0.5</v>
      </c>
      <c r="E25" s="46" t="str">
        <f>'Table 1 Purpose rating'!E25</f>
        <v>F</v>
      </c>
      <c r="F25" s="46" t="str">
        <f>'Table 1 Purpose rating'!F25</f>
        <v>P</v>
      </c>
      <c r="G25" s="46" t="str">
        <f>'Table 1 Purpose rating'!G25</f>
        <v>P</v>
      </c>
      <c r="H25" s="46" t="str">
        <f>'Table 1 Purpose rating'!H25</f>
        <v>Y</v>
      </c>
      <c r="I25" s="46" t="str">
        <f>'Table 1 Purpose rating'!I25</f>
        <v>F</v>
      </c>
      <c r="J25" s="46" t="str">
        <f>'Table 1 Purpose rating'!J25</f>
        <v>G</v>
      </c>
      <c r="K25" s="46" t="str">
        <f>'Table 1 Purpose rating'!K25</f>
        <v>G</v>
      </c>
      <c r="L25" s="46" t="str">
        <f>'Table 1 Purpose rating'!L25</f>
        <v>SL</v>
      </c>
      <c r="M25" s="46" t="str">
        <f>'Table 1 Purpose rating'!M25</f>
        <v>F</v>
      </c>
      <c r="N25" s="46" t="str">
        <f>'Table 1 Purpose rating'!N25</f>
        <v>F</v>
      </c>
      <c r="O25" s="46" t="str">
        <f>'Table 1 Purpose rating'!O25</f>
        <v>L</v>
      </c>
      <c r="P25" s="57" t="str">
        <f>'Table 1 Purpose rating'!P25</f>
        <v>CB</v>
      </c>
      <c r="Q25" s="53" t="str">
        <f>'Table 1 Purpose rating'!Q25</f>
        <v>N</v>
      </c>
      <c r="R25" s="46" t="str">
        <f>'Table 1 Purpose rating'!R25</f>
        <v>P</v>
      </c>
      <c r="S25" s="46" t="str">
        <f>'Table 1 Purpose rating'!S25</f>
        <v>L</v>
      </c>
      <c r="T25" s="46" t="str">
        <f>'Table 1 Purpose rating'!T25</f>
        <v>M</v>
      </c>
      <c r="U25" s="47">
        <f>'Table 1 Purpose rating'!U25</f>
        <v>3500</v>
      </c>
      <c r="V25" s="46" t="str">
        <f>'Table 1 Purpose rating'!V25</f>
        <v>F</v>
      </c>
      <c r="W25" s="53">
        <f>'Table 1 Purpose rating'!W25</f>
        <v>0</v>
      </c>
      <c r="X25" s="53" t="str">
        <f>'Table 1 Purpose rating'!X25</f>
        <v>X</v>
      </c>
      <c r="Y25" s="53" t="str">
        <f>'Table 1 Purpose rating'!Y25</f>
        <v>X</v>
      </c>
      <c r="Z25" s="53">
        <f>'Table 1 Purpose rating'!Z25</f>
        <v>0</v>
      </c>
      <c r="AA25" s="53" t="str">
        <f>'Table 1 Purpose rating'!AA25</f>
        <v>X</v>
      </c>
      <c r="AB25" s="53">
        <f>'Table 1 Purpose rating'!AB25</f>
        <v>0</v>
      </c>
      <c r="AC25" s="53" t="str">
        <f>'Table 1 Purpose rating'!AC25</f>
        <v>1,2,3,4</v>
      </c>
      <c r="AD25" s="53" t="str">
        <f>'Table 1 Purpose rating'!AD25</f>
        <v>Low</v>
      </c>
      <c r="AE25" s="53" t="str">
        <f>'Table 1 Purpose rating'!AE25</f>
        <v>Low</v>
      </c>
      <c r="AF25" s="55" t="str">
        <f>'Table 1 Purpose rating'!AF25</f>
        <v>Peas</v>
      </c>
      <c r="AG25" s="702">
        <f t="shared" si="0"/>
        <v>5.6244260789715339</v>
      </c>
    </row>
    <row r="26" spans="1:33" x14ac:dyDescent="0.2">
      <c r="A26" s="639" t="str">
        <f>IF('Table 1 Purpose rating'!A26=0,"",'Table 1 Purpose rating'!A26)</f>
        <v>Phacelia</v>
      </c>
      <c r="B26" s="46">
        <f>'Table 1 Purpose rating'!B26</f>
        <v>4</v>
      </c>
      <c r="C26" s="58" t="str">
        <f>'Table 1 Purpose rating'!C26</f>
        <v>.25 - .5</v>
      </c>
      <c r="D26" s="642">
        <f>'Table 1 Purpose rating'!D26</f>
        <v>5.91</v>
      </c>
      <c r="E26" s="46" t="str">
        <f>'Table 1 Purpose rating'!E26</f>
        <v>F</v>
      </c>
      <c r="F26" s="46" t="str">
        <f>'Table 1 Purpose rating'!F26</f>
        <v>F</v>
      </c>
      <c r="G26" s="46" t="str">
        <f>'Table 1 Purpose rating'!G26</f>
        <v>F</v>
      </c>
      <c r="H26" s="46" t="str">
        <f>'Table 1 Purpose rating'!H26</f>
        <v>N</v>
      </c>
      <c r="I26" s="46" t="str">
        <f>'Table 1 Purpose rating'!I26</f>
        <v>P</v>
      </c>
      <c r="J26" s="46" t="str">
        <f>'Table 1 Purpose rating'!J26</f>
        <v>P</v>
      </c>
      <c r="K26" s="46" t="str">
        <f>'Table 1 Purpose rating'!K26</f>
        <v>P</v>
      </c>
      <c r="L26" s="46" t="str">
        <f>'Table 1 Purpose rating'!L26</f>
        <v>DH</v>
      </c>
      <c r="M26" s="46" t="str">
        <f>'Table 1 Purpose rating'!M26</f>
        <v>F</v>
      </c>
      <c r="N26" s="46" t="str">
        <f>'Table 1 Purpose rating'!N26</f>
        <v>P</v>
      </c>
      <c r="O26" s="46" t="str">
        <f>'Table 1 Purpose rating'!O26</f>
        <v>F</v>
      </c>
      <c r="P26" s="57" t="str">
        <f>'Table 1 Purpose rating'!P26</f>
        <v>CB</v>
      </c>
      <c r="Q26" s="53" t="str">
        <f>'Table 1 Purpose rating'!Q26</f>
        <v>N</v>
      </c>
      <c r="R26" s="46" t="str">
        <f>'Table 1 Purpose rating'!R26</f>
        <v>P</v>
      </c>
      <c r="S26" s="46" t="str">
        <f>'Table 1 Purpose rating'!S26</f>
        <v>L</v>
      </c>
      <c r="T26" s="46" t="str">
        <f>'Table 1 Purpose rating'!T26</f>
        <v>M</v>
      </c>
      <c r="U26" s="47">
        <f>'Table 1 Purpose rating'!U26</f>
        <v>225000</v>
      </c>
      <c r="V26" s="46" t="str">
        <f>'Table 1 Purpose rating'!V26</f>
        <v>F</v>
      </c>
      <c r="W26" s="53">
        <f>'Table 1 Purpose rating'!W26</f>
        <v>0</v>
      </c>
      <c r="X26" s="46" t="str">
        <f>'Table 1 Purpose rating'!X26</f>
        <v>X</v>
      </c>
      <c r="Y26" s="46" t="str">
        <f>'Table 1 Purpose rating'!Y26</f>
        <v>X</v>
      </c>
      <c r="Z26" s="53">
        <f>'Table 1 Purpose rating'!Z26</f>
        <v>0</v>
      </c>
      <c r="AA26" s="53">
        <f>'Table 1 Purpose rating'!AA26</f>
        <v>0</v>
      </c>
      <c r="AB26" s="53">
        <f>'Table 1 Purpose rating'!AB26</f>
        <v>0</v>
      </c>
      <c r="AC26" s="53">
        <f>'Table 1 Purpose rating'!AC26</f>
        <v>0</v>
      </c>
      <c r="AD26" s="53" t="str">
        <f>'Table 1 Purpose rating'!AD26</f>
        <v>High</v>
      </c>
      <c r="AE26" s="53" t="str">
        <f>'Table 1 Purpose rating'!AE26</f>
        <v>High</v>
      </c>
      <c r="AF26" s="55" t="str">
        <f>'Table 1 Purpose rating'!AF26</f>
        <v>Phacelia</v>
      </c>
      <c r="AG26" s="702">
        <f t="shared" si="0"/>
        <v>20.66115702479339</v>
      </c>
    </row>
    <row r="27" spans="1:33" ht="15.75" customHeight="1" x14ac:dyDescent="0.2">
      <c r="A27" s="639" t="str">
        <f>IF('Table 1 Purpose rating'!A27=0,"",'Table 1 Purpose rating'!A27)</f>
        <v>Radishes</v>
      </c>
      <c r="B27" s="46">
        <f>'Table 1 Purpose rating'!B27</f>
        <v>8</v>
      </c>
      <c r="C27" s="58" t="str">
        <f>'Table 1 Purpose rating'!C27</f>
        <v>.25 - .75</v>
      </c>
      <c r="D27" s="642">
        <f>'Table 1 Purpose rating'!D27</f>
        <v>1.55</v>
      </c>
      <c r="E27" s="46" t="str">
        <f>'Table 1 Purpose rating'!E27</f>
        <v>F</v>
      </c>
      <c r="F27" s="46" t="str">
        <f>'Table 1 Purpose rating'!F27</f>
        <v>F</v>
      </c>
      <c r="G27" s="46" t="str">
        <f>'Table 1 Purpose rating'!G27</f>
        <v>G</v>
      </c>
      <c r="H27" s="46" t="str">
        <f>'Table 1 Purpose rating'!H27</f>
        <v>N</v>
      </c>
      <c r="I27" s="46" t="str">
        <f>'Table 1 Purpose rating'!I27</f>
        <v>G</v>
      </c>
      <c r="J27" s="46" t="str">
        <f>'Table 1 Purpose rating'!J27</f>
        <v>P</v>
      </c>
      <c r="K27" s="46" t="str">
        <f>'Table 1 Purpose rating'!K27</f>
        <v>G</v>
      </c>
      <c r="L27" s="46" t="str">
        <f>'Table 1 Purpose rating'!L27</f>
        <v>DH</v>
      </c>
      <c r="M27" s="46" t="str">
        <f>'Table 1 Purpose rating'!M27</f>
        <v>G</v>
      </c>
      <c r="N27" s="46" t="str">
        <f>'Table 1 Purpose rating'!N27</f>
        <v>G</v>
      </c>
      <c r="O27" s="46" t="str">
        <f>'Table 1 Purpose rating'!O27</f>
        <v>F</v>
      </c>
      <c r="P27" s="57" t="str">
        <f>'Table 1 Purpose rating'!P27</f>
        <v>CB</v>
      </c>
      <c r="Q27" s="53" t="str">
        <f>'Table 1 Purpose rating'!Q27</f>
        <v>N</v>
      </c>
      <c r="R27" s="46" t="str">
        <f>'Table 1 Purpose rating'!R27</f>
        <v>P</v>
      </c>
      <c r="S27" s="46" t="str">
        <f>'Table 1 Purpose rating'!S27</f>
        <v>L</v>
      </c>
      <c r="T27" s="46" t="str">
        <f>'Table 1 Purpose rating'!T27</f>
        <v>N</v>
      </c>
      <c r="U27" s="47">
        <f>'Table 1 Purpose rating'!U27</f>
        <v>25000</v>
      </c>
      <c r="V27" s="46" t="str">
        <f>'Table 1 Purpose rating'!V27</f>
        <v>P</v>
      </c>
      <c r="W27" s="53">
        <f>'Table 1 Purpose rating'!W27</f>
        <v>0</v>
      </c>
      <c r="X27" s="53" t="str">
        <f>'Table 1 Purpose rating'!X27</f>
        <v>X</v>
      </c>
      <c r="Y27" s="53" t="str">
        <f>'Table 1 Purpose rating'!Y27</f>
        <v>X</v>
      </c>
      <c r="Z27" s="53">
        <f>'Table 1 Purpose rating'!Z27</f>
        <v>0</v>
      </c>
      <c r="AA27" s="53" t="str">
        <f>'Table 1 Purpose rating'!AA27</f>
        <v>X</v>
      </c>
      <c r="AB27" s="53" t="str">
        <f>'Table 1 Purpose rating'!AB27</f>
        <v>X</v>
      </c>
      <c r="AC27" s="53">
        <f>'Table 1 Purpose rating'!AC27</f>
        <v>1</v>
      </c>
      <c r="AD27" s="53" t="str">
        <f>'Table 1 Purpose rating'!AD27</f>
        <v>High</v>
      </c>
      <c r="AE27" s="53" t="str">
        <f>'Table 1 Purpose rating'!AE27</f>
        <v>High</v>
      </c>
      <c r="AF27" s="55" t="str">
        <f>'Table 1 Purpose rating'!AF27</f>
        <v>Radishes</v>
      </c>
      <c r="AG27" s="702">
        <f t="shared" si="0"/>
        <v>4.5913682277318637</v>
      </c>
    </row>
    <row r="28" spans="1:33" ht="15.75" customHeight="1" x14ac:dyDescent="0.2">
      <c r="A28" s="639" t="str">
        <f>IF('Table 1 Purpose rating'!A28=0,"",'Table 1 Purpose rating'!A28)</f>
        <v>Rapeseed</v>
      </c>
      <c r="B28" s="46">
        <f>'Table 1 Purpose rating'!B28</f>
        <v>5</v>
      </c>
      <c r="C28" s="58" t="str">
        <f>'Table 1 Purpose rating'!C28</f>
        <v>.25 - .75</v>
      </c>
      <c r="D28" s="642">
        <f>'Table 1 Purpose rating'!D28</f>
        <v>1.2333333333333334</v>
      </c>
      <c r="E28" s="46" t="str">
        <f>'Table 1 Purpose rating'!E28</f>
        <v>F</v>
      </c>
      <c r="F28" s="46" t="str">
        <f>'Table 1 Purpose rating'!F28</f>
        <v>F</v>
      </c>
      <c r="G28" s="46" t="str">
        <f>'Table 1 Purpose rating'!G28</f>
        <v>G</v>
      </c>
      <c r="H28" s="46" t="str">
        <f>'Table 1 Purpose rating'!H28</f>
        <v>N</v>
      </c>
      <c r="I28" s="46" t="str">
        <f>'Table 1 Purpose rating'!I28</f>
        <v>G</v>
      </c>
      <c r="J28" s="46" t="str">
        <f>'Table 1 Purpose rating'!J28</f>
        <v>F</v>
      </c>
      <c r="K28" s="46" t="str">
        <f>'Table 1 Purpose rating'!K28</f>
        <v>G</v>
      </c>
      <c r="L28" s="46" t="str">
        <f>'Table 1 Purpose rating'!L28</f>
        <v>MM</v>
      </c>
      <c r="M28" s="46" t="str">
        <f>'Table 1 Purpose rating'!M28</f>
        <v>G</v>
      </c>
      <c r="N28" s="46" t="str">
        <f>'Table 1 Purpose rating'!N28</f>
        <v>G</v>
      </c>
      <c r="O28" s="46" t="str">
        <f>'Table 1 Purpose rating'!O28</f>
        <v>F</v>
      </c>
      <c r="P28" s="57" t="str">
        <f>'Table 1 Purpose rating'!P28</f>
        <v>CB</v>
      </c>
      <c r="Q28" s="53" t="str">
        <f>'Table 1 Purpose rating'!Q28</f>
        <v>N /6</v>
      </c>
      <c r="R28" s="46" t="str">
        <f>'Table 1 Purpose rating'!R28</f>
        <v>G</v>
      </c>
      <c r="S28" s="46" t="str">
        <f>'Table 1 Purpose rating'!S28</f>
        <v>L</v>
      </c>
      <c r="T28" s="46" t="str">
        <f>'Table 1 Purpose rating'!T28</f>
        <v>N</v>
      </c>
      <c r="U28" s="47">
        <f>'Table 1 Purpose rating'!U28</f>
        <v>140000</v>
      </c>
      <c r="V28" s="46" t="str">
        <f>'Table 1 Purpose rating'!V28</f>
        <v>F</v>
      </c>
      <c r="W28" s="53">
        <f>'Table 1 Purpose rating'!W28</f>
        <v>0</v>
      </c>
      <c r="X28" s="53" t="str">
        <f>'Table 1 Purpose rating'!X28</f>
        <v>X</v>
      </c>
      <c r="Y28" s="53" t="str">
        <f>'Table 1 Purpose rating'!Y28</f>
        <v>X</v>
      </c>
      <c r="Z28" s="53">
        <f>'Table 1 Purpose rating'!Z28</f>
        <v>0</v>
      </c>
      <c r="AA28" s="53" t="str">
        <f>'Table 1 Purpose rating'!AA28</f>
        <v>X</v>
      </c>
      <c r="AB28" s="53" t="str">
        <f>'Table 1 Purpose rating'!AB28</f>
        <v>X</v>
      </c>
      <c r="AC28" s="53">
        <f>'Table 1 Purpose rating'!AC28</f>
        <v>1</v>
      </c>
      <c r="AD28" s="53" t="str">
        <f>'Table 1 Purpose rating'!AD28</f>
        <v>High</v>
      </c>
      <c r="AE28" s="53" t="str">
        <f>'Table 1 Purpose rating'!AE28</f>
        <v>High</v>
      </c>
      <c r="AF28" s="55" t="str">
        <f>'Table 1 Purpose rating'!AF28</f>
        <v>Rapeseed</v>
      </c>
      <c r="AG28" s="702">
        <f t="shared" si="0"/>
        <v>16.069788797061523</v>
      </c>
    </row>
    <row r="29" spans="1:33" ht="15.75" customHeight="1" x14ac:dyDescent="0.2">
      <c r="A29" s="639" t="str">
        <f>IF('Table 1 Purpose rating'!A29=0,"",'Table 1 Purpose rating'!A29)</f>
        <v>Rye, Cereal /5 planted after Oct. 1</v>
      </c>
      <c r="B29" s="46">
        <f>'Table 1 Purpose rating'!B29</f>
        <v>60</v>
      </c>
      <c r="C29" s="58" t="str">
        <f>'Table 1 Purpose rating'!C29</f>
        <v>.75 - 2.0</v>
      </c>
      <c r="D29" s="642">
        <f>'Table 1 Purpose rating'!D29</f>
        <v>0.255</v>
      </c>
      <c r="E29" s="46" t="str">
        <f>'Table 1 Purpose rating'!E29</f>
        <v>G</v>
      </c>
      <c r="F29" s="46" t="str">
        <f>'Table 1 Purpose rating'!F29</f>
        <v>G</v>
      </c>
      <c r="G29" s="46" t="str">
        <f>'Table 1 Purpose rating'!G29</f>
        <v>G</v>
      </c>
      <c r="H29" s="46" t="str">
        <f>'Table 1 Purpose rating'!H29</f>
        <v>N</v>
      </c>
      <c r="I29" s="46" t="str">
        <f>'Table 1 Purpose rating'!I29</f>
        <v>G</v>
      </c>
      <c r="J29" s="46" t="str">
        <f>'Table 1 Purpose rating'!J29</f>
        <v>G</v>
      </c>
      <c r="K29" s="46" t="str">
        <f>'Table 1 Purpose rating'!K29</f>
        <v>G</v>
      </c>
      <c r="L29" s="46" t="str">
        <f>'Table 1 Purpose rating'!L29</f>
        <v>MH</v>
      </c>
      <c r="M29" s="46" t="str">
        <f>'Table 1 Purpose rating'!M29</f>
        <v>G</v>
      </c>
      <c r="N29" s="46" t="str">
        <f>'Table 1 Purpose rating'!N29</f>
        <v>G</v>
      </c>
      <c r="O29" s="46" t="str">
        <f>'Table 1 Purpose rating'!O29</f>
        <v>L</v>
      </c>
      <c r="P29" s="57" t="str">
        <f>'Table 1 Purpose rating'!P29</f>
        <v>CG</v>
      </c>
      <c r="Q29" s="53" t="str">
        <f>'Table 1 Purpose rating'!Q29</f>
        <v>Y</v>
      </c>
      <c r="R29" s="46" t="str">
        <f>'Table 1 Purpose rating'!R29</f>
        <v>G</v>
      </c>
      <c r="S29" s="46" t="str">
        <f>'Table 1 Purpose rating'!S29</f>
        <v>H</v>
      </c>
      <c r="T29" s="46" t="str">
        <f>'Table 1 Purpose rating'!T29</f>
        <v>M</v>
      </c>
      <c r="U29" s="47">
        <f>'Table 1 Purpose rating'!U29</f>
        <v>18000</v>
      </c>
      <c r="V29" s="46" t="str">
        <f>'Table 1 Purpose rating'!V29</f>
        <v>G</v>
      </c>
      <c r="W29" s="53" t="str">
        <f>'Table 1 Purpose rating'!W29</f>
        <v>X</v>
      </c>
      <c r="X29" s="53" t="str">
        <f>'Table 1 Purpose rating'!X29</f>
        <v>X</v>
      </c>
      <c r="Y29" s="53">
        <f>'Table 1 Purpose rating'!Y29</f>
        <v>0</v>
      </c>
      <c r="Z29" s="53">
        <f>'Table 1 Purpose rating'!Z29</f>
        <v>0</v>
      </c>
      <c r="AA29" s="53" t="str">
        <f>'Table 1 Purpose rating'!AA29</f>
        <v>X</v>
      </c>
      <c r="AB29" s="53" t="str">
        <f>'Table 1 Purpose rating'!AB29</f>
        <v>X</v>
      </c>
      <c r="AC29" s="53" t="str">
        <f>'Table 1 Purpose rating'!AC29</f>
        <v>1,2,3</v>
      </c>
      <c r="AD29" s="53" t="str">
        <f>'Table 1 Purpose rating'!AD29</f>
        <v>None</v>
      </c>
      <c r="AE29" s="53" t="str">
        <f>'Table 1 Purpose rating'!AE29</f>
        <v>Low</v>
      </c>
      <c r="AF29" s="55" t="str">
        <f>'Table 1 Purpose rating'!AF29</f>
        <v>Rye, Cereal planted after Oct. 1</v>
      </c>
      <c r="AG29" s="702">
        <f t="shared" si="0"/>
        <v>24.793388429752067</v>
      </c>
    </row>
    <row r="30" spans="1:33" ht="15.75" customHeight="1" x14ac:dyDescent="0.2">
      <c r="A30" s="639" t="str">
        <f>IF('Table 1 Purpose rating'!A30=0,"",'Table 1 Purpose rating'!A30)</f>
        <v>Rye, Cereal /5 planted on or before Oct. 1</v>
      </c>
      <c r="B30" s="46">
        <f>'Table 1 Purpose rating'!B30</f>
        <v>40</v>
      </c>
      <c r="C30" s="58" t="str">
        <f>'Table 1 Purpose rating'!C30</f>
        <v>.75 - 2.0</v>
      </c>
      <c r="D30" s="642">
        <f>'Table 1 Purpose rating'!D30</f>
        <v>0.255</v>
      </c>
      <c r="E30" s="46" t="str">
        <f>'Table 1 Purpose rating'!E30</f>
        <v>G</v>
      </c>
      <c r="F30" s="46" t="str">
        <f>'Table 1 Purpose rating'!F30</f>
        <v>G</v>
      </c>
      <c r="G30" s="46" t="str">
        <f>'Table 1 Purpose rating'!G30</f>
        <v>G</v>
      </c>
      <c r="H30" s="46" t="str">
        <f>'Table 1 Purpose rating'!H30</f>
        <v>N</v>
      </c>
      <c r="I30" s="46" t="str">
        <f>'Table 1 Purpose rating'!I30</f>
        <v>G</v>
      </c>
      <c r="J30" s="46" t="str">
        <f>'Table 1 Purpose rating'!J30</f>
        <v>G</v>
      </c>
      <c r="K30" s="46" t="str">
        <f>'Table 1 Purpose rating'!K30</f>
        <v>G</v>
      </c>
      <c r="L30" s="46" t="str">
        <f>'Table 1 Purpose rating'!L30</f>
        <v>MH</v>
      </c>
      <c r="M30" s="46" t="str">
        <f>'Table 1 Purpose rating'!M30</f>
        <v>G</v>
      </c>
      <c r="N30" s="46" t="str">
        <f>'Table 1 Purpose rating'!N30</f>
        <v>G</v>
      </c>
      <c r="O30" s="46" t="str">
        <f>'Table 1 Purpose rating'!O30</f>
        <v>L</v>
      </c>
      <c r="P30" s="57" t="str">
        <f>'Table 1 Purpose rating'!P30</f>
        <v>CG</v>
      </c>
      <c r="Q30" s="53" t="str">
        <f>'Table 1 Purpose rating'!Q30</f>
        <v>Y</v>
      </c>
      <c r="R30" s="46" t="str">
        <f>'Table 1 Purpose rating'!R30</f>
        <v>G</v>
      </c>
      <c r="S30" s="46" t="str">
        <f>'Table 1 Purpose rating'!S30</f>
        <v>H</v>
      </c>
      <c r="T30" s="46" t="str">
        <f>'Table 1 Purpose rating'!T30</f>
        <v>M</v>
      </c>
      <c r="U30" s="47">
        <f>'Table 1 Purpose rating'!U30</f>
        <v>18001</v>
      </c>
      <c r="V30" s="46" t="str">
        <f>'Table 1 Purpose rating'!V30</f>
        <v>G</v>
      </c>
      <c r="W30" s="53" t="str">
        <f>'Table 1 Purpose rating'!W30</f>
        <v>X</v>
      </c>
      <c r="X30" s="53" t="str">
        <f>'Table 1 Purpose rating'!X30</f>
        <v>X</v>
      </c>
      <c r="Y30" s="53">
        <f>'Table 1 Purpose rating'!Y30</f>
        <v>0</v>
      </c>
      <c r="Z30" s="53">
        <f>'Table 1 Purpose rating'!Z30</f>
        <v>0</v>
      </c>
      <c r="AA30" s="53" t="str">
        <f>'Table 1 Purpose rating'!AA30</f>
        <v>X</v>
      </c>
      <c r="AB30" s="53" t="str">
        <f>'Table 1 Purpose rating'!AB30</f>
        <v>X</v>
      </c>
      <c r="AC30" s="53" t="str">
        <f>'Table 1 Purpose rating'!AC30</f>
        <v>1,2,4</v>
      </c>
      <c r="AD30" s="53" t="str">
        <f>'Table 1 Purpose rating'!AD30</f>
        <v>None</v>
      </c>
      <c r="AE30" s="53" t="str">
        <f>'Table 1 Purpose rating'!AE30</f>
        <v>Low</v>
      </c>
      <c r="AF30" s="55" t="str">
        <f>'Table 1 Purpose rating'!AF30</f>
        <v>Rye, Cereal planted on or before Oct. 1</v>
      </c>
      <c r="AG30" s="702">
        <f t="shared" si="0"/>
        <v>16.529843893480258</v>
      </c>
    </row>
    <row r="31" spans="1:33" ht="15.75" customHeight="1" x14ac:dyDescent="0.2">
      <c r="A31" s="639" t="str">
        <f>IF('Table 1 Purpose rating'!A31=0,"",'Table 1 Purpose rating'!A31)</f>
        <v>Ryegrass, Annual</v>
      </c>
      <c r="B31" s="46">
        <f>'Table 1 Purpose rating'!B31</f>
        <v>15</v>
      </c>
      <c r="C31" s="58" t="str">
        <f>'Table 1 Purpose rating'!C31</f>
        <v>.5 - 1.5</v>
      </c>
      <c r="D31" s="642">
        <f>'Table 1 Purpose rating'!D31</f>
        <v>0.93333333333333324</v>
      </c>
      <c r="E31" s="46" t="str">
        <f>'Table 1 Purpose rating'!E31</f>
        <v>G</v>
      </c>
      <c r="F31" s="46" t="str">
        <f>'Table 1 Purpose rating'!F31</f>
        <v>G</v>
      </c>
      <c r="G31" s="46" t="str">
        <f>'Table 1 Purpose rating'!G31</f>
        <v>G</v>
      </c>
      <c r="H31" s="46" t="str">
        <f>'Table 1 Purpose rating'!H31</f>
        <v>N</v>
      </c>
      <c r="I31" s="46" t="str">
        <f>'Table 1 Purpose rating'!I31</f>
        <v>F</v>
      </c>
      <c r="J31" s="46" t="str">
        <f>'Table 1 Purpose rating'!J31</f>
        <v>G</v>
      </c>
      <c r="K31" s="46" t="str">
        <f>'Table 1 Purpose rating'!K31</f>
        <v>G</v>
      </c>
      <c r="L31" s="46" t="str">
        <f>'Table 1 Purpose rating'!L31</f>
        <v>MM</v>
      </c>
      <c r="M31" s="46" t="str">
        <f>'Table 1 Purpose rating'!M31</f>
        <v>G</v>
      </c>
      <c r="N31" s="46" t="str">
        <f>'Table 1 Purpose rating'!N31</f>
        <v>F</v>
      </c>
      <c r="O31" s="46" t="str">
        <f>'Table 1 Purpose rating'!O31</f>
        <v>F</v>
      </c>
      <c r="P31" s="57" t="str">
        <f>'Table 1 Purpose rating'!P31</f>
        <v>CG</v>
      </c>
      <c r="Q31" s="53" t="str">
        <f>'Table 1 Purpose rating'!Q31</f>
        <v>N /6</v>
      </c>
      <c r="R31" s="46" t="str">
        <f>'Table 1 Purpose rating'!R31</f>
        <v>F</v>
      </c>
      <c r="S31" s="46" t="str">
        <f>'Table 1 Purpose rating'!S31</f>
        <v>M</v>
      </c>
      <c r="T31" s="46" t="str">
        <f>'Table 1 Purpose rating'!T31</f>
        <v>M</v>
      </c>
      <c r="U31" s="47">
        <f>'Table 1 Purpose rating'!U31</f>
        <v>190000</v>
      </c>
      <c r="V31" s="46" t="str">
        <f>'Table 1 Purpose rating'!V31</f>
        <v>G</v>
      </c>
      <c r="W31" s="53">
        <f>'Table 1 Purpose rating'!W31</f>
        <v>0</v>
      </c>
      <c r="X31" s="53">
        <f>'Table 1 Purpose rating'!X31</f>
        <v>0</v>
      </c>
      <c r="Y31" s="53">
        <f>'Table 1 Purpose rating'!Y31</f>
        <v>0</v>
      </c>
      <c r="Z31" s="53">
        <f>'Table 1 Purpose rating'!Z31</f>
        <v>0</v>
      </c>
      <c r="AA31" s="53">
        <f>'Table 1 Purpose rating'!AA31</f>
        <v>0</v>
      </c>
      <c r="AB31" s="53">
        <f>'Table 1 Purpose rating'!AB31</f>
        <v>0</v>
      </c>
      <c r="AC31" s="53">
        <f>'Table 1 Purpose rating'!AC31</f>
        <v>0</v>
      </c>
      <c r="AD31" s="53" t="str">
        <f>'Table 1 Purpose rating'!AD31</f>
        <v>None</v>
      </c>
      <c r="AE31" s="53" t="str">
        <f>'Table 1 Purpose rating'!AE31</f>
        <v>Low</v>
      </c>
      <c r="AF31" s="55" t="str">
        <f>'Table 1 Purpose rating'!AF31</f>
        <v>Ryegrass, Annual</v>
      </c>
      <c r="AG31" s="702">
        <f t="shared" si="0"/>
        <v>65.426997245179066</v>
      </c>
    </row>
    <row r="32" spans="1:33" ht="15.75" customHeight="1" x14ac:dyDescent="0.2">
      <c r="A32" s="639" t="str">
        <f>IF('Table 1 Purpose rating'!A32=0,"",'Table 1 Purpose rating'!A32)</f>
        <v>Safflowers</v>
      </c>
      <c r="B32" s="46">
        <f>'Table 1 Purpose rating'!B32</f>
        <v>30</v>
      </c>
      <c r="C32" s="58" t="str">
        <f>'Table 1 Purpose rating'!C32</f>
        <v>.5 - 1.0</v>
      </c>
      <c r="D32" s="642">
        <f>'Table 1 Purpose rating'!D32</f>
        <v>1.4</v>
      </c>
      <c r="E32" s="46" t="str">
        <f>'Table 1 Purpose rating'!E32</f>
        <v>F</v>
      </c>
      <c r="F32" s="46" t="str">
        <f>'Table 1 Purpose rating'!F32</f>
        <v>F</v>
      </c>
      <c r="G32" s="46" t="str">
        <f>'Table 1 Purpose rating'!G32</f>
        <v>G</v>
      </c>
      <c r="H32" s="46" t="str">
        <f>'Table 1 Purpose rating'!H32</f>
        <v>N</v>
      </c>
      <c r="I32" s="46" t="str">
        <f>'Table 1 Purpose rating'!I32</f>
        <v>F</v>
      </c>
      <c r="J32" s="46" t="str">
        <f>'Table 1 Purpose rating'!J32</f>
        <v>P</v>
      </c>
      <c r="K32" s="46" t="str">
        <f>'Table 1 Purpose rating'!K32</f>
        <v>P</v>
      </c>
      <c r="L32" s="46" t="str">
        <f>'Table 1 Purpose rating'!L32</f>
        <v>DM</v>
      </c>
      <c r="M32" s="46" t="str">
        <f>'Table 1 Purpose rating'!M32</f>
        <v>F</v>
      </c>
      <c r="N32" s="46" t="str">
        <f>'Table 1 Purpose rating'!N32</f>
        <v>G</v>
      </c>
      <c r="O32" s="46" t="str">
        <f>'Table 1 Purpose rating'!O32</f>
        <v>L</v>
      </c>
      <c r="P32" s="57" t="str">
        <f>'Table 1 Purpose rating'!P32</f>
        <v>WB</v>
      </c>
      <c r="Q32" s="53" t="str">
        <f>'Table 1 Purpose rating'!Q32</f>
        <v>N</v>
      </c>
      <c r="R32" s="46" t="str">
        <f>'Table 1 Purpose rating'!R32</f>
        <v>F</v>
      </c>
      <c r="S32" s="46" t="str">
        <f>'Table 1 Purpose rating'!S32</f>
        <v>M</v>
      </c>
      <c r="T32" s="46" t="str">
        <f>'Table 1 Purpose rating'!T32</f>
        <v>M</v>
      </c>
      <c r="U32" s="47">
        <f>'Table 1 Purpose rating'!U32</f>
        <v>15000</v>
      </c>
      <c r="V32" s="46" t="str">
        <f>'Table 1 Purpose rating'!V32</f>
        <v>P</v>
      </c>
      <c r="W32" s="53">
        <f>'Table 1 Purpose rating'!W32</f>
        <v>0</v>
      </c>
      <c r="X32" s="53">
        <f>'Table 1 Purpose rating'!X32</f>
        <v>0</v>
      </c>
      <c r="Y32" s="53">
        <f>'Table 1 Purpose rating'!Y32</f>
        <v>0</v>
      </c>
      <c r="Z32" s="53">
        <f>'Table 1 Purpose rating'!Z32</f>
        <v>0</v>
      </c>
      <c r="AA32" s="53" t="str">
        <f>'Table 1 Purpose rating'!AA32</f>
        <v>X</v>
      </c>
      <c r="AB32" s="53" t="str">
        <f>'Table 1 Purpose rating'!AB32</f>
        <v>X</v>
      </c>
      <c r="AC32" s="53">
        <f>'Table 1 Purpose rating'!AC32</f>
        <v>4</v>
      </c>
      <c r="AD32" s="53" t="str">
        <f>'Table 1 Purpose rating'!AD32</f>
        <v>Moderate</v>
      </c>
      <c r="AE32" s="53" t="str">
        <f>'Table 1 Purpose rating'!AE32</f>
        <v>Moderate</v>
      </c>
      <c r="AF32" s="55" t="str">
        <f>'Table 1 Purpose rating'!AF32</f>
        <v>Safflowers</v>
      </c>
      <c r="AG32" s="702">
        <f t="shared" si="0"/>
        <v>10.330578512396695</v>
      </c>
    </row>
    <row r="33" spans="1:33" ht="15.75" customHeight="1" x14ac:dyDescent="0.2">
      <c r="A33" s="643" t="str">
        <f>IF('Table 1 Purpose rating'!A33=0,"",'Table 1 Purpose rating'!A33)</f>
        <v>Sorghum, Forage and Sudan Hybrids</v>
      </c>
      <c r="B33" s="46">
        <f>'Table 1 Purpose rating'!B33</f>
        <v>15</v>
      </c>
      <c r="C33" s="58" t="str">
        <f>'Table 1 Purpose rating'!C33</f>
        <v>.5 - 1.5</v>
      </c>
      <c r="D33" s="642">
        <f>'Table 1 Purpose rating'!D33</f>
        <v>1.62</v>
      </c>
      <c r="E33" s="46" t="str">
        <f>'Table 1 Purpose rating'!E33</f>
        <v>G</v>
      </c>
      <c r="F33" s="46" t="str">
        <f>'Table 1 Purpose rating'!F33</f>
        <v>G</v>
      </c>
      <c r="G33" s="46" t="str">
        <f>'Table 1 Purpose rating'!G33</f>
        <v>G</v>
      </c>
      <c r="H33" s="46" t="str">
        <f>'Table 1 Purpose rating'!H33</f>
        <v>N</v>
      </c>
      <c r="I33" s="46" t="str">
        <f>'Table 1 Purpose rating'!I33</f>
        <v>G</v>
      </c>
      <c r="J33" s="46" t="str">
        <f>'Table 1 Purpose rating'!J33</f>
        <v>G</v>
      </c>
      <c r="K33" s="46" t="str">
        <f>'Table 1 Purpose rating'!K33</f>
        <v>G</v>
      </c>
      <c r="L33" s="46" t="str">
        <f>'Table 1 Purpose rating'!L33</f>
        <v>MM</v>
      </c>
      <c r="M33" s="46" t="str">
        <f>'Table 1 Purpose rating'!M33</f>
        <v>G</v>
      </c>
      <c r="N33" s="46" t="str">
        <f>'Table 1 Purpose rating'!N33</f>
        <v>G</v>
      </c>
      <c r="O33" s="46" t="str">
        <f>'Table 1 Purpose rating'!O33</f>
        <v>L</v>
      </c>
      <c r="P33" s="57" t="str">
        <f>'Table 1 Purpose rating'!P33</f>
        <v>WG</v>
      </c>
      <c r="Q33" s="53" t="str">
        <f>'Table 1 Purpose rating'!Q33</f>
        <v>N</v>
      </c>
      <c r="R33" s="46" t="str">
        <f>'Table 1 Purpose rating'!R33</f>
        <v>F</v>
      </c>
      <c r="S33" s="46" t="str">
        <f>'Table 1 Purpose rating'!S33</f>
        <v>M</v>
      </c>
      <c r="T33" s="46" t="str">
        <f>'Table 1 Purpose rating'!T33</f>
        <v>H</v>
      </c>
      <c r="U33" s="47">
        <f>'Table 1 Purpose rating'!U33</f>
        <v>17000</v>
      </c>
      <c r="V33" s="46" t="str">
        <f>'Table 1 Purpose rating'!V33</f>
        <v>P</v>
      </c>
      <c r="W33" s="53">
        <f>'Table 1 Purpose rating'!W33</f>
        <v>0</v>
      </c>
      <c r="X33" s="53">
        <f>'Table 1 Purpose rating'!X33</f>
        <v>0</v>
      </c>
      <c r="Y33" s="53" t="str">
        <f>'Table 1 Purpose rating'!Y33</f>
        <v>X</v>
      </c>
      <c r="Z33" s="53" t="str">
        <f>'Table 1 Purpose rating'!Z33</f>
        <v>X</v>
      </c>
      <c r="AA33" s="53" t="str">
        <f>'Table 1 Purpose rating'!AA33</f>
        <v>X</v>
      </c>
      <c r="AB33" s="53" t="str">
        <f>'Table 1 Purpose rating'!AB33</f>
        <v>X</v>
      </c>
      <c r="AC33" s="53" t="str">
        <f>'Table 1 Purpose rating'!AC33</f>
        <v>1,2,3</v>
      </c>
      <c r="AD33" s="53" t="str">
        <f>'Table 1 Purpose rating'!AD33</f>
        <v>None</v>
      </c>
      <c r="AE33" s="53" t="str">
        <f>'Table 1 Purpose rating'!AE33</f>
        <v>Moderate</v>
      </c>
      <c r="AF33" s="56" t="str">
        <f>'Table 1 Purpose rating'!AF33</f>
        <v>Sorghum, Forage and Sudan Hybrids</v>
      </c>
      <c r="AG33" s="702">
        <f t="shared" si="0"/>
        <v>5.8539944903581267</v>
      </c>
    </row>
    <row r="34" spans="1:33" ht="15.75" customHeight="1" x14ac:dyDescent="0.2">
      <c r="A34" s="639" t="str">
        <f>IF('Table 1 Purpose rating'!A34=0,"",'Table 1 Purpose rating'!A34)</f>
        <v xml:space="preserve">Sorghum, Grain </v>
      </c>
      <c r="B34" s="46">
        <f>'Table 1 Purpose rating'!B34</f>
        <v>5</v>
      </c>
      <c r="C34" s="58" t="str">
        <f>'Table 1 Purpose rating'!C34</f>
        <v>.5 - 1.5</v>
      </c>
      <c r="D34" s="642">
        <f>'Table 1 Purpose rating'!D34</f>
        <v>2.73</v>
      </c>
      <c r="E34" s="46" t="str">
        <f>'Table 1 Purpose rating'!E34</f>
        <v>G</v>
      </c>
      <c r="F34" s="46" t="str">
        <f>'Table 1 Purpose rating'!F34</f>
        <v>G</v>
      </c>
      <c r="G34" s="46" t="str">
        <f>'Table 1 Purpose rating'!G34</f>
        <v>G</v>
      </c>
      <c r="H34" s="46" t="str">
        <f>'Table 1 Purpose rating'!H34</f>
        <v>N</v>
      </c>
      <c r="I34" s="46" t="str">
        <f>'Table 1 Purpose rating'!I34</f>
        <v>G</v>
      </c>
      <c r="J34" s="46" t="str">
        <f>'Table 1 Purpose rating'!J34</f>
        <v>G</v>
      </c>
      <c r="K34" s="46" t="str">
        <f>'Table 1 Purpose rating'!K34</f>
        <v>G</v>
      </c>
      <c r="L34" s="46" t="str">
        <f>'Table 1 Purpose rating'!L34</f>
        <v>MM</v>
      </c>
      <c r="M34" s="46" t="str">
        <f>'Table 1 Purpose rating'!M34</f>
        <v>G</v>
      </c>
      <c r="N34" s="46" t="str">
        <f>'Table 1 Purpose rating'!N34</f>
        <v>G</v>
      </c>
      <c r="O34" s="46" t="str">
        <f>'Table 1 Purpose rating'!O34</f>
        <v>L</v>
      </c>
      <c r="P34" s="57" t="str">
        <f>'Table 1 Purpose rating'!P34</f>
        <v>WG</v>
      </c>
      <c r="Q34" s="53" t="str">
        <f>'Table 1 Purpose rating'!Q34</f>
        <v>N</v>
      </c>
      <c r="R34" s="46" t="str">
        <f>'Table 1 Purpose rating'!R34</f>
        <v>F</v>
      </c>
      <c r="S34" s="46" t="str">
        <f>'Table 1 Purpose rating'!S34</f>
        <v>M</v>
      </c>
      <c r="T34" s="46" t="str">
        <f>'Table 1 Purpose rating'!T34</f>
        <v>H</v>
      </c>
      <c r="U34" s="47">
        <f>'Table 1 Purpose rating'!U34</f>
        <v>17000</v>
      </c>
      <c r="V34" s="46" t="str">
        <f>'Table 1 Purpose rating'!V34</f>
        <v>P</v>
      </c>
      <c r="W34" s="53">
        <f>'Table 1 Purpose rating'!W34</f>
        <v>0</v>
      </c>
      <c r="X34" s="53">
        <f>'Table 1 Purpose rating'!X34</f>
        <v>0</v>
      </c>
      <c r="Y34" s="53" t="str">
        <f>'Table 1 Purpose rating'!Y34</f>
        <v>X</v>
      </c>
      <c r="Z34" s="53" t="str">
        <f>'Table 1 Purpose rating'!Z34</f>
        <v>X</v>
      </c>
      <c r="AA34" s="53" t="str">
        <f>'Table 1 Purpose rating'!AA34</f>
        <v>X</v>
      </c>
      <c r="AB34" s="53" t="str">
        <f>'Table 1 Purpose rating'!AB34</f>
        <v>X</v>
      </c>
      <c r="AC34" s="53" t="str">
        <f>'Table 1 Purpose rating'!AC34</f>
        <v>1,2,3</v>
      </c>
      <c r="AD34" s="53" t="str">
        <f>'Table 1 Purpose rating'!AD34</f>
        <v>None</v>
      </c>
      <c r="AE34" s="53" t="str">
        <f>'Table 1 Purpose rating'!AE34</f>
        <v>Moderate</v>
      </c>
      <c r="AF34" s="55" t="str">
        <f>'Table 1 Purpose rating'!AF34</f>
        <v xml:space="preserve">Sorghum, Grain </v>
      </c>
      <c r="AG34" s="702">
        <f t="shared" si="0"/>
        <v>1.9513314967860422</v>
      </c>
    </row>
    <row r="35" spans="1:33" ht="15.75" customHeight="1" x14ac:dyDescent="0.2">
      <c r="A35" s="639" t="str">
        <f>IF('Table 1 Purpose rating'!A35=0,"",'Table 1 Purpose rating'!A35)</f>
        <v>Soybeans</v>
      </c>
      <c r="B35" s="46">
        <f>'Table 1 Purpose rating'!B35</f>
        <v>35</v>
      </c>
      <c r="C35" s="58" t="str">
        <f>'Table 1 Purpose rating'!C35</f>
        <v>1 - 1.5</v>
      </c>
      <c r="D35" s="642">
        <f>'Table 1 Purpose rating'!D35</f>
        <v>0.82</v>
      </c>
      <c r="E35" s="46" t="str">
        <f>'Table 1 Purpose rating'!E35</f>
        <v>F</v>
      </c>
      <c r="F35" s="46" t="str">
        <f>'Table 1 Purpose rating'!F35</f>
        <v>P</v>
      </c>
      <c r="G35" s="46" t="str">
        <f>'Table 1 Purpose rating'!G35</f>
        <v>F</v>
      </c>
      <c r="H35" s="46" t="str">
        <f>'Table 1 Purpose rating'!H35</f>
        <v>Y</v>
      </c>
      <c r="I35" s="46" t="str">
        <f>'Table 1 Purpose rating'!I35</f>
        <v>F</v>
      </c>
      <c r="J35" s="46" t="str">
        <f>'Table 1 Purpose rating'!J35</f>
        <v>F</v>
      </c>
      <c r="K35" s="46" t="str">
        <f>'Table 1 Purpose rating'!K35</f>
        <v>F</v>
      </c>
      <c r="L35" s="46" t="str">
        <f>'Table 1 Purpose rating'!L35</f>
        <v>SM</v>
      </c>
      <c r="M35" s="46" t="str">
        <f>'Table 1 Purpose rating'!M35</f>
        <v>F</v>
      </c>
      <c r="N35" s="46" t="str">
        <f>'Table 1 Purpose rating'!N35</f>
        <v>F</v>
      </c>
      <c r="O35" s="46" t="str">
        <f>'Table 1 Purpose rating'!O35</f>
        <v>L</v>
      </c>
      <c r="P35" s="57" t="str">
        <f>'Table 1 Purpose rating'!P35</f>
        <v>WB</v>
      </c>
      <c r="Q35" s="53" t="str">
        <f>'Table 1 Purpose rating'!Q35</f>
        <v>N</v>
      </c>
      <c r="R35" s="46" t="str">
        <f>'Table 1 Purpose rating'!R35</f>
        <v>P</v>
      </c>
      <c r="S35" s="46" t="str">
        <f>'Table 1 Purpose rating'!S35</f>
        <v>L</v>
      </c>
      <c r="T35" s="46" t="str">
        <f>'Table 1 Purpose rating'!T35</f>
        <v>M</v>
      </c>
      <c r="U35" s="47">
        <f>'Table 1 Purpose rating'!U35</f>
        <v>3000</v>
      </c>
      <c r="V35" s="46" t="str">
        <f>'Table 1 Purpose rating'!V35</f>
        <v>F</v>
      </c>
      <c r="W35" s="53">
        <f>'Table 1 Purpose rating'!W35</f>
        <v>0</v>
      </c>
      <c r="X35" s="53">
        <f>'Table 1 Purpose rating'!X35</f>
        <v>0</v>
      </c>
      <c r="Y35" s="53">
        <f>'Table 1 Purpose rating'!Y35</f>
        <v>0</v>
      </c>
      <c r="Z35" s="53">
        <f>'Table 1 Purpose rating'!Z35</f>
        <v>0</v>
      </c>
      <c r="AA35" s="53" t="str">
        <f>'Table 1 Purpose rating'!AA35</f>
        <v>X</v>
      </c>
      <c r="AB35" s="53" t="str">
        <f>'Table 1 Purpose rating'!AB35</f>
        <v>X</v>
      </c>
      <c r="AC35" s="53" t="str">
        <f>'Table 1 Purpose rating'!AC35</f>
        <v>1,2</v>
      </c>
      <c r="AD35" s="53" t="str">
        <f>'Table 1 Purpose rating'!AD35</f>
        <v>Moderate</v>
      </c>
      <c r="AE35" s="53" t="str">
        <f>'Table 1 Purpose rating'!AE35</f>
        <v>Moderate</v>
      </c>
      <c r="AF35" s="55" t="str">
        <f>'Table 1 Purpose rating'!AF35</f>
        <v>Soybeans</v>
      </c>
      <c r="AG35" s="702">
        <f t="shared" si="0"/>
        <v>2.4104683195592287</v>
      </c>
    </row>
    <row r="36" spans="1:33" ht="15.75" customHeight="1" x14ac:dyDescent="0.2">
      <c r="A36" s="639" t="str">
        <f>IF('Table 1 Purpose rating'!A36=0,"",'Table 1 Purpose rating'!A36)</f>
        <v>Sudangrass</v>
      </c>
      <c r="B36" s="46">
        <f>'Table 1 Purpose rating'!B36</f>
        <v>20</v>
      </c>
      <c r="C36" s="58" t="str">
        <f>'Table 1 Purpose rating'!C36</f>
        <v>.5 - 1.5</v>
      </c>
      <c r="D36" s="642">
        <f>'Table 1 Purpose rating'!D36</f>
        <v>1.5833333333333333</v>
      </c>
      <c r="E36" s="46" t="str">
        <f>'Table 1 Purpose rating'!E36</f>
        <v>G</v>
      </c>
      <c r="F36" s="46" t="str">
        <f>'Table 1 Purpose rating'!F36</f>
        <v>G</v>
      </c>
      <c r="G36" s="46" t="str">
        <f>'Table 1 Purpose rating'!G36</f>
        <v>G</v>
      </c>
      <c r="H36" s="46" t="str">
        <f>'Table 1 Purpose rating'!H36</f>
        <v>N</v>
      </c>
      <c r="I36" s="46" t="str">
        <f>'Table 1 Purpose rating'!I36</f>
        <v>G</v>
      </c>
      <c r="J36" s="46" t="str">
        <f>'Table 1 Purpose rating'!J36</f>
        <v>G</v>
      </c>
      <c r="K36" s="46" t="str">
        <f>'Table 1 Purpose rating'!K36</f>
        <v>G</v>
      </c>
      <c r="L36" s="46" t="str">
        <f>'Table 1 Purpose rating'!L36</f>
        <v>MM</v>
      </c>
      <c r="M36" s="46" t="str">
        <f>'Table 1 Purpose rating'!M36</f>
        <v>G</v>
      </c>
      <c r="N36" s="46" t="str">
        <f>'Table 1 Purpose rating'!N36</f>
        <v>G</v>
      </c>
      <c r="O36" s="46" t="str">
        <f>'Table 1 Purpose rating'!O36</f>
        <v>L</v>
      </c>
      <c r="P36" s="57" t="str">
        <f>'Table 1 Purpose rating'!P36</f>
        <v>WG</v>
      </c>
      <c r="Q36" s="53" t="str">
        <f>'Table 1 Purpose rating'!Q36</f>
        <v>N</v>
      </c>
      <c r="R36" s="46" t="str">
        <f>'Table 1 Purpose rating'!R36</f>
        <v>F</v>
      </c>
      <c r="S36" s="46" t="str">
        <f>'Table 1 Purpose rating'!S36</f>
        <v>M</v>
      </c>
      <c r="T36" s="46" t="str">
        <f>'Table 1 Purpose rating'!T36</f>
        <v>H</v>
      </c>
      <c r="U36" s="47">
        <f>'Table 1 Purpose rating'!U36</f>
        <v>25000</v>
      </c>
      <c r="V36" s="46" t="str">
        <f>'Table 1 Purpose rating'!V36</f>
        <v>P</v>
      </c>
      <c r="W36" s="53">
        <f>'Table 1 Purpose rating'!W36</f>
        <v>0</v>
      </c>
      <c r="X36" s="53">
        <f>'Table 1 Purpose rating'!X36</f>
        <v>0</v>
      </c>
      <c r="Y36" s="53" t="str">
        <f>'Table 1 Purpose rating'!Y36</f>
        <v>X</v>
      </c>
      <c r="Z36" s="53" t="str">
        <f>'Table 1 Purpose rating'!Z36</f>
        <v>X</v>
      </c>
      <c r="AA36" s="53" t="str">
        <f>'Table 1 Purpose rating'!AA36</f>
        <v>X</v>
      </c>
      <c r="AB36" s="53" t="str">
        <f>'Table 1 Purpose rating'!AB36</f>
        <v>X</v>
      </c>
      <c r="AC36" s="53" t="str">
        <f>'Table 1 Purpose rating'!AC36</f>
        <v>1,2,3</v>
      </c>
      <c r="AD36" s="53" t="str">
        <f>'Table 1 Purpose rating'!AD36</f>
        <v>None</v>
      </c>
      <c r="AE36" s="53" t="str">
        <f>'Table 1 Purpose rating'!AE36</f>
        <v>Moderate</v>
      </c>
      <c r="AF36" s="55" t="str">
        <f>'Table 1 Purpose rating'!AF36</f>
        <v>Sudangrass</v>
      </c>
      <c r="AG36" s="702">
        <f t="shared" si="0"/>
        <v>11.478420569329661</v>
      </c>
    </row>
    <row r="37" spans="1:33" ht="15.75" customHeight="1" x14ac:dyDescent="0.2">
      <c r="A37" s="639" t="str">
        <f>IF('Table 1 Purpose rating'!A37=0,"",'Table 1 Purpose rating'!A37)</f>
        <v>Sugar beets</v>
      </c>
      <c r="B37" s="46">
        <f>'Table 1 Purpose rating'!B37</f>
        <v>4</v>
      </c>
      <c r="C37" s="58" t="str">
        <f>'Table 1 Purpose rating'!C37</f>
        <v>.25 - .5</v>
      </c>
      <c r="D37" s="642">
        <f>'Table 1 Purpose rating'!D37</f>
        <v>4.55</v>
      </c>
      <c r="E37" s="46" t="str">
        <f>'Table 1 Purpose rating'!E37</f>
        <v>F</v>
      </c>
      <c r="F37" s="46" t="str">
        <f>'Table 1 Purpose rating'!F37</f>
        <v>P</v>
      </c>
      <c r="G37" s="46" t="str">
        <f>'Table 1 Purpose rating'!G37</f>
        <v>G</v>
      </c>
      <c r="H37" s="46" t="str">
        <f>'Table 1 Purpose rating'!H37</f>
        <v>N</v>
      </c>
      <c r="I37" s="46" t="str">
        <f>'Table 1 Purpose rating'!I37</f>
        <v>F</v>
      </c>
      <c r="J37" s="46" t="str">
        <f>'Table 1 Purpose rating'!J37</f>
        <v>P</v>
      </c>
      <c r="K37" s="46" t="str">
        <f>'Table 1 Purpose rating'!K37</f>
        <v>G</v>
      </c>
      <c r="L37" s="46" t="str">
        <f>'Table 1 Purpose rating'!L37</f>
        <v>DH</v>
      </c>
      <c r="M37" s="46" t="str">
        <f>'Table 1 Purpose rating'!M37</f>
        <v>G</v>
      </c>
      <c r="N37" s="46" t="str">
        <f>'Table 1 Purpose rating'!N37</f>
        <v>G</v>
      </c>
      <c r="O37" s="46" t="str">
        <f>'Table 1 Purpose rating'!O37</f>
        <v>F</v>
      </c>
      <c r="P37" s="57" t="str">
        <f>'Table 1 Purpose rating'!P37</f>
        <v>CB</v>
      </c>
      <c r="Q37" s="53" t="str">
        <f>'Table 1 Purpose rating'!Q37</f>
        <v>N</v>
      </c>
      <c r="R37" s="46" t="str">
        <f>'Table 1 Purpose rating'!R37</f>
        <v>G</v>
      </c>
      <c r="S37" s="46" t="str">
        <f>'Table 1 Purpose rating'!S37</f>
        <v>L</v>
      </c>
      <c r="T37" s="46" t="str">
        <f>'Table 1 Purpose rating'!T37</f>
        <v>N</v>
      </c>
      <c r="U37" s="47">
        <f>'Table 1 Purpose rating'!U37</f>
        <v>22000</v>
      </c>
      <c r="V37" s="46" t="str">
        <f>'Table 1 Purpose rating'!V37</f>
        <v>P</v>
      </c>
      <c r="W37" s="53">
        <f>'Table 1 Purpose rating'!W37</f>
        <v>0</v>
      </c>
      <c r="X37" s="53" t="str">
        <f>'Table 1 Purpose rating'!X37</f>
        <v>X</v>
      </c>
      <c r="Y37" s="53" t="str">
        <f>'Table 1 Purpose rating'!Y37</f>
        <v>X</v>
      </c>
      <c r="Z37" s="53">
        <f>'Table 1 Purpose rating'!Z37</f>
        <v>0</v>
      </c>
      <c r="AA37" s="53" t="str">
        <f>'Table 1 Purpose rating'!AA37</f>
        <v>X</v>
      </c>
      <c r="AB37" s="53" t="str">
        <f>'Table 1 Purpose rating'!AB37</f>
        <v>X</v>
      </c>
      <c r="AC37" s="53">
        <f>'Table 1 Purpose rating'!AC37</f>
        <v>1</v>
      </c>
      <c r="AD37" s="53" t="str">
        <f>'Table 1 Purpose rating'!AD37</f>
        <v>Low</v>
      </c>
      <c r="AE37" s="53" t="str">
        <f>'Table 1 Purpose rating'!AE37</f>
        <v>Low</v>
      </c>
      <c r="AF37" s="55" t="str">
        <f>'Table 1 Purpose rating'!AF37</f>
        <v>Sugar beets</v>
      </c>
      <c r="AG37" s="702">
        <f t="shared" si="0"/>
        <v>2.0202020202020203</v>
      </c>
    </row>
    <row r="38" spans="1:33" ht="15.75" customHeight="1" x14ac:dyDescent="0.2">
      <c r="A38" s="639" t="str">
        <f>IF('Table 1 Purpose rating'!A38=0,"",'Table 1 Purpose rating'!A38)</f>
        <v>Sunflowers</v>
      </c>
      <c r="B38" s="46">
        <f>'Table 1 Purpose rating'!B38</f>
        <v>7</v>
      </c>
      <c r="C38" s="58" t="str">
        <f>'Table 1 Purpose rating'!C38</f>
        <v>.5 - 1.0</v>
      </c>
      <c r="D38" s="642">
        <f>'Table 1 Purpose rating'!D38</f>
        <v>0.7</v>
      </c>
      <c r="E38" s="46" t="str">
        <f>'Table 1 Purpose rating'!E38</f>
        <v>F</v>
      </c>
      <c r="F38" s="46" t="str">
        <f>'Table 1 Purpose rating'!F38</f>
        <v>F</v>
      </c>
      <c r="G38" s="46" t="str">
        <f>'Table 1 Purpose rating'!G38</f>
        <v>G</v>
      </c>
      <c r="H38" s="46" t="str">
        <f>'Table 1 Purpose rating'!H38</f>
        <v>N</v>
      </c>
      <c r="I38" s="46" t="str">
        <f>'Table 1 Purpose rating'!I38</f>
        <v>F</v>
      </c>
      <c r="J38" s="46" t="str">
        <f>'Table 1 Purpose rating'!J38</f>
        <v>P</v>
      </c>
      <c r="K38" s="46" t="str">
        <f>'Table 1 Purpose rating'!K38</f>
        <v>G</v>
      </c>
      <c r="L38" s="46" t="str">
        <f>'Table 1 Purpose rating'!L38</f>
        <v>DM</v>
      </c>
      <c r="M38" s="46" t="str">
        <f>'Table 1 Purpose rating'!M38</f>
        <v>F</v>
      </c>
      <c r="N38" s="46" t="str">
        <f>'Table 1 Purpose rating'!N38</f>
        <v xml:space="preserve">G </v>
      </c>
      <c r="O38" s="46" t="str">
        <f>'Table 1 Purpose rating'!O38</f>
        <v>L</v>
      </c>
      <c r="P38" s="57" t="str">
        <f>'Table 1 Purpose rating'!P38</f>
        <v>WB</v>
      </c>
      <c r="Q38" s="53" t="str">
        <f>'Table 1 Purpose rating'!Q38</f>
        <v>N</v>
      </c>
      <c r="R38" s="46" t="str">
        <f>'Table 1 Purpose rating'!R38</f>
        <v>F</v>
      </c>
      <c r="S38" s="46" t="str">
        <f>'Table 1 Purpose rating'!S38</f>
        <v>M</v>
      </c>
      <c r="T38" s="46" t="str">
        <f>'Table 1 Purpose rating'!T38</f>
        <v>M</v>
      </c>
      <c r="U38" s="47">
        <f>'Table 1 Purpose rating'!U38</f>
        <v>8000</v>
      </c>
      <c r="V38" s="46" t="str">
        <f>'Table 1 Purpose rating'!V38</f>
        <v>P</v>
      </c>
      <c r="W38" s="53">
        <f>'Table 1 Purpose rating'!W38</f>
        <v>0</v>
      </c>
      <c r="X38" s="53">
        <f>'Table 1 Purpose rating'!X38</f>
        <v>0</v>
      </c>
      <c r="Y38" s="53">
        <f>'Table 1 Purpose rating'!Y38</f>
        <v>0</v>
      </c>
      <c r="Z38" s="53">
        <f>'Table 1 Purpose rating'!Z38</f>
        <v>0</v>
      </c>
      <c r="AA38" s="53" t="str">
        <f>'Table 1 Purpose rating'!AA38</f>
        <v>X</v>
      </c>
      <c r="AB38" s="53" t="str">
        <f>'Table 1 Purpose rating'!AB38</f>
        <v>X</v>
      </c>
      <c r="AC38" s="53">
        <f>'Table 1 Purpose rating'!AC38</f>
        <v>4</v>
      </c>
      <c r="AD38" s="53" t="str">
        <f>'Table 1 Purpose rating'!AD38</f>
        <v>High</v>
      </c>
      <c r="AE38" s="53" t="str">
        <f>'Table 1 Purpose rating'!AE38</f>
        <v>High</v>
      </c>
      <c r="AF38" s="55" t="str">
        <f>'Table 1 Purpose rating'!AF38</f>
        <v>Sunflowers</v>
      </c>
      <c r="AG38" s="702">
        <f t="shared" si="0"/>
        <v>1.2855831037649219</v>
      </c>
    </row>
    <row r="39" spans="1:33" ht="15.75" customHeight="1" x14ac:dyDescent="0.2">
      <c r="A39" s="639" t="str">
        <f>IF('Table 1 Purpose rating'!A39=0,"",'Table 1 Purpose rating'!A39)</f>
        <v>Sunn hemp</v>
      </c>
      <c r="B39" s="46">
        <f>'Table 1 Purpose rating'!B39</f>
        <v>15</v>
      </c>
      <c r="C39" s="58" t="str">
        <f>'Table 1 Purpose rating'!C39</f>
        <v>1.5 - 2.0</v>
      </c>
      <c r="D39" s="642">
        <f>'Table 1 Purpose rating'!D39</f>
        <v>1.8</v>
      </c>
      <c r="E39" s="46" t="str">
        <f>'Table 1 Purpose rating'!E39</f>
        <v>F</v>
      </c>
      <c r="F39" s="46" t="str">
        <f>'Table 1 Purpose rating'!F39</f>
        <v>F</v>
      </c>
      <c r="G39" s="46" t="str">
        <f>'Table 1 Purpose rating'!G39</f>
        <v>F</v>
      </c>
      <c r="H39" s="46" t="str">
        <f>'Table 1 Purpose rating'!H39</f>
        <v>Y</v>
      </c>
      <c r="I39" s="46" t="str">
        <f>'Table 1 Purpose rating'!I39</f>
        <v>F</v>
      </c>
      <c r="J39" s="46" t="str">
        <f>'Table 1 Purpose rating'!J39</f>
        <v>P</v>
      </c>
      <c r="K39" s="46" t="str">
        <f>'Table 1 Purpose rating'!K39</f>
        <v>F</v>
      </c>
      <c r="L39" s="46" t="str">
        <f>'Table 1 Purpose rating'!L39</f>
        <v>DM</v>
      </c>
      <c r="M39" s="46" t="str">
        <f>'Table 1 Purpose rating'!M39</f>
        <v>F</v>
      </c>
      <c r="N39" s="46" t="str">
        <f>'Table 1 Purpose rating'!N39</f>
        <v>F</v>
      </c>
      <c r="O39" s="46" t="str">
        <f>'Table 1 Purpose rating'!O39</f>
        <v>L</v>
      </c>
      <c r="P39" s="57" t="str">
        <f>'Table 1 Purpose rating'!P39</f>
        <v>WB</v>
      </c>
      <c r="Q39" s="53" t="str">
        <f>'Table 1 Purpose rating'!Q39</f>
        <v>N</v>
      </c>
      <c r="R39" s="46" t="str">
        <f>'Table 1 Purpose rating'!R39</f>
        <v>P</v>
      </c>
      <c r="S39" s="46" t="str">
        <f>'Table 1 Purpose rating'!S39</f>
        <v>L</v>
      </c>
      <c r="T39" s="46" t="str">
        <f>'Table 1 Purpose rating'!T39</f>
        <v>M</v>
      </c>
      <c r="U39" s="47">
        <f>'Table 1 Purpose rating'!U39</f>
        <v>15000</v>
      </c>
      <c r="V39" s="46" t="str">
        <f>'Table 1 Purpose rating'!V39</f>
        <v>P</v>
      </c>
      <c r="W39" s="53">
        <f>'Table 1 Purpose rating'!W39</f>
        <v>0</v>
      </c>
      <c r="X39" s="53">
        <f>'Table 1 Purpose rating'!X39</f>
        <v>0</v>
      </c>
      <c r="Y39" s="53">
        <f>'Table 1 Purpose rating'!Y39</f>
        <v>0</v>
      </c>
      <c r="Z39" s="53">
        <f>'Table 1 Purpose rating'!Z39</f>
        <v>0</v>
      </c>
      <c r="AA39" s="53">
        <f>'Table 1 Purpose rating'!AA39</f>
        <v>0</v>
      </c>
      <c r="AB39" s="53">
        <f>'Table 1 Purpose rating'!AB39</f>
        <v>0</v>
      </c>
      <c r="AC39" s="66" t="str">
        <f>'Table 1 Purpose rating'!AC39</f>
        <v>1,3</v>
      </c>
      <c r="AD39" s="53" t="str">
        <f>'Table 1 Purpose rating'!AD39</f>
        <v>High</v>
      </c>
      <c r="AE39" s="53" t="str">
        <f>'Table 1 Purpose rating'!AE39</f>
        <v>Moderate</v>
      </c>
      <c r="AF39" s="55" t="str">
        <f>'Table 1 Purpose rating'!AF39</f>
        <v>Sunn hemp</v>
      </c>
      <c r="AG39" s="702">
        <f t="shared" si="0"/>
        <v>5.1652892561983474</v>
      </c>
    </row>
    <row r="40" spans="1:33" ht="15.75" customHeight="1" x14ac:dyDescent="0.2">
      <c r="A40" s="639" t="str">
        <f>IF('Table 1 Purpose rating'!A40=0,"",'Table 1 Purpose rating'!A40)</f>
        <v>Teff grass</v>
      </c>
      <c r="B40" s="46">
        <f>'Table 1 Purpose rating'!B40</f>
        <v>5</v>
      </c>
      <c r="C40" s="58" t="str">
        <f>'Table 1 Purpose rating'!C40</f>
        <v>.13 - .25</v>
      </c>
      <c r="D40" s="642">
        <f>'Table 1 Purpose rating'!D40</f>
        <v>2.5</v>
      </c>
      <c r="E40" s="46" t="str">
        <f>'Table 1 Purpose rating'!E40</f>
        <v>G</v>
      </c>
      <c r="F40" s="46" t="str">
        <f>'Table 1 Purpose rating'!F40</f>
        <v>G</v>
      </c>
      <c r="G40" s="46" t="str">
        <f>'Table 1 Purpose rating'!G40</f>
        <v>F</v>
      </c>
      <c r="H40" s="46" t="str">
        <f>'Table 1 Purpose rating'!H40</f>
        <v>N</v>
      </c>
      <c r="I40" s="46" t="str">
        <f>'Table 1 Purpose rating'!I40</f>
        <v>F</v>
      </c>
      <c r="J40" s="46" t="str">
        <f>'Table 1 Purpose rating'!J40</f>
        <v>G</v>
      </c>
      <c r="K40" s="46" t="str">
        <f>'Table 1 Purpose rating'!K40</f>
        <v>G</v>
      </c>
      <c r="L40" s="46" t="str">
        <f>'Table 1 Purpose rating'!L40</f>
        <v>SM</v>
      </c>
      <c r="M40" s="46" t="str">
        <f>'Table 1 Purpose rating'!M40</f>
        <v>G</v>
      </c>
      <c r="N40" s="46" t="str">
        <f>'Table 1 Purpose rating'!N40</f>
        <v>F</v>
      </c>
      <c r="O40" s="46" t="str">
        <f>'Table 1 Purpose rating'!O40</f>
        <v>F</v>
      </c>
      <c r="P40" s="57" t="str">
        <f>'Table 1 Purpose rating'!P40</f>
        <v>WG</v>
      </c>
      <c r="Q40" s="53" t="str">
        <f>'Table 1 Purpose rating'!Q40</f>
        <v>N</v>
      </c>
      <c r="R40" s="46" t="str">
        <f>'Table 1 Purpose rating'!R40</f>
        <v>P</v>
      </c>
      <c r="S40" s="46" t="str">
        <f>'Table 1 Purpose rating'!S40</f>
        <v>M</v>
      </c>
      <c r="T40" s="46" t="str">
        <f>'Table 1 Purpose rating'!T40</f>
        <v>H</v>
      </c>
      <c r="U40" s="54">
        <f>'Table 1 Purpose rating'!U40</f>
        <v>1000000</v>
      </c>
      <c r="V40" s="46" t="str">
        <f>'Table 1 Purpose rating'!V40</f>
        <v>N</v>
      </c>
      <c r="W40" s="53">
        <f>'Table 1 Purpose rating'!W40</f>
        <v>0</v>
      </c>
      <c r="X40" s="53">
        <f>'Table 1 Purpose rating'!X40</f>
        <v>0</v>
      </c>
      <c r="Y40" s="53" t="str">
        <f>'Table 1 Purpose rating'!Y40</f>
        <v>X</v>
      </c>
      <c r="Z40" s="53">
        <f>'Table 1 Purpose rating'!Z40</f>
        <v>0</v>
      </c>
      <c r="AA40" s="53">
        <f>'Table 1 Purpose rating'!AA40</f>
        <v>0</v>
      </c>
      <c r="AB40" s="53">
        <f>'Table 1 Purpose rating'!AB40</f>
        <v>0</v>
      </c>
      <c r="AC40" s="53">
        <f>'Table 1 Purpose rating'!AC40</f>
        <v>0</v>
      </c>
      <c r="AD40" s="53" t="str">
        <f>'Table 1 Purpose rating'!AD40</f>
        <v>None</v>
      </c>
      <c r="AE40" s="53" t="str">
        <f>'Table 1 Purpose rating'!AE40</f>
        <v>Low</v>
      </c>
      <c r="AF40" s="55" t="str">
        <f>'Table 1 Purpose rating'!AF40</f>
        <v>Teff grass</v>
      </c>
      <c r="AG40" s="702">
        <f t="shared" si="0"/>
        <v>114.7842056932966</v>
      </c>
    </row>
    <row r="41" spans="1:33" ht="15.75" customHeight="1" x14ac:dyDescent="0.2">
      <c r="A41" s="639" t="str">
        <f>IF('Table 1 Purpose rating'!A41=0,"",'Table 1 Purpose rating'!A41)</f>
        <v>Triticale planted after Oct. 1</v>
      </c>
      <c r="B41" s="46">
        <f>'Table 1 Purpose rating'!B41</f>
        <v>60</v>
      </c>
      <c r="C41" s="58" t="str">
        <f>'Table 1 Purpose rating'!C41</f>
        <v>.5 - 1.5</v>
      </c>
      <c r="D41" s="642">
        <f>'Table 1 Purpose rating'!D41</f>
        <v>0.46499999999999997</v>
      </c>
      <c r="E41" s="46" t="str">
        <f>'Table 1 Purpose rating'!E41</f>
        <v>G</v>
      </c>
      <c r="F41" s="46" t="str">
        <f>'Table 1 Purpose rating'!F41</f>
        <v>G</v>
      </c>
      <c r="G41" s="46" t="str">
        <f>'Table 1 Purpose rating'!G41</f>
        <v>G</v>
      </c>
      <c r="H41" s="46" t="str">
        <f>'Table 1 Purpose rating'!H41</f>
        <v>N</v>
      </c>
      <c r="I41" s="46" t="str">
        <f>'Table 1 Purpose rating'!I41</f>
        <v>G</v>
      </c>
      <c r="J41" s="46" t="str">
        <f>'Table 1 Purpose rating'!J41</f>
        <v>G</v>
      </c>
      <c r="K41" s="46" t="str">
        <f>'Table 1 Purpose rating'!K41</f>
        <v>G</v>
      </c>
      <c r="L41" s="46" t="str">
        <f>'Table 1 Purpose rating'!L41</f>
        <v>MH</v>
      </c>
      <c r="M41" s="46" t="str">
        <f>'Table 1 Purpose rating'!M41</f>
        <v>G</v>
      </c>
      <c r="N41" s="46" t="str">
        <f>'Table 1 Purpose rating'!N41</f>
        <v>F</v>
      </c>
      <c r="O41" s="46" t="str">
        <f>'Table 1 Purpose rating'!O41</f>
        <v>L</v>
      </c>
      <c r="P41" s="57" t="str">
        <f>'Table 1 Purpose rating'!P41</f>
        <v>CG</v>
      </c>
      <c r="Q41" s="53" t="str">
        <f>'Table 1 Purpose rating'!Q41</f>
        <v>Y</v>
      </c>
      <c r="R41" s="46" t="str">
        <f>'Table 1 Purpose rating'!R41</f>
        <v>G</v>
      </c>
      <c r="S41" s="46" t="str">
        <f>'Table 1 Purpose rating'!S41</f>
        <v>M</v>
      </c>
      <c r="T41" s="46" t="str">
        <f>'Table 1 Purpose rating'!T41</f>
        <v>M</v>
      </c>
      <c r="U41" s="47">
        <f>'Table 1 Purpose rating'!U41</f>
        <v>15000</v>
      </c>
      <c r="V41" s="46" t="str">
        <f>'Table 1 Purpose rating'!V41</f>
        <v>F</v>
      </c>
      <c r="W41" s="53" t="str">
        <f>'Table 1 Purpose rating'!W41</f>
        <v>X</v>
      </c>
      <c r="X41" s="53" t="str">
        <f>'Table 1 Purpose rating'!X41</f>
        <v>X</v>
      </c>
      <c r="Y41" s="53">
        <f>'Table 1 Purpose rating'!Y41</f>
        <v>0</v>
      </c>
      <c r="Z41" s="53">
        <f>'Table 1 Purpose rating'!Z41</f>
        <v>0</v>
      </c>
      <c r="AA41" s="53" t="str">
        <f>'Table 1 Purpose rating'!AA41</f>
        <v>X</v>
      </c>
      <c r="AB41" s="53" t="str">
        <f>'Table 1 Purpose rating'!AB41</f>
        <v>X</v>
      </c>
      <c r="AC41" s="53" t="str">
        <f>'Table 1 Purpose rating'!AC41</f>
        <v>1,2,3</v>
      </c>
      <c r="AD41" s="53" t="str">
        <f>'Table 1 Purpose rating'!AD41</f>
        <v>None</v>
      </c>
      <c r="AE41" s="53" t="str">
        <f>'Table 1 Purpose rating'!AE41</f>
        <v>Low</v>
      </c>
      <c r="AF41" s="55" t="str">
        <f>'Table 1 Purpose rating'!AF41</f>
        <v>Triticale planted after Oct. 1</v>
      </c>
      <c r="AG41" s="702">
        <f t="shared" si="0"/>
        <v>20.66115702479339</v>
      </c>
    </row>
    <row r="42" spans="1:33" ht="15.75" customHeight="1" x14ac:dyDescent="0.2">
      <c r="A42" s="639" t="str">
        <f>IF('Table 1 Purpose rating'!A42=0,"",'Table 1 Purpose rating'!A42)</f>
        <v>Triticale planted on or before Oct. 1</v>
      </c>
      <c r="B42" s="46">
        <f>'Table 1 Purpose rating'!B42</f>
        <v>40</v>
      </c>
      <c r="C42" s="58" t="str">
        <f>'Table 1 Purpose rating'!C42</f>
        <v>.5 - 1.5</v>
      </c>
      <c r="D42" s="642">
        <f>'Table 1 Purpose rating'!D42</f>
        <v>0.46499999999999997</v>
      </c>
      <c r="E42" s="46" t="str">
        <f>'Table 1 Purpose rating'!E42</f>
        <v>G</v>
      </c>
      <c r="F42" s="46" t="str">
        <f>'Table 1 Purpose rating'!F42</f>
        <v>G</v>
      </c>
      <c r="G42" s="46" t="str">
        <f>'Table 1 Purpose rating'!G42</f>
        <v>G</v>
      </c>
      <c r="H42" s="46" t="str">
        <f>'Table 1 Purpose rating'!H42</f>
        <v>N</v>
      </c>
      <c r="I42" s="46" t="str">
        <f>'Table 1 Purpose rating'!I42</f>
        <v>G</v>
      </c>
      <c r="J42" s="46" t="str">
        <f>'Table 1 Purpose rating'!J42</f>
        <v>G</v>
      </c>
      <c r="K42" s="46" t="str">
        <f>'Table 1 Purpose rating'!K42</f>
        <v>G</v>
      </c>
      <c r="L42" s="46" t="str">
        <f>'Table 1 Purpose rating'!L42</f>
        <v>MH</v>
      </c>
      <c r="M42" s="46" t="str">
        <f>'Table 1 Purpose rating'!M42</f>
        <v>G</v>
      </c>
      <c r="N42" s="46" t="str">
        <f>'Table 1 Purpose rating'!N42</f>
        <v>F</v>
      </c>
      <c r="O42" s="46" t="str">
        <f>'Table 1 Purpose rating'!O42</f>
        <v>L</v>
      </c>
      <c r="P42" s="57" t="str">
        <f>'Table 1 Purpose rating'!P42</f>
        <v>CG</v>
      </c>
      <c r="Q42" s="53" t="str">
        <f>'Table 1 Purpose rating'!Q42</f>
        <v>Y</v>
      </c>
      <c r="R42" s="46" t="str">
        <f>'Table 1 Purpose rating'!R42</f>
        <v>G</v>
      </c>
      <c r="S42" s="46" t="str">
        <f>'Table 1 Purpose rating'!S42</f>
        <v>M</v>
      </c>
      <c r="T42" s="46" t="str">
        <f>'Table 1 Purpose rating'!T42</f>
        <v>M</v>
      </c>
      <c r="U42" s="47">
        <f>'Table 1 Purpose rating'!U42</f>
        <v>15000</v>
      </c>
      <c r="V42" s="46" t="str">
        <f>'Table 1 Purpose rating'!V42</f>
        <v>F</v>
      </c>
      <c r="W42" s="53" t="str">
        <f>'Table 1 Purpose rating'!W42</f>
        <v>X</v>
      </c>
      <c r="X42" s="53" t="str">
        <f>'Table 1 Purpose rating'!X42</f>
        <v>X</v>
      </c>
      <c r="Y42" s="53">
        <f>'Table 1 Purpose rating'!Y42</f>
        <v>0</v>
      </c>
      <c r="Z42" s="53">
        <f>'Table 1 Purpose rating'!Z42</f>
        <v>0</v>
      </c>
      <c r="AA42" s="53" t="str">
        <f>'Table 1 Purpose rating'!AA42</f>
        <v>X</v>
      </c>
      <c r="AB42" s="53" t="str">
        <f>'Table 1 Purpose rating'!AB42</f>
        <v>X</v>
      </c>
      <c r="AC42" s="53" t="str">
        <f>'Table 1 Purpose rating'!AC42</f>
        <v>1,2,3</v>
      </c>
      <c r="AD42" s="53" t="str">
        <f>'Table 1 Purpose rating'!AD42</f>
        <v>None</v>
      </c>
      <c r="AE42" s="53" t="str">
        <f>'Table 1 Purpose rating'!AE42</f>
        <v>Low</v>
      </c>
      <c r="AF42" s="55" t="str">
        <f>'Table 1 Purpose rating'!AF42</f>
        <v>Triticale planted on or before Oct. 1</v>
      </c>
      <c r="AG42" s="702">
        <f t="shared" si="0"/>
        <v>13.774104683195592</v>
      </c>
    </row>
    <row r="43" spans="1:33" x14ac:dyDescent="0.2">
      <c r="A43" s="639" t="str">
        <f>IF('Table 1 Purpose rating'!A43=0,"",'Table 1 Purpose rating'!A43)</f>
        <v>Turnips</v>
      </c>
      <c r="B43" s="46">
        <f>'Table 1 Purpose rating'!B43</f>
        <v>4</v>
      </c>
      <c r="C43" s="58" t="str">
        <f>'Table 1 Purpose rating'!C43</f>
        <v>.25 - .5</v>
      </c>
      <c r="D43" s="642">
        <f>'Table 1 Purpose rating'!D43</f>
        <v>1.8333333333333333</v>
      </c>
      <c r="E43" s="46" t="str">
        <f>'Table 1 Purpose rating'!E43</f>
        <v>F</v>
      </c>
      <c r="F43" s="46" t="str">
        <f>'Table 1 Purpose rating'!F43</f>
        <v>P</v>
      </c>
      <c r="G43" s="46" t="str">
        <f>'Table 1 Purpose rating'!G43</f>
        <v>G</v>
      </c>
      <c r="H43" s="46" t="str">
        <f>'Table 1 Purpose rating'!H43</f>
        <v>N</v>
      </c>
      <c r="I43" s="46" t="str">
        <f>'Table 1 Purpose rating'!I43</f>
        <v>G</v>
      </c>
      <c r="J43" s="46" t="str">
        <f>'Table 1 Purpose rating'!J43</f>
        <v>P</v>
      </c>
      <c r="K43" s="46" t="str">
        <f>'Table 1 Purpose rating'!K43</f>
        <v>G</v>
      </c>
      <c r="L43" s="46" t="str">
        <f>'Table 1 Purpose rating'!L43</f>
        <v>DH</v>
      </c>
      <c r="M43" s="46" t="str">
        <f>'Table 1 Purpose rating'!M43</f>
        <v>G</v>
      </c>
      <c r="N43" s="46" t="str">
        <f>'Table 1 Purpose rating'!N43</f>
        <v>G</v>
      </c>
      <c r="O43" s="46" t="str">
        <f>'Table 1 Purpose rating'!O43</f>
        <v>F</v>
      </c>
      <c r="P43" s="57" t="str">
        <f>'Table 1 Purpose rating'!P43</f>
        <v>CB</v>
      </c>
      <c r="Q43" s="53" t="str">
        <f>'Table 1 Purpose rating'!Q43</f>
        <v>N /6</v>
      </c>
      <c r="R43" s="46" t="str">
        <f>'Table 1 Purpose rating'!R43</f>
        <v>P</v>
      </c>
      <c r="S43" s="46" t="str">
        <f>'Table 1 Purpose rating'!S43</f>
        <v>L</v>
      </c>
      <c r="T43" s="46" t="str">
        <f>'Table 1 Purpose rating'!T43</f>
        <v>N</v>
      </c>
      <c r="U43" s="47">
        <f>'Table 1 Purpose rating'!U43</f>
        <v>175000</v>
      </c>
      <c r="V43" s="46" t="str">
        <f>'Table 1 Purpose rating'!V43</f>
        <v>P</v>
      </c>
      <c r="W43" s="53">
        <f>'Table 1 Purpose rating'!W43</f>
        <v>0</v>
      </c>
      <c r="X43" s="53" t="str">
        <f>'Table 1 Purpose rating'!X43</f>
        <v>X</v>
      </c>
      <c r="Y43" s="53" t="str">
        <f>'Table 1 Purpose rating'!Y43</f>
        <v>X</v>
      </c>
      <c r="Z43" s="53">
        <f>'Table 1 Purpose rating'!Z43</f>
        <v>0</v>
      </c>
      <c r="AA43" s="53" t="str">
        <f>'Table 1 Purpose rating'!AA43</f>
        <v>X</v>
      </c>
      <c r="AB43" s="53" t="str">
        <f>'Table 1 Purpose rating'!AB43</f>
        <v>X</v>
      </c>
      <c r="AC43" s="53">
        <f>'Table 1 Purpose rating'!AC43</f>
        <v>1</v>
      </c>
      <c r="AD43" s="53" t="str">
        <f>'Table 1 Purpose rating'!AD43</f>
        <v>High</v>
      </c>
      <c r="AE43" s="53" t="str">
        <f>'Table 1 Purpose rating'!AE43</f>
        <v>High</v>
      </c>
      <c r="AF43" s="55" t="str">
        <f>'Table 1 Purpose rating'!AF43</f>
        <v>Turnips</v>
      </c>
      <c r="AG43" s="702">
        <f t="shared" si="0"/>
        <v>16.069788797061523</v>
      </c>
    </row>
    <row r="44" spans="1:33" ht="15.75" customHeight="1" x14ac:dyDescent="0.2">
      <c r="A44" s="639" t="str">
        <f>IF('Table 1 Purpose rating'!A44=0,"",'Table 1 Purpose rating'!A44)</f>
        <v>Vetch, Chickling</v>
      </c>
      <c r="B44" s="46">
        <f>'Table 1 Purpose rating'!B44</f>
        <v>50</v>
      </c>
      <c r="C44" s="58" t="str">
        <f>'Table 1 Purpose rating'!C44</f>
        <v>.5 - 1.5</v>
      </c>
      <c r="D44" s="642">
        <f>'Table 1 Purpose rating'!D44</f>
        <v>1.19</v>
      </c>
      <c r="E44" s="46" t="str">
        <f>'Table 1 Purpose rating'!E44</f>
        <v>F</v>
      </c>
      <c r="F44" s="46" t="str">
        <f>'Table 1 Purpose rating'!F44</f>
        <v>F</v>
      </c>
      <c r="G44" s="46" t="str">
        <f>'Table 1 Purpose rating'!G44</f>
        <v>F</v>
      </c>
      <c r="H44" s="46" t="str">
        <f>'Table 1 Purpose rating'!H44</f>
        <v>Y</v>
      </c>
      <c r="I44" s="46" t="str">
        <f>'Table 1 Purpose rating'!I44</f>
        <v>F</v>
      </c>
      <c r="J44" s="46" t="str">
        <f>'Table 1 Purpose rating'!J44</f>
        <v>F</v>
      </c>
      <c r="K44" s="46" t="str">
        <f>'Table 1 Purpose rating'!K44</f>
        <v>P</v>
      </c>
      <c r="L44" s="46" t="str">
        <f>'Table 1 Purpose rating'!L44</f>
        <v>SL</v>
      </c>
      <c r="M44" s="46" t="str">
        <f>'Table 1 Purpose rating'!M44</f>
        <v>F</v>
      </c>
      <c r="N44" s="46" t="str">
        <f>'Table 1 Purpose rating'!N44</f>
        <v>F</v>
      </c>
      <c r="O44" s="46" t="str">
        <f>'Table 1 Purpose rating'!O44</f>
        <v>L</v>
      </c>
      <c r="P44" s="57" t="str">
        <f>'Table 1 Purpose rating'!P44</f>
        <v>CB</v>
      </c>
      <c r="Q44" s="53" t="str">
        <f>'Table 1 Purpose rating'!Q44</f>
        <v>N</v>
      </c>
      <c r="R44" s="46" t="str">
        <f>'Table 1 Purpose rating'!R44</f>
        <v>P</v>
      </c>
      <c r="S44" s="46" t="str">
        <f>'Table 1 Purpose rating'!S44</f>
        <v>L</v>
      </c>
      <c r="T44" s="46" t="str">
        <f>'Table 1 Purpose rating'!T44</f>
        <v>M</v>
      </c>
      <c r="U44" s="47">
        <f>'Table 1 Purpose rating'!U44</f>
        <v>2500</v>
      </c>
      <c r="V44" s="46" t="str">
        <f>'Table 1 Purpose rating'!V44</f>
        <v>F</v>
      </c>
      <c r="W44" s="53">
        <f>'Table 1 Purpose rating'!W44</f>
        <v>0</v>
      </c>
      <c r="X44" s="53">
        <f>'Table 1 Purpose rating'!X44</f>
        <v>0</v>
      </c>
      <c r="Y44" s="53">
        <f>'Table 1 Purpose rating'!Y44</f>
        <v>0</v>
      </c>
      <c r="Z44" s="53">
        <f>'Table 1 Purpose rating'!Z44</f>
        <v>0</v>
      </c>
      <c r="AA44" s="53">
        <f>'Table 1 Purpose rating'!AA44</f>
        <v>0</v>
      </c>
      <c r="AB44" s="53">
        <f>'Table 1 Purpose rating'!AB44</f>
        <v>0</v>
      </c>
      <c r="AC44" s="53" t="str">
        <f>'Table 1 Purpose rating'!AC44</f>
        <v>1,2</v>
      </c>
      <c r="AD44" s="53" t="str">
        <f>'Table 1 Purpose rating'!AD44</f>
        <v>High</v>
      </c>
      <c r="AE44" s="53" t="str">
        <f>'Table 1 Purpose rating'!AE44</f>
        <v>High</v>
      </c>
      <c r="AF44" s="55" t="str">
        <f>'Table 1 Purpose rating'!AF44</f>
        <v>Vetch, Chickling</v>
      </c>
      <c r="AG44" s="702">
        <f t="shared" si="0"/>
        <v>2.8696051423324151</v>
      </c>
    </row>
    <row r="45" spans="1:33" ht="15.75" customHeight="1" x14ac:dyDescent="0.2">
      <c r="A45" s="639" t="str">
        <f>IF('Table 1 Purpose rating'!A45=0,"",'Table 1 Purpose rating'!A45)</f>
        <v>Vetch, Common</v>
      </c>
      <c r="B45" s="46">
        <f>'Table 1 Purpose rating'!B45</f>
        <v>25</v>
      </c>
      <c r="C45" s="58" t="str">
        <f>'Table 1 Purpose rating'!C45</f>
        <v>.5 - 1.5</v>
      </c>
      <c r="D45" s="642">
        <f>'Table 1 Purpose rating'!D45</f>
        <v>1.6766666666666665</v>
      </c>
      <c r="E45" s="46" t="str">
        <f>'Table 1 Purpose rating'!E45</f>
        <v>F</v>
      </c>
      <c r="F45" s="46" t="str">
        <f>'Table 1 Purpose rating'!F45</f>
        <v>F</v>
      </c>
      <c r="G45" s="46" t="str">
        <f>'Table 1 Purpose rating'!G45</f>
        <v>F</v>
      </c>
      <c r="H45" s="46" t="str">
        <f>'Table 1 Purpose rating'!H45</f>
        <v>Y</v>
      </c>
      <c r="I45" s="46" t="str">
        <f>'Table 1 Purpose rating'!I45</f>
        <v>F</v>
      </c>
      <c r="J45" s="46" t="str">
        <f>'Table 1 Purpose rating'!J45</f>
        <v>F</v>
      </c>
      <c r="K45" s="46" t="str">
        <f>'Table 1 Purpose rating'!K45</f>
        <v>G</v>
      </c>
      <c r="L45" s="46" t="str">
        <f>'Table 1 Purpose rating'!L45</f>
        <v>SM</v>
      </c>
      <c r="M45" s="46" t="str">
        <f>'Table 1 Purpose rating'!M45</f>
        <v>F</v>
      </c>
      <c r="N45" s="46" t="str">
        <f>'Table 1 Purpose rating'!N45</f>
        <v>F</v>
      </c>
      <c r="O45" s="46" t="str">
        <f>'Table 1 Purpose rating'!O45</f>
        <v>L</v>
      </c>
      <c r="P45" s="57" t="str">
        <f>'Table 1 Purpose rating'!P45</f>
        <v>CB</v>
      </c>
      <c r="Q45" s="53" t="str">
        <f>'Table 1 Purpose rating'!Q45</f>
        <v>N</v>
      </c>
      <c r="R45" s="46" t="str">
        <f>'Table 1 Purpose rating'!R45</f>
        <v>P</v>
      </c>
      <c r="S45" s="46" t="str">
        <f>'Table 1 Purpose rating'!S45</f>
        <v>L</v>
      </c>
      <c r="T45" s="46" t="str">
        <f>'Table 1 Purpose rating'!T45</f>
        <v>M</v>
      </c>
      <c r="U45" s="47">
        <f>'Table 1 Purpose rating'!U45</f>
        <v>8000</v>
      </c>
      <c r="V45" s="46" t="str">
        <f>'Table 1 Purpose rating'!V45</f>
        <v>F</v>
      </c>
      <c r="W45" s="53">
        <f>'Table 1 Purpose rating'!W45</f>
        <v>0</v>
      </c>
      <c r="X45" s="53">
        <f>'Table 1 Purpose rating'!X45</f>
        <v>0</v>
      </c>
      <c r="Y45" s="53">
        <f>'Table 1 Purpose rating'!Y45</f>
        <v>0</v>
      </c>
      <c r="Z45" s="53">
        <f>'Table 1 Purpose rating'!Z45</f>
        <v>0</v>
      </c>
      <c r="AA45" s="53" t="str">
        <f>'Table 1 Purpose rating'!AA45</f>
        <v>X</v>
      </c>
      <c r="AB45" s="53">
        <f>'Table 1 Purpose rating'!AB45</f>
        <v>0</v>
      </c>
      <c r="AC45" s="53" t="str">
        <f>'Table 1 Purpose rating'!AC45</f>
        <v>1,2,3,4</v>
      </c>
      <c r="AD45" s="53" t="str">
        <f>'Table 1 Purpose rating'!AD45</f>
        <v>High</v>
      </c>
      <c r="AE45" s="53" t="str">
        <f>'Table 1 Purpose rating'!AE45</f>
        <v>High</v>
      </c>
      <c r="AF45" s="55" t="str">
        <f>'Table 1 Purpose rating'!AF45</f>
        <v>Vetch, Common</v>
      </c>
      <c r="AG45" s="702">
        <f t="shared" si="0"/>
        <v>4.5913682277318637</v>
      </c>
    </row>
    <row r="46" spans="1:33" ht="15.75" customHeight="1" x14ac:dyDescent="0.2">
      <c r="A46" s="639" t="str">
        <f>IF('Table 1 Purpose rating'!A46=0,"",'Table 1 Purpose rating'!A46)</f>
        <v>Vetch, Hairy</v>
      </c>
      <c r="B46" s="46">
        <f>'Table 1 Purpose rating'!B46</f>
        <v>15</v>
      </c>
      <c r="C46" s="58" t="str">
        <f>'Table 1 Purpose rating'!C46</f>
        <v>.5 - 1.5</v>
      </c>
      <c r="D46" s="642">
        <f>'Table 1 Purpose rating'!D46</f>
        <v>2.95</v>
      </c>
      <c r="E46" s="46" t="str">
        <f>'Table 1 Purpose rating'!E46</f>
        <v>G</v>
      </c>
      <c r="F46" s="46" t="str">
        <f>'Table 1 Purpose rating'!F46</f>
        <v>F</v>
      </c>
      <c r="G46" s="46" t="str">
        <f>'Table 1 Purpose rating'!G46</f>
        <v>F</v>
      </c>
      <c r="H46" s="46" t="str">
        <f>'Table 1 Purpose rating'!H46</f>
        <v>Y</v>
      </c>
      <c r="I46" s="46" t="str">
        <f>'Table 1 Purpose rating'!I46</f>
        <v>F</v>
      </c>
      <c r="J46" s="46" t="str">
        <f>'Table 1 Purpose rating'!J46</f>
        <v>F</v>
      </c>
      <c r="K46" s="46" t="str">
        <f>'Table 1 Purpose rating'!K46</f>
        <v>F</v>
      </c>
      <c r="L46" s="46" t="str">
        <f>'Table 1 Purpose rating'!L46</f>
        <v>SM</v>
      </c>
      <c r="M46" s="46" t="str">
        <f>'Table 1 Purpose rating'!M46</f>
        <v>G</v>
      </c>
      <c r="N46" s="46" t="str">
        <f>'Table 1 Purpose rating'!N46</f>
        <v>F</v>
      </c>
      <c r="O46" s="46" t="str">
        <f>'Table 1 Purpose rating'!O46</f>
        <v>L</v>
      </c>
      <c r="P46" s="57" t="str">
        <f>'Table 1 Purpose rating'!P46</f>
        <v>CB</v>
      </c>
      <c r="Q46" s="53" t="str">
        <f>'Table 1 Purpose rating'!Q46</f>
        <v>Y</v>
      </c>
      <c r="R46" s="46" t="str">
        <f>'Table 1 Purpose rating'!R46</f>
        <v>P</v>
      </c>
      <c r="S46" s="46" t="str">
        <f>'Table 1 Purpose rating'!S46</f>
        <v>L</v>
      </c>
      <c r="T46" s="46" t="str">
        <f>'Table 1 Purpose rating'!T46</f>
        <v>M</v>
      </c>
      <c r="U46" s="47">
        <f>'Table 1 Purpose rating'!U46</f>
        <v>14000</v>
      </c>
      <c r="V46" s="46" t="str">
        <f>'Table 1 Purpose rating'!V46</f>
        <v>G</v>
      </c>
      <c r="W46" s="53">
        <f>'Table 1 Purpose rating'!W46</f>
        <v>0</v>
      </c>
      <c r="X46" s="53" t="str">
        <f>'Table 1 Purpose rating'!X46</f>
        <v>X</v>
      </c>
      <c r="Y46" s="53">
        <f>'Table 1 Purpose rating'!Y46</f>
        <v>0</v>
      </c>
      <c r="Z46" s="53">
        <f>'Table 1 Purpose rating'!Z46</f>
        <v>0</v>
      </c>
      <c r="AA46" s="53" t="str">
        <f>'Table 1 Purpose rating'!AA46</f>
        <v>X</v>
      </c>
      <c r="AB46" s="53" t="str">
        <f>'Table 1 Purpose rating'!AB46</f>
        <v>X</v>
      </c>
      <c r="AC46" s="53" t="str">
        <f>'Table 1 Purpose rating'!AC46</f>
        <v>1,2,3</v>
      </c>
      <c r="AD46" s="53" t="str">
        <f>'Table 1 Purpose rating'!AD46</f>
        <v>High</v>
      </c>
      <c r="AE46" s="53" t="str">
        <f>'Table 1 Purpose rating'!AE46</f>
        <v>High</v>
      </c>
      <c r="AF46" s="55" t="str">
        <f>'Table 1 Purpose rating'!AF46</f>
        <v>Vetch, Hairy</v>
      </c>
      <c r="AG46" s="702">
        <f t="shared" si="0"/>
        <v>4.8209366391184574</v>
      </c>
    </row>
    <row r="47" spans="1:33" ht="15.75" customHeight="1" x14ac:dyDescent="0.2">
      <c r="A47" s="639" t="str">
        <f>IF('Table 1 Purpose rating'!A47=0,"",'Table 1 Purpose rating'!A47)</f>
        <v>Wheat, Spring</v>
      </c>
      <c r="B47" s="46">
        <f>'Table 1 Purpose rating'!B47</f>
        <v>60</v>
      </c>
      <c r="C47" s="58" t="str">
        <f>'Table 1 Purpose rating'!C47</f>
        <v>.5 - 1.5</v>
      </c>
      <c r="D47" s="642">
        <f>'Table 1 Purpose rating'!D47</f>
        <v>0.26</v>
      </c>
      <c r="E47" s="46" t="str">
        <f>'Table 1 Purpose rating'!E47</f>
        <v>G</v>
      </c>
      <c r="F47" s="46" t="str">
        <f>'Table 1 Purpose rating'!F47</f>
        <v>G</v>
      </c>
      <c r="G47" s="46" t="str">
        <f>'Table 1 Purpose rating'!G47</f>
        <v>G</v>
      </c>
      <c r="H47" s="46" t="str">
        <f>'Table 1 Purpose rating'!H47</f>
        <v>N</v>
      </c>
      <c r="I47" s="46" t="str">
        <f>'Table 1 Purpose rating'!I47</f>
        <v>G</v>
      </c>
      <c r="J47" s="46" t="str">
        <f>'Table 1 Purpose rating'!J47</f>
        <v>G</v>
      </c>
      <c r="K47" s="46" t="str">
        <f>'Table 1 Purpose rating'!K47</f>
        <v>G</v>
      </c>
      <c r="L47" s="46" t="str">
        <f>'Table 1 Purpose rating'!L47</f>
        <v>MH</v>
      </c>
      <c r="M47" s="46" t="str">
        <f>'Table 1 Purpose rating'!M47</f>
        <v>G</v>
      </c>
      <c r="N47" s="46" t="str">
        <f>'Table 1 Purpose rating'!N47</f>
        <v>F</v>
      </c>
      <c r="O47" s="46" t="str">
        <f>'Table 1 Purpose rating'!O47</f>
        <v>L</v>
      </c>
      <c r="P47" s="57" t="str">
        <f>'Table 1 Purpose rating'!P47</f>
        <v>CG</v>
      </c>
      <c r="Q47" s="53" t="str">
        <f>'Table 1 Purpose rating'!Q47</f>
        <v>N</v>
      </c>
      <c r="R47" s="46" t="str">
        <f>'Table 1 Purpose rating'!R47</f>
        <v>G</v>
      </c>
      <c r="S47" s="46" t="str">
        <f>'Table 1 Purpose rating'!S47</f>
        <v>M</v>
      </c>
      <c r="T47" s="46" t="str">
        <f>'Table 1 Purpose rating'!T47</f>
        <v>M</v>
      </c>
      <c r="U47" s="47">
        <f>'Table 1 Purpose rating'!U47</f>
        <v>15000</v>
      </c>
      <c r="V47" s="46" t="str">
        <f>'Table 1 Purpose rating'!V47</f>
        <v>F</v>
      </c>
      <c r="W47" s="53" t="str">
        <f>'Table 1 Purpose rating'!W47</f>
        <v>X</v>
      </c>
      <c r="X47" s="53" t="str">
        <f>'Table 1 Purpose rating'!X47</f>
        <v>X</v>
      </c>
      <c r="Y47" s="53">
        <f>'Table 1 Purpose rating'!Y47</f>
        <v>0</v>
      </c>
      <c r="Z47" s="53">
        <f>'Table 1 Purpose rating'!Z47</f>
        <v>0</v>
      </c>
      <c r="AA47" s="53" t="str">
        <f>'Table 1 Purpose rating'!AA47</f>
        <v>X</v>
      </c>
      <c r="AB47" s="53" t="str">
        <f>'Table 1 Purpose rating'!AB47</f>
        <v>X</v>
      </c>
      <c r="AC47" s="53" t="str">
        <f>'Table 1 Purpose rating'!AC47</f>
        <v>1,2,3</v>
      </c>
      <c r="AD47" s="53" t="str">
        <f>'Table 1 Purpose rating'!AD47</f>
        <v>None</v>
      </c>
      <c r="AE47" s="53" t="str">
        <f>'Table 1 Purpose rating'!AE47</f>
        <v>Low</v>
      </c>
      <c r="AF47" s="55" t="str">
        <f>'Table 1 Purpose rating'!AF47</f>
        <v>Wheat, Spring</v>
      </c>
      <c r="AG47" s="702">
        <f t="shared" si="0"/>
        <v>20.66115702479339</v>
      </c>
    </row>
    <row r="48" spans="1:33" ht="15.75" customHeight="1" x14ac:dyDescent="0.2">
      <c r="A48" s="645" t="str">
        <f>IF('Table 1 Purpose rating'!A48=0,"",'Table 1 Purpose rating'!A48)</f>
        <v>Wheat, Winter planted after Oct. 1</v>
      </c>
      <c r="B48" s="190">
        <f>'Table 1 Purpose rating'!B48</f>
        <v>60</v>
      </c>
      <c r="C48" s="193" t="str">
        <f>'Table 1 Purpose rating'!C48</f>
        <v>.75 - 2.0</v>
      </c>
      <c r="D48" s="642">
        <f>'Table 1 Purpose rating'!D48</f>
        <v>0.25</v>
      </c>
      <c r="E48" s="190" t="str">
        <f>'Table 1 Purpose rating'!E48</f>
        <v>G</v>
      </c>
      <c r="F48" s="190" t="str">
        <f>'Table 1 Purpose rating'!F48</f>
        <v>G</v>
      </c>
      <c r="G48" s="190" t="str">
        <f>'Table 1 Purpose rating'!G48</f>
        <v>G</v>
      </c>
      <c r="H48" s="190" t="str">
        <f>'Table 1 Purpose rating'!H48</f>
        <v>N</v>
      </c>
      <c r="I48" s="190" t="str">
        <f>'Table 1 Purpose rating'!I48</f>
        <v>G</v>
      </c>
      <c r="J48" s="190" t="str">
        <f>'Table 1 Purpose rating'!J48</f>
        <v>G</v>
      </c>
      <c r="K48" s="190" t="str">
        <f>'Table 1 Purpose rating'!K48</f>
        <v>G</v>
      </c>
      <c r="L48" s="190" t="str">
        <f>'Table 1 Purpose rating'!L48</f>
        <v>MH</v>
      </c>
      <c r="M48" s="190" t="str">
        <f>'Table 1 Purpose rating'!M48</f>
        <v>G</v>
      </c>
      <c r="N48" s="190" t="str">
        <f>'Table 1 Purpose rating'!N48</f>
        <v>F</v>
      </c>
      <c r="O48" s="190" t="str">
        <f>'Table 1 Purpose rating'!O48</f>
        <v>L</v>
      </c>
      <c r="P48" s="191" t="str">
        <f>'Table 1 Purpose rating'!P48</f>
        <v>CG</v>
      </c>
      <c r="Q48" s="192" t="str">
        <f>'Table 1 Purpose rating'!Q48</f>
        <v>Y</v>
      </c>
      <c r="R48" s="190" t="str">
        <f>'Table 1 Purpose rating'!R48</f>
        <v>G</v>
      </c>
      <c r="S48" s="190" t="str">
        <f>'Table 1 Purpose rating'!S48</f>
        <v>M</v>
      </c>
      <c r="T48" s="190" t="str">
        <f>'Table 1 Purpose rating'!T48</f>
        <v>M</v>
      </c>
      <c r="U48" s="194">
        <f>'Table 1 Purpose rating'!U48</f>
        <v>15000</v>
      </c>
      <c r="V48" s="190" t="str">
        <f>'Table 1 Purpose rating'!V48</f>
        <v>F</v>
      </c>
      <c r="W48" s="192" t="str">
        <f>'Table 1 Purpose rating'!W48</f>
        <v>X</v>
      </c>
      <c r="X48" s="192" t="str">
        <f>'Table 1 Purpose rating'!X48</f>
        <v>X</v>
      </c>
      <c r="Y48" s="192">
        <f>'Table 1 Purpose rating'!Y48</f>
        <v>0</v>
      </c>
      <c r="Z48" s="192">
        <f>'Table 1 Purpose rating'!Z48</f>
        <v>0</v>
      </c>
      <c r="AA48" s="192" t="str">
        <f>'Table 1 Purpose rating'!AA48</f>
        <v>X</v>
      </c>
      <c r="AB48" s="192" t="str">
        <f>'Table 1 Purpose rating'!AB48</f>
        <v>X</v>
      </c>
      <c r="AC48" s="192" t="str">
        <f>'Table 1 Purpose rating'!AC48</f>
        <v>1,2,3</v>
      </c>
      <c r="AD48" s="192" t="str">
        <f>'Table 1 Purpose rating'!AD48</f>
        <v>None</v>
      </c>
      <c r="AE48" s="192" t="str">
        <f>'Table 1 Purpose rating'!AE48</f>
        <v>Low</v>
      </c>
      <c r="AF48" s="195" t="str">
        <f>'Table 1 Purpose rating'!AF48</f>
        <v>Wheat, Winter planted after Oct. 1</v>
      </c>
      <c r="AG48" s="704">
        <f t="shared" si="0"/>
        <v>20.66115702479339</v>
      </c>
    </row>
    <row r="49" spans="1:33" ht="15.75" customHeight="1" x14ac:dyDescent="0.2">
      <c r="A49" s="645" t="str">
        <f>IF('Table 1 Purpose rating'!A49=0,"",'Table 1 Purpose rating'!A49)</f>
        <v>Wheat, Winter planted on or before Oct. 1</v>
      </c>
      <c r="B49" s="190">
        <f>'Table 1 Purpose rating'!B49</f>
        <v>40</v>
      </c>
      <c r="C49" s="193" t="str">
        <f>'Table 1 Purpose rating'!C49</f>
        <v>.75 - 2.0</v>
      </c>
      <c r="D49" s="642">
        <f>'Table 1 Purpose rating'!D49</f>
        <v>0.25</v>
      </c>
      <c r="E49" s="190" t="str">
        <f>'Table 1 Purpose rating'!E49</f>
        <v>G</v>
      </c>
      <c r="F49" s="190" t="str">
        <f>'Table 1 Purpose rating'!F49</f>
        <v>G</v>
      </c>
      <c r="G49" s="190" t="str">
        <f>'Table 1 Purpose rating'!G49</f>
        <v>G</v>
      </c>
      <c r="H49" s="190" t="str">
        <f>'Table 1 Purpose rating'!H49</f>
        <v>N</v>
      </c>
      <c r="I49" s="190" t="str">
        <f>'Table 1 Purpose rating'!I49</f>
        <v>G</v>
      </c>
      <c r="J49" s="190" t="str">
        <f>'Table 1 Purpose rating'!J49</f>
        <v>G</v>
      </c>
      <c r="K49" s="190" t="str">
        <f>'Table 1 Purpose rating'!K49</f>
        <v>G</v>
      </c>
      <c r="L49" s="190" t="str">
        <f>'Table 1 Purpose rating'!L49</f>
        <v>MH</v>
      </c>
      <c r="M49" s="190" t="str">
        <f>'Table 1 Purpose rating'!M49</f>
        <v>G</v>
      </c>
      <c r="N49" s="190" t="str">
        <f>'Table 1 Purpose rating'!N49</f>
        <v>F</v>
      </c>
      <c r="O49" s="190" t="str">
        <f>'Table 1 Purpose rating'!O49</f>
        <v>L</v>
      </c>
      <c r="P49" s="191" t="str">
        <f>'Table 1 Purpose rating'!P49</f>
        <v>CG</v>
      </c>
      <c r="Q49" s="192" t="str">
        <f>'Table 1 Purpose rating'!Q49</f>
        <v>Y</v>
      </c>
      <c r="R49" s="190" t="str">
        <f>'Table 1 Purpose rating'!R49</f>
        <v>G</v>
      </c>
      <c r="S49" s="190" t="str">
        <f>'Table 1 Purpose rating'!S49</f>
        <v>M</v>
      </c>
      <c r="T49" s="190" t="str">
        <f>'Table 1 Purpose rating'!T49</f>
        <v>M</v>
      </c>
      <c r="U49" s="194">
        <f>'Table 1 Purpose rating'!U49</f>
        <v>15000</v>
      </c>
      <c r="V49" s="190" t="str">
        <f>'Table 1 Purpose rating'!V49</f>
        <v>F</v>
      </c>
      <c r="W49" s="192" t="str">
        <f>'Table 1 Purpose rating'!W49</f>
        <v>X</v>
      </c>
      <c r="X49" s="192" t="str">
        <f>'Table 1 Purpose rating'!X49</f>
        <v>X</v>
      </c>
      <c r="Y49" s="192">
        <f>'Table 1 Purpose rating'!Y49</f>
        <v>0</v>
      </c>
      <c r="Z49" s="192">
        <f>'Table 1 Purpose rating'!Z49</f>
        <v>0</v>
      </c>
      <c r="AA49" s="192" t="str">
        <f>'Table 1 Purpose rating'!AA49</f>
        <v>X</v>
      </c>
      <c r="AB49" s="192" t="str">
        <f>'Table 1 Purpose rating'!AB49</f>
        <v>X</v>
      </c>
      <c r="AC49" s="192" t="str">
        <f>'Table 1 Purpose rating'!AC49</f>
        <v>1,2,3</v>
      </c>
      <c r="AD49" s="192" t="str">
        <f>'Table 1 Purpose rating'!AD49</f>
        <v>None</v>
      </c>
      <c r="AE49" s="192" t="str">
        <f>'Table 1 Purpose rating'!AE49</f>
        <v>Low</v>
      </c>
      <c r="AF49" s="195" t="str">
        <f>'Table 1 Purpose rating'!AF49</f>
        <v>Wheat, Winter planted on or before Oct. 1</v>
      </c>
      <c r="AG49" s="704">
        <f t="shared" si="0"/>
        <v>13.774104683195592</v>
      </c>
    </row>
    <row r="50" spans="1:33" x14ac:dyDescent="0.2">
      <c r="A50" s="646" t="str">
        <f>IF('Table 1 Purpose rating'!A50=0,"",'Table 1 Purpose rating'!A50)</f>
        <v/>
      </c>
      <c r="B50" s="647">
        <f>'Table 1 Purpose rating'!B50</f>
        <v>0</v>
      </c>
      <c r="C50" s="648">
        <f>'Table 1 Purpose rating'!C50</f>
        <v>0</v>
      </c>
      <c r="D50" s="649">
        <f>'Table 1 Purpose rating'!D50</f>
        <v>0</v>
      </c>
      <c r="E50" s="46">
        <f>'Table 1 Purpose rating'!E50</f>
        <v>0</v>
      </c>
      <c r="F50" s="46">
        <f>'Table 1 Purpose rating'!F50</f>
        <v>0</v>
      </c>
      <c r="G50" s="46">
        <f>'Table 1 Purpose rating'!G50</f>
        <v>0</v>
      </c>
      <c r="H50" s="46">
        <f>'Table 1 Purpose rating'!H50</f>
        <v>0</v>
      </c>
      <c r="I50" s="46">
        <f>'Table 1 Purpose rating'!I50</f>
        <v>0</v>
      </c>
      <c r="J50" s="46">
        <f>'Table 1 Purpose rating'!J50</f>
        <v>0</v>
      </c>
      <c r="K50" s="46">
        <f>'Table 1 Purpose rating'!K50</f>
        <v>0</v>
      </c>
      <c r="L50" s="46">
        <f>'Table 1 Purpose rating'!L50</f>
        <v>0</v>
      </c>
      <c r="M50" s="46">
        <f>'Table 1 Purpose rating'!M50</f>
        <v>0</v>
      </c>
      <c r="N50" s="46">
        <f>'Table 1 Purpose rating'!N50</f>
        <v>0</v>
      </c>
      <c r="O50" s="46">
        <f>'Table 1 Purpose rating'!O50</f>
        <v>0</v>
      </c>
      <c r="P50" s="46">
        <f>'Table 1 Purpose rating'!P50</f>
        <v>0</v>
      </c>
      <c r="Q50" s="53">
        <f>'Table 1 Purpose rating'!Q50</f>
        <v>0</v>
      </c>
      <c r="R50" s="46">
        <f>'Table 1 Purpose rating'!R50</f>
        <v>0</v>
      </c>
      <c r="S50" s="46">
        <f>'Table 1 Purpose rating'!S50</f>
        <v>0</v>
      </c>
      <c r="T50" s="46"/>
      <c r="U50" s="47">
        <f>'Table 1 Purpose rating'!U50</f>
        <v>0</v>
      </c>
      <c r="V50" s="46">
        <f>'Table 1 Purpose rating'!V50</f>
        <v>0</v>
      </c>
      <c r="W50" s="44">
        <f>'Table 1 Purpose rating'!W50</f>
        <v>0</v>
      </c>
      <c r="X50" s="44">
        <f>'Table 1 Purpose rating'!X50</f>
        <v>0</v>
      </c>
      <c r="Y50" s="44">
        <f>'Table 1 Purpose rating'!Y50</f>
        <v>0</v>
      </c>
      <c r="Z50" s="44">
        <f>'Table 1 Purpose rating'!Z50</f>
        <v>0</v>
      </c>
      <c r="AA50" s="44">
        <f>'Table 1 Purpose rating'!AA50</f>
        <v>0</v>
      </c>
      <c r="AB50" s="44">
        <f>'Table 1 Purpose rating'!AB50</f>
        <v>0</v>
      </c>
      <c r="AC50" s="44">
        <f>'Table 1 Purpose rating'!AC50</f>
        <v>0</v>
      </c>
      <c r="AD50" s="44">
        <f>'Table 1 Purpose rating'!AD50</f>
        <v>0</v>
      </c>
      <c r="AE50" s="44">
        <f>'Table 1 Purpose rating'!AE50</f>
        <v>0</v>
      </c>
      <c r="AF50" s="44">
        <f>'Table 1 Purpose rating'!AF50</f>
        <v>0</v>
      </c>
      <c r="AG50" s="702">
        <f t="shared" si="0"/>
        <v>0</v>
      </c>
    </row>
    <row r="51" spans="1:33" x14ac:dyDescent="0.2">
      <c r="A51" s="646" t="str">
        <f>IF('Table 1 Purpose rating'!A51=0,"",'Table 1 Purpose rating'!A51)</f>
        <v/>
      </c>
      <c r="B51" s="647">
        <f>'Table 1 Purpose rating'!B51</f>
        <v>0</v>
      </c>
      <c r="C51" s="648">
        <f>'Table 1 Purpose rating'!C51</f>
        <v>0</v>
      </c>
      <c r="D51" s="649">
        <f>'Table 1 Purpose rating'!D51</f>
        <v>0</v>
      </c>
      <c r="E51" s="46">
        <f>'Table 1 Purpose rating'!E51</f>
        <v>0</v>
      </c>
      <c r="F51" s="46">
        <f>'Table 1 Purpose rating'!F51</f>
        <v>0</v>
      </c>
      <c r="G51" s="46">
        <f>'Table 1 Purpose rating'!G51</f>
        <v>0</v>
      </c>
      <c r="H51" s="46">
        <f>'Table 1 Purpose rating'!H51</f>
        <v>0</v>
      </c>
      <c r="I51" s="46">
        <f>'Table 1 Purpose rating'!I51</f>
        <v>0</v>
      </c>
      <c r="J51" s="46">
        <f>'Table 1 Purpose rating'!J51</f>
        <v>0</v>
      </c>
      <c r="K51" s="46">
        <f>'Table 1 Purpose rating'!K51</f>
        <v>0</v>
      </c>
      <c r="L51" s="46">
        <f>'Table 1 Purpose rating'!L51</f>
        <v>0</v>
      </c>
      <c r="M51" s="46">
        <f>'Table 1 Purpose rating'!M51</f>
        <v>0</v>
      </c>
      <c r="N51" s="46">
        <f>'Table 1 Purpose rating'!N51</f>
        <v>0</v>
      </c>
      <c r="O51" s="46">
        <f>'Table 1 Purpose rating'!O51</f>
        <v>0</v>
      </c>
      <c r="P51" s="46">
        <f>'Table 1 Purpose rating'!P51</f>
        <v>0</v>
      </c>
      <c r="Q51" s="53">
        <f>'Table 1 Purpose rating'!Q51</f>
        <v>0</v>
      </c>
      <c r="R51" s="46">
        <f>'Table 1 Purpose rating'!R51</f>
        <v>0</v>
      </c>
      <c r="S51" s="46">
        <f>'Table 1 Purpose rating'!S51</f>
        <v>0</v>
      </c>
      <c r="T51" s="46">
        <f>'Table 1 Purpose rating'!T51</f>
        <v>0</v>
      </c>
      <c r="U51" s="47">
        <f>'Table 1 Purpose rating'!U51</f>
        <v>0</v>
      </c>
      <c r="V51" s="46">
        <f>'Table 1 Purpose rating'!V51</f>
        <v>0</v>
      </c>
      <c r="W51" s="44">
        <f>'Table 1 Purpose rating'!W51</f>
        <v>0</v>
      </c>
      <c r="X51" s="44">
        <f>'Table 1 Purpose rating'!X51</f>
        <v>0</v>
      </c>
      <c r="Y51" s="44">
        <f>'Table 1 Purpose rating'!Y51</f>
        <v>0</v>
      </c>
      <c r="Z51" s="44">
        <f>'Table 1 Purpose rating'!Z51</f>
        <v>0</v>
      </c>
      <c r="AA51" s="44">
        <f>'Table 1 Purpose rating'!AA51</f>
        <v>0</v>
      </c>
      <c r="AB51" s="44">
        <f>'Table 1 Purpose rating'!AB51</f>
        <v>0</v>
      </c>
      <c r="AC51" s="44">
        <f>'Table 1 Purpose rating'!AC51</f>
        <v>0</v>
      </c>
      <c r="AD51" s="44">
        <f>'Table 1 Purpose rating'!AD51</f>
        <v>0</v>
      </c>
      <c r="AE51" s="44">
        <f>'Table 1 Purpose rating'!AE51</f>
        <v>0</v>
      </c>
      <c r="AF51" s="44">
        <f>'Table 1 Purpose rating'!AF51</f>
        <v>0</v>
      </c>
      <c r="AG51" s="702">
        <f t="shared" si="0"/>
        <v>0</v>
      </c>
    </row>
    <row r="52" spans="1:33" x14ac:dyDescent="0.2">
      <c r="A52" s="646" t="str">
        <f>IF('Table 1 Purpose rating'!A52=0,"",'Table 1 Purpose rating'!A52)</f>
        <v/>
      </c>
      <c r="B52" s="647">
        <f>'Table 1 Purpose rating'!B52</f>
        <v>0</v>
      </c>
      <c r="C52" s="648">
        <f>'Table 1 Purpose rating'!C52</f>
        <v>0</v>
      </c>
      <c r="D52" s="649">
        <f>'Table 1 Purpose rating'!D52</f>
        <v>0</v>
      </c>
      <c r="E52" s="46">
        <f>'Table 1 Purpose rating'!E52</f>
        <v>0</v>
      </c>
      <c r="F52" s="46">
        <f>'Table 1 Purpose rating'!F52</f>
        <v>0</v>
      </c>
      <c r="G52" s="46">
        <f>'Table 1 Purpose rating'!G52</f>
        <v>0</v>
      </c>
      <c r="H52" s="46">
        <f>'Table 1 Purpose rating'!H52</f>
        <v>0</v>
      </c>
      <c r="I52" s="46">
        <f>'Table 1 Purpose rating'!I52</f>
        <v>0</v>
      </c>
      <c r="J52" s="46">
        <f>'Table 1 Purpose rating'!J52</f>
        <v>0</v>
      </c>
      <c r="K52" s="46">
        <f>'Table 1 Purpose rating'!K52</f>
        <v>0</v>
      </c>
      <c r="L52" s="46">
        <f>'Table 1 Purpose rating'!L52</f>
        <v>0</v>
      </c>
      <c r="M52" s="46">
        <f>'Table 1 Purpose rating'!M52</f>
        <v>0</v>
      </c>
      <c r="N52" s="46">
        <f>'Table 1 Purpose rating'!N52</f>
        <v>0</v>
      </c>
      <c r="O52" s="46">
        <f>'Table 1 Purpose rating'!O52</f>
        <v>0</v>
      </c>
      <c r="P52" s="46">
        <f>'Table 1 Purpose rating'!P52</f>
        <v>0</v>
      </c>
      <c r="Q52" s="53">
        <f>'Table 1 Purpose rating'!Q52</f>
        <v>0</v>
      </c>
      <c r="R52" s="46">
        <f>'Table 1 Purpose rating'!R52</f>
        <v>0</v>
      </c>
      <c r="S52" s="46">
        <f>'Table 1 Purpose rating'!S52</f>
        <v>0</v>
      </c>
      <c r="T52" s="46">
        <f>'Table 1 Purpose rating'!T52</f>
        <v>0</v>
      </c>
      <c r="U52" s="47">
        <f>'Table 1 Purpose rating'!U52</f>
        <v>0</v>
      </c>
      <c r="V52" s="46">
        <f>'Table 1 Purpose rating'!V52</f>
        <v>0</v>
      </c>
      <c r="W52" s="44">
        <f>'Table 1 Purpose rating'!W52</f>
        <v>0</v>
      </c>
      <c r="X52" s="44">
        <f>'Table 1 Purpose rating'!X52</f>
        <v>0</v>
      </c>
      <c r="Y52" s="44">
        <f>'Table 1 Purpose rating'!Y52</f>
        <v>0</v>
      </c>
      <c r="Z52" s="44">
        <f>'Table 1 Purpose rating'!Z52</f>
        <v>0</v>
      </c>
      <c r="AA52" s="44">
        <f>'Table 1 Purpose rating'!AA52</f>
        <v>0</v>
      </c>
      <c r="AB52" s="44">
        <f>'Table 1 Purpose rating'!AB52</f>
        <v>0</v>
      </c>
      <c r="AC52" s="44">
        <f>'Table 1 Purpose rating'!AC52</f>
        <v>0</v>
      </c>
      <c r="AD52" s="44">
        <f>'Table 1 Purpose rating'!AD52</f>
        <v>0</v>
      </c>
      <c r="AE52" s="44">
        <f>'Table 1 Purpose rating'!AE52</f>
        <v>0</v>
      </c>
      <c r="AF52" s="44">
        <f>'Table 1 Purpose rating'!AF52</f>
        <v>0</v>
      </c>
      <c r="AG52" s="702">
        <f t="shared" si="0"/>
        <v>0</v>
      </c>
    </row>
    <row r="53" spans="1:33" x14ac:dyDescent="0.2">
      <c r="A53" s="646" t="str">
        <f>IF('Table 1 Purpose rating'!A53=0,"",'Table 1 Purpose rating'!A53)</f>
        <v/>
      </c>
      <c r="B53" s="647">
        <f>'Table 1 Purpose rating'!B53</f>
        <v>0</v>
      </c>
      <c r="C53" s="648">
        <f>'Table 1 Purpose rating'!C53</f>
        <v>0</v>
      </c>
      <c r="D53" s="649">
        <f>'Table 1 Purpose rating'!D53</f>
        <v>0</v>
      </c>
      <c r="E53" s="46">
        <f>'Table 1 Purpose rating'!E53</f>
        <v>0</v>
      </c>
      <c r="F53" s="46">
        <f>'Table 1 Purpose rating'!F53</f>
        <v>0</v>
      </c>
      <c r="G53" s="46">
        <f>'Table 1 Purpose rating'!G53</f>
        <v>0</v>
      </c>
      <c r="H53" s="46">
        <f>'Table 1 Purpose rating'!H53</f>
        <v>0</v>
      </c>
      <c r="I53" s="46">
        <f>'Table 1 Purpose rating'!I53</f>
        <v>0</v>
      </c>
      <c r="J53" s="46">
        <f>'Table 1 Purpose rating'!J53</f>
        <v>0</v>
      </c>
      <c r="K53" s="46">
        <f>'Table 1 Purpose rating'!K53</f>
        <v>0</v>
      </c>
      <c r="L53" s="46">
        <f>'Table 1 Purpose rating'!L53</f>
        <v>0</v>
      </c>
      <c r="M53" s="46">
        <f>'Table 1 Purpose rating'!M53</f>
        <v>0</v>
      </c>
      <c r="N53" s="46">
        <f>'Table 1 Purpose rating'!N53</f>
        <v>0</v>
      </c>
      <c r="O53" s="46">
        <f>'Table 1 Purpose rating'!O53</f>
        <v>0</v>
      </c>
      <c r="P53" s="46">
        <f>'Table 1 Purpose rating'!P53</f>
        <v>0</v>
      </c>
      <c r="Q53" s="53">
        <f>'Table 1 Purpose rating'!Q53</f>
        <v>0</v>
      </c>
      <c r="R53" s="46">
        <f>'Table 1 Purpose rating'!R53</f>
        <v>0</v>
      </c>
      <c r="S53" s="46">
        <f>'Table 1 Purpose rating'!S53</f>
        <v>0</v>
      </c>
      <c r="T53" s="46">
        <f>'Table 1 Purpose rating'!T53</f>
        <v>0</v>
      </c>
      <c r="U53" s="47">
        <f>'Table 1 Purpose rating'!U53</f>
        <v>0</v>
      </c>
      <c r="V53" s="46">
        <f>'Table 1 Purpose rating'!V53</f>
        <v>0</v>
      </c>
      <c r="W53" s="44">
        <f>'Table 1 Purpose rating'!W53</f>
        <v>0</v>
      </c>
      <c r="X53" s="44">
        <f>'Table 1 Purpose rating'!X53</f>
        <v>0</v>
      </c>
      <c r="Y53" s="44">
        <f>'Table 1 Purpose rating'!Y53</f>
        <v>0</v>
      </c>
      <c r="Z53" s="44">
        <f>'Table 1 Purpose rating'!Z53</f>
        <v>0</v>
      </c>
      <c r="AA53" s="44">
        <f>'Table 1 Purpose rating'!AA53</f>
        <v>0</v>
      </c>
      <c r="AB53" s="44">
        <f>'Table 1 Purpose rating'!AB53</f>
        <v>0</v>
      </c>
      <c r="AC53" s="44">
        <f>'Table 1 Purpose rating'!AC53</f>
        <v>0</v>
      </c>
      <c r="AD53" s="44">
        <f>'Table 1 Purpose rating'!AD53</f>
        <v>0</v>
      </c>
      <c r="AE53" s="44">
        <f>'Table 1 Purpose rating'!AE53</f>
        <v>0</v>
      </c>
      <c r="AF53" s="44">
        <f>'Table 1 Purpose rating'!AF53</f>
        <v>0</v>
      </c>
      <c r="AG53" s="702">
        <f t="shared" si="0"/>
        <v>0</v>
      </c>
    </row>
    <row r="54" spans="1:33" x14ac:dyDescent="0.2">
      <c r="A54" s="646" t="str">
        <f>IF('Table 1 Purpose rating'!A54=0,"",'Table 1 Purpose rating'!A54)</f>
        <v/>
      </c>
      <c r="B54" s="647">
        <f>'Table 1 Purpose rating'!B54</f>
        <v>0</v>
      </c>
      <c r="C54" s="648">
        <f>'Table 1 Purpose rating'!C54</f>
        <v>0</v>
      </c>
      <c r="D54" s="649">
        <f>'Table 1 Purpose rating'!D54</f>
        <v>0</v>
      </c>
      <c r="E54" s="46">
        <f>'Table 1 Purpose rating'!E54</f>
        <v>0</v>
      </c>
      <c r="F54" s="46">
        <f>'Table 1 Purpose rating'!F54</f>
        <v>0</v>
      </c>
      <c r="G54" s="46">
        <f>'Table 1 Purpose rating'!G54</f>
        <v>0</v>
      </c>
      <c r="H54" s="46">
        <f>'Table 1 Purpose rating'!H54</f>
        <v>0</v>
      </c>
      <c r="I54" s="46">
        <f>'Table 1 Purpose rating'!I54</f>
        <v>0</v>
      </c>
      <c r="J54" s="46">
        <f>'Table 1 Purpose rating'!J54</f>
        <v>0</v>
      </c>
      <c r="K54" s="46">
        <f>'Table 1 Purpose rating'!K54</f>
        <v>0</v>
      </c>
      <c r="L54" s="46">
        <f>'Table 1 Purpose rating'!L54</f>
        <v>0</v>
      </c>
      <c r="M54" s="46">
        <f>'Table 1 Purpose rating'!M54</f>
        <v>0</v>
      </c>
      <c r="N54" s="46">
        <f>'Table 1 Purpose rating'!N54</f>
        <v>0</v>
      </c>
      <c r="O54" s="46">
        <f>'Table 1 Purpose rating'!O54</f>
        <v>0</v>
      </c>
      <c r="P54" s="46">
        <f>'Table 1 Purpose rating'!P54</f>
        <v>0</v>
      </c>
      <c r="Q54" s="53">
        <f>'Table 1 Purpose rating'!Q54</f>
        <v>0</v>
      </c>
      <c r="R54" s="46">
        <f>'Table 1 Purpose rating'!R54</f>
        <v>0</v>
      </c>
      <c r="S54" s="46">
        <f>'Table 1 Purpose rating'!S54</f>
        <v>0</v>
      </c>
      <c r="T54" s="46">
        <f>'Table 1 Purpose rating'!T54</f>
        <v>0</v>
      </c>
      <c r="U54" s="47">
        <f>'Table 1 Purpose rating'!U54</f>
        <v>0</v>
      </c>
      <c r="V54" s="46">
        <f>'Table 1 Purpose rating'!V54</f>
        <v>0</v>
      </c>
      <c r="W54" s="44">
        <f>'Table 1 Purpose rating'!W54</f>
        <v>0</v>
      </c>
      <c r="X54" s="44">
        <f>'Table 1 Purpose rating'!X54</f>
        <v>0</v>
      </c>
      <c r="Y54" s="44">
        <f>'Table 1 Purpose rating'!Y54</f>
        <v>0</v>
      </c>
      <c r="Z54" s="44">
        <f>'Table 1 Purpose rating'!Z54</f>
        <v>0</v>
      </c>
      <c r="AA54" s="44">
        <f>'Table 1 Purpose rating'!AA54</f>
        <v>0</v>
      </c>
      <c r="AB54" s="44">
        <f>'Table 1 Purpose rating'!AB54</f>
        <v>0</v>
      </c>
      <c r="AC54" s="44">
        <f>'Table 1 Purpose rating'!AC54</f>
        <v>0</v>
      </c>
      <c r="AD54" s="44">
        <f>'Table 1 Purpose rating'!AD54</f>
        <v>0</v>
      </c>
      <c r="AE54" s="44">
        <f>'Table 1 Purpose rating'!AE54</f>
        <v>0</v>
      </c>
      <c r="AF54" s="44">
        <f>'Table 1 Purpose rating'!AF54</f>
        <v>0</v>
      </c>
      <c r="AG54" s="702">
        <f t="shared" si="0"/>
        <v>0</v>
      </c>
    </row>
    <row r="55" spans="1:33" x14ac:dyDescent="0.2">
      <c r="A55" s="646" t="str">
        <f>IF('Table 1 Purpose rating'!A55=0,"",'Table 1 Purpose rating'!A55)</f>
        <v/>
      </c>
      <c r="B55" s="647">
        <f>'Table 1 Purpose rating'!B55</f>
        <v>0</v>
      </c>
      <c r="C55" s="648">
        <f>'Table 1 Purpose rating'!C55</f>
        <v>0</v>
      </c>
      <c r="D55" s="649">
        <f>'Table 1 Purpose rating'!D55</f>
        <v>0</v>
      </c>
      <c r="E55" s="46">
        <f>'Table 1 Purpose rating'!E55</f>
        <v>0</v>
      </c>
      <c r="F55" s="46">
        <f>'Table 1 Purpose rating'!F55</f>
        <v>0</v>
      </c>
      <c r="G55" s="46">
        <f>'Table 1 Purpose rating'!G55</f>
        <v>0</v>
      </c>
      <c r="H55" s="46">
        <f>'Table 1 Purpose rating'!H55</f>
        <v>0</v>
      </c>
      <c r="I55" s="46">
        <f>'Table 1 Purpose rating'!I55</f>
        <v>0</v>
      </c>
      <c r="J55" s="46">
        <f>'Table 1 Purpose rating'!J55</f>
        <v>0</v>
      </c>
      <c r="K55" s="46">
        <f>'Table 1 Purpose rating'!K55</f>
        <v>0</v>
      </c>
      <c r="L55" s="46">
        <f>'Table 1 Purpose rating'!L55</f>
        <v>0</v>
      </c>
      <c r="M55" s="46">
        <f>'Table 1 Purpose rating'!M55</f>
        <v>0</v>
      </c>
      <c r="N55" s="46">
        <f>'Table 1 Purpose rating'!N55</f>
        <v>0</v>
      </c>
      <c r="O55" s="46">
        <f>'Table 1 Purpose rating'!O55</f>
        <v>0</v>
      </c>
      <c r="P55" s="46">
        <f>'Table 1 Purpose rating'!P55</f>
        <v>0</v>
      </c>
      <c r="Q55" s="53">
        <f>'Table 1 Purpose rating'!Q55</f>
        <v>0</v>
      </c>
      <c r="R55" s="46">
        <f>'Table 1 Purpose rating'!R55</f>
        <v>0</v>
      </c>
      <c r="S55" s="46">
        <f>'Table 1 Purpose rating'!S55</f>
        <v>0</v>
      </c>
      <c r="T55" s="46">
        <f>'Table 1 Purpose rating'!T55</f>
        <v>0</v>
      </c>
      <c r="U55" s="47">
        <f>'Table 1 Purpose rating'!U55</f>
        <v>0</v>
      </c>
      <c r="V55" s="46">
        <f>'Table 1 Purpose rating'!V55</f>
        <v>0</v>
      </c>
      <c r="W55" s="44">
        <f>'Table 1 Purpose rating'!W55</f>
        <v>0</v>
      </c>
      <c r="X55" s="44">
        <f>'Table 1 Purpose rating'!X55</f>
        <v>0</v>
      </c>
      <c r="Y55" s="44">
        <f>'Table 1 Purpose rating'!Y55</f>
        <v>0</v>
      </c>
      <c r="Z55" s="44">
        <f>'Table 1 Purpose rating'!Z55</f>
        <v>0</v>
      </c>
      <c r="AA55" s="44">
        <f>'Table 1 Purpose rating'!AA55</f>
        <v>0</v>
      </c>
      <c r="AB55" s="44">
        <f>'Table 1 Purpose rating'!AB55</f>
        <v>0</v>
      </c>
      <c r="AC55" s="44">
        <f>'Table 1 Purpose rating'!AC55</f>
        <v>0</v>
      </c>
      <c r="AD55" s="44">
        <f>'Table 1 Purpose rating'!AD55</f>
        <v>0</v>
      </c>
      <c r="AE55" s="44">
        <f>'Table 1 Purpose rating'!AE55</f>
        <v>0</v>
      </c>
      <c r="AF55" s="44">
        <f>'Table 1 Purpose rating'!AF55</f>
        <v>0</v>
      </c>
      <c r="AG55" s="702">
        <f t="shared" si="0"/>
        <v>0</v>
      </c>
    </row>
    <row r="56" spans="1:33" ht="15.75" x14ac:dyDescent="0.2">
      <c r="A56" s="90"/>
      <c r="AG56" s="12"/>
    </row>
    <row r="57" spans="1:33" x14ac:dyDescent="0.2">
      <c r="AG57" s="12"/>
    </row>
    <row r="58" spans="1:33" x14ac:dyDescent="0.2">
      <c r="A58" s="1041" t="s">
        <v>120</v>
      </c>
      <c r="B58" s="1042"/>
      <c r="C58" s="904"/>
      <c r="D58" s="60"/>
      <c r="E58" s="60"/>
      <c r="H58" s="1037" t="s">
        <v>121</v>
      </c>
      <c r="I58" s="1038"/>
      <c r="M58" s="49"/>
      <c r="N58" s="61" t="s">
        <v>782</v>
      </c>
      <c r="O58" s="349"/>
      <c r="P58" s="350"/>
      <c r="Q58" s="348"/>
      <c r="R58" s="347"/>
      <c r="S58" s="347"/>
      <c r="T58" s="348"/>
      <c r="U58" s="49"/>
      <c r="V58" s="97"/>
      <c r="W58" s="650" t="s">
        <v>123</v>
      </c>
      <c r="X58" s="99"/>
      <c r="Y58" s="99"/>
      <c r="Z58" s="99"/>
      <c r="AA58" s="99"/>
      <c r="AB58" s="99"/>
      <c r="AC58" s="99"/>
      <c r="AD58" s="99"/>
      <c r="AE58" s="101"/>
      <c r="AF58" s="49"/>
      <c r="AG58" s="12"/>
    </row>
    <row r="59" spans="1:33" x14ac:dyDescent="0.2">
      <c r="A59" s="627" t="s">
        <v>857</v>
      </c>
      <c r="B59" s="627" t="s">
        <v>126</v>
      </c>
      <c r="C59" s="49" t="s">
        <v>127</v>
      </c>
      <c r="D59" s="48"/>
      <c r="E59" s="49"/>
      <c r="F59" s="627"/>
      <c r="G59" s="49"/>
      <c r="H59" s="49" t="s">
        <v>128</v>
      </c>
      <c r="I59" s="48"/>
      <c r="M59" s="49"/>
      <c r="N59" s="49" t="s">
        <v>781</v>
      </c>
      <c r="O59" s="48"/>
      <c r="P59" s="59"/>
      <c r="Q59" s="48"/>
      <c r="R59" s="49"/>
      <c r="S59" s="49"/>
      <c r="T59" s="48"/>
      <c r="U59" s="651"/>
      <c r="V59" s="652"/>
      <c r="W59" s="49"/>
      <c r="X59" s="49"/>
      <c r="Y59" s="49"/>
      <c r="Z59" s="49"/>
      <c r="AA59" s="49"/>
      <c r="AB59" s="49"/>
      <c r="AC59" s="49"/>
      <c r="AD59" s="49"/>
      <c r="AE59" s="49"/>
      <c r="AF59" s="50"/>
      <c r="AG59" s="12"/>
    </row>
    <row r="60" spans="1:33" x14ac:dyDescent="0.2">
      <c r="A60" s="627" t="s">
        <v>858</v>
      </c>
      <c r="B60" s="627" t="s">
        <v>134</v>
      </c>
      <c r="C60" s="49" t="s">
        <v>135</v>
      </c>
      <c r="D60" s="48"/>
      <c r="E60" s="49"/>
      <c r="F60" s="629"/>
      <c r="G60" s="49"/>
      <c r="H60" s="49" t="s">
        <v>136</v>
      </c>
      <c r="I60" s="48"/>
      <c r="M60" s="49"/>
      <c r="N60" s="49" t="s">
        <v>168</v>
      </c>
      <c r="O60" s="48"/>
      <c r="P60" s="59"/>
      <c r="Q60" s="48"/>
      <c r="R60" s="49"/>
      <c r="S60" s="49"/>
      <c r="T60" s="48"/>
      <c r="U60" s="651"/>
      <c r="V60" s="652"/>
      <c r="W60" s="49"/>
      <c r="X60" s="49"/>
      <c r="Y60" s="49"/>
      <c r="Z60" s="49"/>
      <c r="AA60" s="49"/>
      <c r="AB60" s="49"/>
      <c r="AC60" s="49"/>
      <c r="AD60" s="49"/>
      <c r="AE60" s="49"/>
      <c r="AF60" s="49"/>
      <c r="AG60" s="12"/>
    </row>
    <row r="61" spans="1:33" x14ac:dyDescent="0.2">
      <c r="A61" s="627" t="s">
        <v>859</v>
      </c>
      <c r="B61" s="627" t="s">
        <v>142</v>
      </c>
      <c r="C61" s="49" t="s">
        <v>143</v>
      </c>
      <c r="D61" s="48"/>
      <c r="E61" s="49"/>
      <c r="F61" s="629"/>
      <c r="G61" s="49"/>
      <c r="H61" s="49" t="s">
        <v>144</v>
      </c>
      <c r="I61" s="48"/>
      <c r="M61" s="48"/>
      <c r="N61" s="49"/>
      <c r="O61" s="48"/>
      <c r="P61" s="59"/>
      <c r="Q61" s="48"/>
      <c r="R61" s="49"/>
      <c r="S61" s="49"/>
      <c r="T61" s="48"/>
      <c r="U61" s="651"/>
      <c r="V61" s="652"/>
      <c r="W61" s="48"/>
      <c r="X61" s="48"/>
      <c r="Y61" s="48"/>
      <c r="Z61" s="48"/>
      <c r="AA61" s="48"/>
      <c r="AB61" s="48"/>
      <c r="AC61" s="48"/>
      <c r="AD61" s="48"/>
      <c r="AE61" s="48"/>
      <c r="AF61" s="48"/>
      <c r="AG61" s="12"/>
    </row>
    <row r="62" spans="1:33" x14ac:dyDescent="0.2">
      <c r="A62" s="627" t="s">
        <v>860</v>
      </c>
      <c r="B62" s="49"/>
      <c r="C62" s="48"/>
      <c r="D62" s="48"/>
      <c r="E62" s="49"/>
      <c r="F62" s="48"/>
      <c r="G62" s="48"/>
      <c r="H62" s="49" t="s">
        <v>150</v>
      </c>
      <c r="I62" s="48"/>
      <c r="M62" s="48"/>
      <c r="N62" s="717" t="s">
        <v>785</v>
      </c>
      <c r="O62" s="349"/>
      <c r="P62" s="350"/>
      <c r="Q62" s="349"/>
      <c r="R62" s="593"/>
      <c r="S62" s="347"/>
      <c r="T62" s="348"/>
      <c r="U62" s="651"/>
      <c r="V62" s="652"/>
      <c r="W62" s="48"/>
      <c r="X62" s="48"/>
      <c r="Y62" s="48"/>
      <c r="Z62" s="48"/>
      <c r="AA62" s="48"/>
      <c r="AB62" s="48"/>
      <c r="AC62" s="48"/>
      <c r="AD62" s="48"/>
      <c r="AE62" s="48"/>
      <c r="AF62" s="48"/>
      <c r="AG62" s="12"/>
    </row>
    <row r="63" spans="1:33" x14ac:dyDescent="0.2">
      <c r="A63" s="627" t="s">
        <v>861</v>
      </c>
      <c r="B63" s="49"/>
      <c r="C63" s="48"/>
      <c r="D63" s="48"/>
      <c r="E63" s="49"/>
      <c r="F63" s="48"/>
      <c r="G63" s="48"/>
      <c r="M63" s="48"/>
      <c r="N63" s="49" t="s">
        <v>784</v>
      </c>
      <c r="O63" s="48"/>
      <c r="P63" s="59"/>
      <c r="Q63" s="48"/>
      <c r="R63" s="49"/>
      <c r="S63" s="49"/>
      <c r="T63" s="48"/>
      <c r="U63" s="651"/>
      <c r="V63" s="652"/>
      <c r="W63" s="48"/>
      <c r="X63" s="48"/>
      <c r="Y63" s="48"/>
      <c r="Z63" s="48"/>
      <c r="AA63" s="48"/>
      <c r="AB63" s="48"/>
      <c r="AC63" s="48"/>
      <c r="AD63" s="48"/>
      <c r="AE63" s="48"/>
      <c r="AF63" s="48"/>
      <c r="AG63" s="12"/>
    </row>
    <row r="64" spans="1:33" x14ac:dyDescent="0.2">
      <c r="A64" s="627" t="s">
        <v>862</v>
      </c>
      <c r="B64" s="49"/>
      <c r="C64" s="48"/>
      <c r="D64" s="48"/>
      <c r="E64" s="49"/>
      <c r="F64" s="48"/>
      <c r="G64" s="48"/>
      <c r="M64" s="48"/>
      <c r="R64" s="48"/>
      <c r="S64" s="48"/>
      <c r="T64" s="48"/>
      <c r="U64" s="651"/>
      <c r="V64" s="652"/>
      <c r="W64" s="48"/>
      <c r="X64" s="48"/>
      <c r="Y64" s="48"/>
      <c r="Z64" s="48"/>
      <c r="AA64" s="48"/>
      <c r="AB64" s="48"/>
      <c r="AC64" s="48"/>
      <c r="AD64" s="48"/>
      <c r="AE64" s="48"/>
      <c r="AF64" s="48"/>
      <c r="AG64" s="12"/>
    </row>
    <row r="65" spans="1:33" x14ac:dyDescent="0.2">
      <c r="A65" s="627" t="s">
        <v>863</v>
      </c>
      <c r="B65" s="49"/>
      <c r="C65" s="48"/>
      <c r="D65" s="48"/>
      <c r="E65" s="49"/>
      <c r="F65" s="48"/>
      <c r="G65" s="48"/>
      <c r="M65" s="48"/>
      <c r="R65" s="48"/>
      <c r="S65" s="48"/>
      <c r="T65" s="48"/>
      <c r="U65" s="651"/>
      <c r="V65" s="652"/>
      <c r="W65" s="48"/>
      <c r="X65" s="48"/>
      <c r="Y65" s="48"/>
      <c r="Z65" s="48"/>
      <c r="AA65" s="48"/>
      <c r="AB65" s="48"/>
      <c r="AC65" s="48"/>
      <c r="AD65" s="48"/>
      <c r="AE65" s="48"/>
      <c r="AF65" s="48"/>
      <c r="AG65" s="12"/>
    </row>
    <row r="66" spans="1:33" x14ac:dyDescent="0.2">
      <c r="A66" s="627" t="s">
        <v>864</v>
      </c>
      <c r="B66" s="49"/>
      <c r="C66" s="48"/>
      <c r="D66" s="48"/>
      <c r="E66" s="49"/>
      <c r="F66" s="48"/>
      <c r="G66" s="48"/>
      <c r="I66" s="48"/>
      <c r="J66" s="48"/>
      <c r="K66" s="48"/>
      <c r="L66" s="48"/>
      <c r="M66" s="49"/>
      <c r="Q66" s="1041" t="s">
        <v>122</v>
      </c>
      <c r="R66" s="1042"/>
      <c r="S66" s="1042"/>
      <c r="T66" s="904"/>
      <c r="W66" s="48"/>
      <c r="X66" s="48"/>
      <c r="Y66" s="48"/>
      <c r="Z66" s="48"/>
      <c r="AA66" s="48"/>
      <c r="AB66" s="48"/>
      <c r="AC66" s="48"/>
      <c r="AD66" s="48"/>
      <c r="AE66" s="48"/>
      <c r="AF66" s="48"/>
      <c r="AG66" s="12"/>
    </row>
    <row r="67" spans="1:33" x14ac:dyDescent="0.2">
      <c r="A67" s="627" t="s">
        <v>865</v>
      </c>
      <c r="B67" s="49"/>
      <c r="C67" s="48"/>
      <c r="D67" s="48"/>
      <c r="E67" s="49"/>
      <c r="F67" s="48"/>
      <c r="G67" s="48"/>
      <c r="I67" s="48"/>
      <c r="J67" s="48"/>
      <c r="K67" s="48"/>
      <c r="L67" s="48"/>
      <c r="M67" s="49"/>
      <c r="Q67" s="624" t="s">
        <v>129</v>
      </c>
      <c r="R67" s="48"/>
      <c r="S67" s="49" t="s">
        <v>130</v>
      </c>
      <c r="T67" s="49" t="s">
        <v>131</v>
      </c>
      <c r="W67" s="48"/>
      <c r="X67" s="48"/>
      <c r="Y67" s="48"/>
      <c r="Z67" s="48"/>
      <c r="AA67" s="48"/>
      <c r="AB67" s="48"/>
      <c r="AC67" s="48"/>
      <c r="AD67" s="48"/>
      <c r="AE67" s="48"/>
      <c r="AF67" s="48"/>
      <c r="AG67" s="12"/>
    </row>
    <row r="68" spans="1:33" x14ac:dyDescent="0.2">
      <c r="A68" s="59"/>
      <c r="B68" s="59"/>
      <c r="C68" s="59"/>
      <c r="D68" s="59"/>
      <c r="E68" s="49"/>
      <c r="F68" s="48"/>
      <c r="G68" s="48"/>
      <c r="I68" s="48"/>
      <c r="J68" s="49"/>
      <c r="K68" s="48"/>
      <c r="L68" s="48"/>
      <c r="M68" s="49"/>
      <c r="Q68" s="624" t="s">
        <v>137</v>
      </c>
      <c r="R68" s="48"/>
      <c r="S68" s="49" t="s">
        <v>138</v>
      </c>
      <c r="T68" s="49" t="s">
        <v>139</v>
      </c>
      <c r="W68" s="48"/>
      <c r="X68" s="48"/>
      <c r="Y68" s="48"/>
      <c r="Z68" s="48"/>
      <c r="AA68" s="48"/>
      <c r="AB68" s="48"/>
      <c r="AC68" s="48"/>
      <c r="AD68" s="48"/>
      <c r="AE68" s="48"/>
      <c r="AF68" s="48"/>
      <c r="AG68" s="12"/>
    </row>
    <row r="69" spans="1:33" x14ac:dyDescent="0.2">
      <c r="A69" s="1041" t="s">
        <v>165</v>
      </c>
      <c r="B69" s="1042"/>
      <c r="C69" s="904"/>
      <c r="D69" s="678"/>
      <c r="E69" s="678"/>
      <c r="F69" s="48"/>
      <c r="G69" s="48"/>
      <c r="H69" s="61" t="s">
        <v>170</v>
      </c>
      <c r="I69" s="614"/>
      <c r="J69" s="347"/>
      <c r="K69" s="348"/>
      <c r="L69" s="48"/>
      <c r="M69" s="48"/>
      <c r="Q69" s="624" t="s">
        <v>145</v>
      </c>
      <c r="R69" s="48"/>
      <c r="S69" s="49" t="s">
        <v>146</v>
      </c>
      <c r="T69" s="49" t="s">
        <v>147</v>
      </c>
      <c r="W69" s="48"/>
      <c r="X69" s="48"/>
      <c r="Y69" s="48"/>
      <c r="Z69" s="48"/>
      <c r="AA69" s="48"/>
      <c r="AB69" s="48"/>
      <c r="AC69" s="48"/>
      <c r="AD69" s="48"/>
      <c r="AE69" s="48"/>
      <c r="AF69" s="48"/>
      <c r="AG69" s="12"/>
    </row>
    <row r="70" spans="1:33" x14ac:dyDescent="0.2">
      <c r="A70" s="49" t="s">
        <v>166</v>
      </c>
      <c r="B70" s="48"/>
      <c r="C70" s="48"/>
      <c r="D70" s="48"/>
      <c r="E70" s="49"/>
      <c r="F70" s="48"/>
      <c r="G70" s="48"/>
      <c r="H70" s="49" t="s">
        <v>171</v>
      </c>
      <c r="J70" s="49"/>
      <c r="K70" s="48"/>
      <c r="L70" s="48"/>
      <c r="M70" s="48"/>
      <c r="Q70" s="624" t="s">
        <v>151</v>
      </c>
      <c r="R70" s="48"/>
      <c r="S70" s="49"/>
      <c r="T70" s="49"/>
      <c r="W70" s="48"/>
      <c r="X70" s="48"/>
      <c r="Y70" s="48"/>
      <c r="Z70" s="48"/>
      <c r="AA70" s="48"/>
      <c r="AB70" s="48"/>
      <c r="AC70" s="48"/>
      <c r="AD70" s="48"/>
      <c r="AE70" s="48"/>
      <c r="AF70" s="48"/>
      <c r="AG70" s="12"/>
    </row>
    <row r="71" spans="1:33" x14ac:dyDescent="0.2">
      <c r="A71" s="49" t="s">
        <v>167</v>
      </c>
      <c r="B71" s="48"/>
      <c r="C71" s="48"/>
      <c r="D71" s="48"/>
      <c r="E71" s="49"/>
      <c r="F71" s="48"/>
      <c r="G71" s="48"/>
      <c r="I71" s="48"/>
      <c r="J71" s="49"/>
      <c r="K71" s="48"/>
      <c r="L71" s="48"/>
      <c r="M71" s="48"/>
      <c r="Q71" s="624" t="s">
        <v>154</v>
      </c>
      <c r="R71" s="48"/>
      <c r="S71" s="49"/>
      <c r="T71" s="49"/>
      <c r="W71" s="48"/>
      <c r="X71" s="48"/>
      <c r="Y71" s="48"/>
      <c r="Z71" s="48"/>
      <c r="AA71" s="48"/>
      <c r="AB71" s="48"/>
      <c r="AC71" s="48"/>
      <c r="AD71" s="48"/>
      <c r="AE71" s="48"/>
      <c r="AF71" s="48"/>
      <c r="AG71" s="12"/>
    </row>
    <row r="72" spans="1:33" x14ac:dyDescent="0.2">
      <c r="A72" s="49" t="s">
        <v>169</v>
      </c>
      <c r="B72" s="48"/>
      <c r="C72" s="48"/>
      <c r="D72" s="48"/>
      <c r="E72" s="49"/>
      <c r="F72" s="48"/>
      <c r="G72" s="48"/>
      <c r="I72" s="48"/>
      <c r="J72" s="49"/>
      <c r="K72" s="48"/>
      <c r="L72" s="48"/>
      <c r="M72" s="49"/>
      <c r="Q72" s="630" t="s">
        <v>157</v>
      </c>
      <c r="R72" s="48"/>
      <c r="S72" s="49"/>
      <c r="T72" s="49"/>
      <c r="W72" s="48"/>
      <c r="X72" s="48"/>
      <c r="Y72" s="48"/>
      <c r="Z72" s="48"/>
      <c r="AA72" s="48"/>
      <c r="AB72" s="48"/>
      <c r="AC72" s="48"/>
      <c r="AD72" s="48"/>
      <c r="AE72" s="48"/>
      <c r="AF72" s="48"/>
      <c r="AG72" s="12"/>
    </row>
    <row r="73" spans="1:33" x14ac:dyDescent="0.2">
      <c r="A73" s="49" t="s">
        <v>498</v>
      </c>
      <c r="B73" s="48"/>
      <c r="C73" s="48"/>
      <c r="D73" s="48"/>
      <c r="E73" s="49"/>
      <c r="F73" s="48"/>
      <c r="G73" s="48"/>
      <c r="I73" s="48"/>
      <c r="J73" s="49"/>
      <c r="K73" s="48"/>
      <c r="L73" s="48"/>
      <c r="M73" s="49"/>
      <c r="Q73" s="624" t="s">
        <v>160</v>
      </c>
      <c r="R73" s="48"/>
      <c r="S73" s="49"/>
      <c r="T73" s="49"/>
      <c r="W73" s="48"/>
      <c r="X73" s="48"/>
      <c r="Y73" s="48"/>
      <c r="Z73" s="48"/>
      <c r="AA73" s="48"/>
      <c r="AB73" s="48"/>
      <c r="AC73" s="48"/>
      <c r="AD73" s="48"/>
      <c r="AE73" s="48"/>
      <c r="AF73" s="48"/>
      <c r="AG73" s="12"/>
    </row>
    <row r="74" spans="1:33" x14ac:dyDescent="0.2">
      <c r="A74" s="49" t="s">
        <v>780</v>
      </c>
      <c r="B74" s="48"/>
      <c r="C74" s="48"/>
      <c r="D74" s="48"/>
      <c r="E74" s="49"/>
      <c r="F74" s="48"/>
      <c r="G74" s="48"/>
      <c r="I74" s="48"/>
      <c r="J74" s="49"/>
      <c r="K74" s="48"/>
      <c r="L74" s="48"/>
      <c r="M74" s="49"/>
      <c r="T74" s="48"/>
      <c r="U74" s="651"/>
      <c r="V74" s="653"/>
      <c r="W74" s="48"/>
      <c r="X74" s="48"/>
      <c r="Y74" s="48"/>
      <c r="Z74" s="48"/>
      <c r="AA74" s="48"/>
      <c r="AB74" s="48"/>
      <c r="AC74" s="48"/>
      <c r="AD74" s="48"/>
      <c r="AE74" s="48"/>
      <c r="AF74" s="48"/>
      <c r="AG74" s="12"/>
    </row>
    <row r="75" spans="1:33" x14ac:dyDescent="0.2">
      <c r="A75" s="48"/>
      <c r="B75" s="49"/>
      <c r="C75" s="48"/>
      <c r="D75" s="48"/>
      <c r="E75" s="48"/>
      <c r="F75" s="49"/>
      <c r="G75" s="48"/>
      <c r="H75" s="48"/>
      <c r="I75" s="48"/>
      <c r="J75" s="49"/>
      <c r="K75" s="48"/>
      <c r="L75" s="48"/>
      <c r="M75" s="49"/>
      <c r="N75" s="49"/>
      <c r="O75" s="48"/>
      <c r="P75" s="59"/>
      <c r="Q75" s="48"/>
      <c r="R75" s="49"/>
      <c r="S75" s="49"/>
      <c r="T75" s="48"/>
      <c r="U75" s="651"/>
      <c r="V75" s="653"/>
      <c r="W75" s="48"/>
      <c r="X75" s="48"/>
      <c r="Y75" s="48"/>
      <c r="Z75" s="48"/>
      <c r="AA75" s="48"/>
      <c r="AB75" s="48"/>
      <c r="AC75" s="48"/>
      <c r="AD75" s="48"/>
      <c r="AE75" s="48"/>
      <c r="AF75" s="48"/>
      <c r="AG75" s="12"/>
    </row>
  </sheetData>
  <sheetProtection formatColumns="0" sort="0" autoFilter="0"/>
  <protectedRanges>
    <protectedRange sqref="A3:AF3" name="AllowSortFilter_1"/>
  </protectedRanges>
  <autoFilter ref="A3:AF55" xr:uid="{B14D0C5B-A2E3-483A-87AB-53277B6820F4}"/>
  <sortState xmlns:xlrd2="http://schemas.microsoft.com/office/spreadsheetml/2017/richdata2" ref="A4:AF55">
    <sortCondition ref="A4:A55"/>
  </sortState>
  <mergeCells count="9">
    <mergeCell ref="AD1:AE2"/>
    <mergeCell ref="W2:Z2"/>
    <mergeCell ref="AA2:AC2"/>
    <mergeCell ref="A58:C58"/>
    <mergeCell ref="A69:C69"/>
    <mergeCell ref="Q66:T66"/>
    <mergeCell ref="H58:I58"/>
    <mergeCell ref="B1:H1"/>
    <mergeCell ref="W1:AC1"/>
  </mergeCells>
  <conditionalFormatting sqref="A4:A49">
    <cfRule type="expression" dxfId="10" priority="5">
      <formula>MOD(ROW(),2)=1</formula>
    </cfRule>
  </conditionalFormatting>
  <conditionalFormatting sqref="E4:AF49">
    <cfRule type="expression" dxfId="9" priority="4">
      <formula>MOD(ROW(),2)=1</formula>
    </cfRule>
  </conditionalFormatting>
  <conditionalFormatting sqref="D4:D49">
    <cfRule type="expression" dxfId="8" priority="3">
      <formula>MOD(ROW(),2)=1</formula>
    </cfRule>
  </conditionalFormatting>
  <conditionalFormatting sqref="B4:C49">
    <cfRule type="expression" dxfId="7" priority="2">
      <formula>MOD(ROW(),2)=1</formula>
    </cfRule>
  </conditionalFormatting>
  <conditionalFormatting sqref="AG4:AG49">
    <cfRule type="expression" dxfId="6" priority="1">
      <formula>MOD(ROW(),2)=1</formula>
    </cfRule>
  </conditionalFormatting>
  <pageMargins left="0.7" right="0.7" top="0.75" bottom="0.75" header="0.3" footer="0.3"/>
  <pageSetup scale="56"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5846" r:id="rId4" name="Button 6">
              <controlPr defaultSize="0" print="0" autoFill="0" autoPict="0" macro="[0]!PrintTable1_Urban">
                <anchor moveWithCells="1" sizeWithCells="1">
                  <from>
                    <xdr:col>0</xdr:col>
                    <xdr:colOff>628650</xdr:colOff>
                    <xdr:row>0</xdr:row>
                    <xdr:rowOff>38100</xdr:rowOff>
                  </from>
                  <to>
                    <xdr:col>0</xdr:col>
                    <xdr:colOff>1581150</xdr:colOff>
                    <xdr:row>1</xdr:row>
                    <xdr:rowOff>66675</xdr:rowOff>
                  </to>
                </anchor>
              </controlPr>
            </control>
          </mc:Choice>
        </mc:AlternateContent>
        <mc:AlternateContent xmlns:mc="http://schemas.openxmlformats.org/markup-compatibility/2006">
          <mc:Choice Requires="x14">
            <control shapeId="35847" r:id="rId5" name="Button 7">
              <controlPr defaultSize="0" print="0" autoFill="0" autoPict="0" macro="[0]!PrintTable2">
                <anchor moveWithCells="1" sizeWithCells="1">
                  <from>
                    <xdr:col>31</xdr:col>
                    <xdr:colOff>9525</xdr:colOff>
                    <xdr:row>0</xdr:row>
                    <xdr:rowOff>38100</xdr:rowOff>
                  </from>
                  <to>
                    <xdr:col>31</xdr:col>
                    <xdr:colOff>1819275</xdr:colOff>
                    <xdr:row>1</xdr:row>
                    <xdr:rowOff>123825</xdr:rowOff>
                  </to>
                </anchor>
              </controlPr>
            </control>
          </mc:Choice>
        </mc:AlternateContent>
        <mc:AlternateContent xmlns:mc="http://schemas.openxmlformats.org/markup-compatibility/2006">
          <mc:Choice Requires="x14">
            <control shapeId="35848" r:id="rId6" name="Button 8">
              <controlPr defaultSize="0" print="0" autoFill="0" autoPict="0" macro="[0]!Go_To_Cover_Crop_Worksheet">
                <anchor moveWithCells="1" sizeWithCells="1">
                  <from>
                    <xdr:col>0</xdr:col>
                    <xdr:colOff>619125</xdr:colOff>
                    <xdr:row>2</xdr:row>
                    <xdr:rowOff>57150</xdr:rowOff>
                  </from>
                  <to>
                    <xdr:col>0</xdr:col>
                    <xdr:colOff>1571625</xdr:colOff>
                    <xdr:row>2</xdr:row>
                    <xdr:rowOff>247650</xdr:rowOff>
                  </to>
                </anchor>
              </controlPr>
            </control>
          </mc:Choice>
        </mc:AlternateContent>
        <mc:AlternateContent xmlns:mc="http://schemas.openxmlformats.org/markup-compatibility/2006">
          <mc:Choice Requires="x14">
            <control shapeId="35849" r:id="rId7" name="Button 9">
              <controlPr defaultSize="0" print="0" autoFill="0" autoPict="0" macro="[0]!Clear_filter_urban">
                <anchor moveWithCells="1" sizeWithCells="1">
                  <from>
                    <xdr:col>0</xdr:col>
                    <xdr:colOff>600075</xdr:colOff>
                    <xdr:row>2</xdr:row>
                    <xdr:rowOff>323850</xdr:rowOff>
                  </from>
                  <to>
                    <xdr:col>0</xdr:col>
                    <xdr:colOff>1581150</xdr:colOff>
                    <xdr:row>2</xdr:row>
                    <xdr:rowOff>476250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O93"/>
  <sheetViews>
    <sheetView showGridLines="0" zoomScaleNormal="100" zoomScaleSheetLayoutView="100" workbookViewId="0">
      <selection sqref="A1:I1"/>
    </sheetView>
  </sheetViews>
  <sheetFormatPr defaultColWidth="9.28515625" defaultRowHeight="15" x14ac:dyDescent="0.25"/>
  <cols>
    <col min="1" max="1" width="6" style="4" customWidth="1"/>
    <col min="2" max="3" width="6.140625" style="4" customWidth="1"/>
    <col min="4" max="7" width="9.28515625" style="4"/>
    <col min="8" max="8" width="40.85546875" style="4" customWidth="1"/>
    <col min="9" max="9" width="9.28515625" style="75"/>
    <col min="10" max="16384" width="9.28515625" style="4"/>
  </cols>
  <sheetData>
    <row r="1" spans="1:15" ht="15.75" x14ac:dyDescent="0.25">
      <c r="A1" s="1052" t="s">
        <v>206</v>
      </c>
      <c r="B1" s="1052"/>
      <c r="C1" s="1052"/>
      <c r="D1" s="1052"/>
      <c r="E1" s="1052"/>
      <c r="F1" s="1052"/>
      <c r="G1" s="1052"/>
      <c r="H1" s="1052"/>
      <c r="I1" s="1052"/>
      <c r="J1" s="3"/>
      <c r="K1" s="3"/>
      <c r="L1" s="3"/>
      <c r="M1" s="3"/>
      <c r="N1" s="3"/>
      <c r="O1" s="3"/>
    </row>
    <row r="2" spans="1:15" ht="46.5" customHeight="1" x14ac:dyDescent="0.25">
      <c r="A2" s="5"/>
      <c r="B2" s="5"/>
      <c r="C2" s="5"/>
      <c r="D2" s="5"/>
      <c r="E2" s="6"/>
      <c r="F2" s="5"/>
      <c r="G2" s="5"/>
      <c r="H2" s="5"/>
      <c r="I2" s="5"/>
      <c r="J2" s="5"/>
      <c r="K2" s="5"/>
      <c r="L2" s="5"/>
      <c r="M2" s="5"/>
      <c r="N2" s="5"/>
      <c r="O2" s="5"/>
    </row>
    <row r="3" spans="1:15" x14ac:dyDescent="0.25">
      <c r="A3" s="5"/>
      <c r="B3" s="1053" t="s">
        <v>266</v>
      </c>
      <c r="C3" s="1054"/>
      <c r="D3" s="1055" t="s">
        <v>207</v>
      </c>
      <c r="E3" s="1055"/>
      <c r="F3" s="1055"/>
      <c r="G3" s="1055"/>
      <c r="H3" s="1055"/>
      <c r="I3" s="202" t="s">
        <v>208</v>
      </c>
      <c r="J3" s="5"/>
      <c r="K3" s="7"/>
      <c r="L3" s="7"/>
      <c r="M3" s="7"/>
      <c r="N3" s="7"/>
      <c r="O3" s="7"/>
    </row>
    <row r="4" spans="1:15" x14ac:dyDescent="0.25">
      <c r="A4" s="5"/>
      <c r="B4" s="7"/>
      <c r="C4" s="7"/>
      <c r="D4" s="7"/>
      <c r="E4" s="7"/>
      <c r="F4" s="7"/>
      <c r="G4" s="7"/>
      <c r="H4" s="7"/>
      <c r="I4" s="7"/>
      <c r="J4" s="5"/>
      <c r="K4" s="7"/>
      <c r="L4" s="7"/>
      <c r="M4" s="7"/>
      <c r="N4" s="7"/>
      <c r="O4" s="7"/>
    </row>
    <row r="5" spans="1:15" ht="20.100000000000001" customHeight="1" x14ac:dyDescent="0.25">
      <c r="A5" s="5"/>
      <c r="B5" s="174"/>
      <c r="C5" s="174"/>
      <c r="D5" s="1048" t="s">
        <v>262</v>
      </c>
      <c r="E5" s="1049"/>
      <c r="F5" s="1049"/>
      <c r="G5" s="1049"/>
      <c r="H5" s="1050"/>
      <c r="I5" s="176"/>
      <c r="J5" s="5"/>
      <c r="K5" s="5"/>
      <c r="L5" s="5"/>
      <c r="M5" s="5"/>
      <c r="N5" s="5"/>
      <c r="O5" s="5"/>
    </row>
    <row r="6" spans="1:15" ht="20.100000000000001" customHeight="1" x14ac:dyDescent="0.25">
      <c r="A6" s="5"/>
      <c r="B6" s="1046" t="s">
        <v>219</v>
      </c>
      <c r="C6" s="1046"/>
      <c r="D6" s="1046" t="s">
        <v>277</v>
      </c>
      <c r="E6" s="1046"/>
      <c r="F6" s="1046"/>
      <c r="G6" s="1046"/>
      <c r="H6" s="1046"/>
      <c r="I6" s="231" t="s">
        <v>229</v>
      </c>
      <c r="J6" s="5"/>
      <c r="K6" s="9"/>
      <c r="L6" s="9"/>
      <c r="M6" s="9"/>
      <c r="N6" s="9"/>
      <c r="O6" s="9"/>
    </row>
    <row r="7" spans="1:15" ht="20.100000000000001" customHeight="1" x14ac:dyDescent="0.25">
      <c r="A7" s="5"/>
      <c r="B7" s="1046" t="s">
        <v>210</v>
      </c>
      <c r="C7" s="1046"/>
      <c r="D7" s="1046" t="s">
        <v>478</v>
      </c>
      <c r="E7" s="1046"/>
      <c r="F7" s="1046"/>
      <c r="G7" s="1046"/>
      <c r="H7" s="1046"/>
      <c r="I7" s="231" t="s">
        <v>224</v>
      </c>
      <c r="J7" s="5"/>
      <c r="K7" s="5"/>
      <c r="L7" s="5"/>
      <c r="M7" s="5"/>
      <c r="N7" s="5"/>
      <c r="O7" s="5"/>
    </row>
    <row r="8" spans="1:15" ht="20.100000000000001" customHeight="1" x14ac:dyDescent="0.25">
      <c r="A8" s="5"/>
      <c r="B8" s="1046" t="s">
        <v>235</v>
      </c>
      <c r="C8" s="1046"/>
      <c r="D8" s="1046" t="s">
        <v>263</v>
      </c>
      <c r="E8" s="1046"/>
      <c r="F8" s="1046"/>
      <c r="G8" s="1046"/>
      <c r="H8" s="1046"/>
      <c r="I8" s="231" t="s">
        <v>224</v>
      </c>
      <c r="J8" s="5"/>
      <c r="K8" s="5"/>
      <c r="L8" s="5"/>
      <c r="M8" s="5"/>
      <c r="N8" s="5"/>
      <c r="O8" s="5"/>
    </row>
    <row r="9" spans="1:15" ht="20.100000000000001" customHeight="1" x14ac:dyDescent="0.25">
      <c r="A9" s="5"/>
      <c r="B9" s="1046" t="s">
        <v>217</v>
      </c>
      <c r="C9" s="1046"/>
      <c r="D9" s="1046" t="s">
        <v>230</v>
      </c>
      <c r="E9" s="1046"/>
      <c r="F9" s="1046"/>
      <c r="G9" s="1046"/>
      <c r="H9" s="1046"/>
      <c r="I9" s="231" t="s">
        <v>213</v>
      </c>
      <c r="J9" s="5"/>
      <c r="K9" s="5"/>
      <c r="L9" s="5"/>
      <c r="M9" s="5"/>
      <c r="N9" s="5"/>
      <c r="O9" s="5"/>
    </row>
    <row r="10" spans="1:15" ht="20.100000000000001" customHeight="1" x14ac:dyDescent="0.25">
      <c r="A10" s="5"/>
      <c r="B10" s="1046" t="s">
        <v>222</v>
      </c>
      <c r="C10" s="1046"/>
      <c r="D10" s="1046" t="s">
        <v>231</v>
      </c>
      <c r="E10" s="1046"/>
      <c r="F10" s="1046"/>
      <c r="G10" s="1046"/>
      <c r="H10" s="1046"/>
      <c r="I10" s="231" t="s">
        <v>216</v>
      </c>
      <c r="J10" s="5"/>
      <c r="K10" s="5"/>
      <c r="L10" s="5"/>
      <c r="M10" s="5"/>
      <c r="N10" s="5"/>
      <c r="O10" s="5"/>
    </row>
    <row r="11" spans="1:15" ht="20.100000000000001" customHeight="1" x14ac:dyDescent="0.25">
      <c r="A11" s="5"/>
      <c r="B11" s="1046" t="s">
        <v>226</v>
      </c>
      <c r="C11" s="1046"/>
      <c r="D11" s="1046" t="s">
        <v>269</v>
      </c>
      <c r="E11" s="1046"/>
      <c r="F11" s="1046"/>
      <c r="G11" s="1046"/>
      <c r="H11" s="1046"/>
      <c r="I11" s="231" t="s">
        <v>232</v>
      </c>
      <c r="J11" s="5"/>
      <c r="K11" s="5"/>
      <c r="L11" s="5"/>
      <c r="M11" s="5"/>
      <c r="N11" s="5"/>
      <c r="O11" s="5"/>
    </row>
    <row r="12" spans="1:15" ht="20.100000000000001" customHeight="1" x14ac:dyDescent="0.25">
      <c r="A12" s="5"/>
      <c r="B12" s="7"/>
      <c r="C12" s="7"/>
      <c r="D12" s="7"/>
      <c r="E12" s="7"/>
      <c r="F12" s="7"/>
      <c r="G12" s="7"/>
      <c r="H12" s="7"/>
      <c r="I12" s="7"/>
      <c r="J12" s="5"/>
      <c r="K12" s="7"/>
      <c r="L12" s="7"/>
      <c r="M12" s="7"/>
      <c r="N12" s="7"/>
      <c r="O12" s="7"/>
    </row>
    <row r="13" spans="1:15" ht="20.100000000000001" customHeight="1" x14ac:dyDescent="0.25">
      <c r="A13" s="5"/>
      <c r="B13" s="174"/>
      <c r="C13" s="174"/>
      <c r="D13" s="1048" t="s">
        <v>233</v>
      </c>
      <c r="E13" s="1049"/>
      <c r="F13" s="1049"/>
      <c r="G13" s="1049"/>
      <c r="H13" s="1050"/>
      <c r="I13" s="176"/>
      <c r="J13" s="5"/>
      <c r="K13" s="5"/>
      <c r="L13" s="5"/>
      <c r="M13" s="5"/>
      <c r="N13" s="5"/>
      <c r="O13" s="5"/>
    </row>
    <row r="14" spans="1:15" ht="20.100000000000001" customHeight="1" x14ac:dyDescent="0.25">
      <c r="A14" s="5"/>
      <c r="B14" s="1046" t="s">
        <v>210</v>
      </c>
      <c r="C14" s="1046"/>
      <c r="D14" s="1047" t="s">
        <v>264</v>
      </c>
      <c r="E14" s="1047"/>
      <c r="F14" s="1047"/>
      <c r="G14" s="1047"/>
      <c r="H14" s="1047"/>
      <c r="I14" s="10" t="s">
        <v>234</v>
      </c>
      <c r="J14" s="5"/>
      <c r="K14" s="5"/>
      <c r="L14" s="5"/>
      <c r="M14" s="5"/>
      <c r="N14" s="5"/>
      <c r="O14" s="5"/>
    </row>
    <row r="15" spans="1:15" ht="20.100000000000001" customHeight="1" x14ac:dyDescent="0.25">
      <c r="A15" s="5"/>
      <c r="B15" s="1046" t="s">
        <v>226</v>
      </c>
      <c r="C15" s="1046"/>
      <c r="D15" s="1046" t="s">
        <v>265</v>
      </c>
      <c r="E15" s="1046"/>
      <c r="F15" s="1046"/>
      <c r="G15" s="1046"/>
      <c r="H15" s="1046"/>
      <c r="I15" s="10" t="s">
        <v>211</v>
      </c>
      <c r="J15" s="5"/>
      <c r="K15" s="5"/>
      <c r="L15" s="5"/>
      <c r="M15" s="5"/>
      <c r="N15" s="5"/>
      <c r="O15" s="5"/>
    </row>
    <row r="16" spans="1:15" ht="20.100000000000001" customHeight="1" x14ac:dyDescent="0.25">
      <c r="A16" s="5"/>
      <c r="B16" s="1046" t="s">
        <v>235</v>
      </c>
      <c r="C16" s="1046"/>
      <c r="D16" s="1046" t="s">
        <v>236</v>
      </c>
      <c r="E16" s="1046"/>
      <c r="F16" s="1046"/>
      <c r="G16" s="1046"/>
      <c r="H16" s="1046"/>
      <c r="I16" s="10" t="s">
        <v>216</v>
      </c>
      <c r="J16" s="5"/>
      <c r="K16" s="5"/>
      <c r="L16" s="5"/>
      <c r="M16" s="5"/>
      <c r="N16" s="5"/>
      <c r="O16" s="5"/>
    </row>
    <row r="17" spans="1:9" ht="20.100000000000001" customHeight="1" x14ac:dyDescent="0.25">
      <c r="A17" s="5"/>
      <c r="B17" s="1046" t="s">
        <v>219</v>
      </c>
      <c r="C17" s="1046"/>
      <c r="D17" s="1046" t="s">
        <v>237</v>
      </c>
      <c r="E17" s="1046"/>
      <c r="F17" s="1046"/>
      <c r="G17" s="1046"/>
      <c r="H17" s="1046"/>
      <c r="I17" s="10" t="s">
        <v>238</v>
      </c>
    </row>
    <row r="18" spans="1:9" ht="20.100000000000001" customHeight="1" x14ac:dyDescent="0.25">
      <c r="A18" s="5"/>
      <c r="B18" s="232"/>
      <c r="C18" s="232"/>
      <c r="D18" s="233"/>
      <c r="E18" s="233"/>
      <c r="F18" s="233"/>
      <c r="G18" s="233"/>
      <c r="H18" s="233"/>
      <c r="I18" s="11"/>
    </row>
    <row r="19" spans="1:9" ht="20.100000000000001" customHeight="1" x14ac:dyDescent="0.25">
      <c r="A19" s="5"/>
      <c r="B19" s="8"/>
      <c r="C19" s="177"/>
      <c r="D19" s="1048" t="s">
        <v>267</v>
      </c>
      <c r="E19" s="1049"/>
      <c r="F19" s="1049"/>
      <c r="G19" s="1049"/>
      <c r="H19" s="1050"/>
      <c r="I19" s="178"/>
    </row>
    <row r="20" spans="1:9" ht="20.100000000000001" customHeight="1" x14ac:dyDescent="0.25">
      <c r="A20" s="5"/>
      <c r="B20" s="1046" t="s">
        <v>210</v>
      </c>
      <c r="C20" s="1046"/>
      <c r="D20" s="1046" t="s">
        <v>268</v>
      </c>
      <c r="E20" s="1046"/>
      <c r="F20" s="1046"/>
      <c r="G20" s="1046"/>
      <c r="H20" s="1046"/>
      <c r="I20" s="10" t="s">
        <v>216</v>
      </c>
    </row>
    <row r="21" spans="1:9" ht="20.100000000000001" customHeight="1" x14ac:dyDescent="0.25">
      <c r="A21" s="5"/>
      <c r="B21" s="1046" t="s">
        <v>226</v>
      </c>
      <c r="C21" s="1046"/>
      <c r="D21" s="1046" t="s">
        <v>269</v>
      </c>
      <c r="E21" s="1046"/>
      <c r="F21" s="1046"/>
      <c r="G21" s="1046"/>
      <c r="H21" s="1046"/>
      <c r="I21" s="10" t="s">
        <v>275</v>
      </c>
    </row>
    <row r="22" spans="1:9" ht="20.100000000000001" customHeight="1" x14ac:dyDescent="0.25">
      <c r="A22" s="5"/>
      <c r="B22" s="1046" t="s">
        <v>217</v>
      </c>
      <c r="C22" s="1046"/>
      <c r="D22" s="1047" t="s">
        <v>270</v>
      </c>
      <c r="E22" s="1047"/>
      <c r="F22" s="1047"/>
      <c r="G22" s="1047"/>
      <c r="H22" s="1047"/>
      <c r="I22" s="10" t="s">
        <v>225</v>
      </c>
    </row>
    <row r="23" spans="1:9" ht="20.100000000000001" customHeight="1" x14ac:dyDescent="0.25">
      <c r="A23" s="5"/>
      <c r="B23" s="1056" t="s">
        <v>214</v>
      </c>
      <c r="C23" s="1057"/>
      <c r="D23" s="1046" t="s">
        <v>271</v>
      </c>
      <c r="E23" s="1046"/>
      <c r="F23" s="1046"/>
      <c r="G23" s="1046"/>
      <c r="H23" s="1046"/>
      <c r="I23" s="10" t="s">
        <v>248</v>
      </c>
    </row>
    <row r="24" spans="1:9" ht="20.100000000000001" customHeight="1" x14ac:dyDescent="0.25">
      <c r="A24" s="83"/>
      <c r="B24" s="1046" t="s">
        <v>235</v>
      </c>
      <c r="C24" s="1046"/>
      <c r="D24" s="1046" t="s">
        <v>272</v>
      </c>
      <c r="E24" s="1046"/>
      <c r="F24" s="1046"/>
      <c r="G24" s="1046"/>
      <c r="H24" s="1046"/>
      <c r="I24" s="10" t="s">
        <v>216</v>
      </c>
    </row>
    <row r="25" spans="1:9" ht="20.100000000000001" customHeight="1" x14ac:dyDescent="0.25">
      <c r="A25" s="5"/>
      <c r="B25" s="1046" t="s">
        <v>273</v>
      </c>
      <c r="C25" s="1046"/>
      <c r="D25" s="1046" t="s">
        <v>274</v>
      </c>
      <c r="E25" s="1046"/>
      <c r="F25" s="1046"/>
      <c r="G25" s="1046"/>
      <c r="H25" s="1046"/>
      <c r="I25" s="10" t="s">
        <v>224</v>
      </c>
    </row>
    <row r="26" spans="1:9" ht="20.100000000000001" customHeight="1" x14ac:dyDescent="0.25">
      <c r="A26" s="5"/>
      <c r="B26" s="1046" t="s">
        <v>219</v>
      </c>
      <c r="C26" s="1046"/>
      <c r="D26" s="1046" t="s">
        <v>413</v>
      </c>
      <c r="E26" s="1046"/>
      <c r="F26" s="1046"/>
      <c r="G26" s="1046"/>
      <c r="H26" s="1046"/>
      <c r="I26" s="10" t="s">
        <v>238</v>
      </c>
    </row>
    <row r="27" spans="1:9" ht="20.100000000000001" customHeight="1" x14ac:dyDescent="0.25">
      <c r="A27" s="5"/>
      <c r="B27" s="1051"/>
      <c r="C27" s="1051"/>
      <c r="D27" s="1045"/>
      <c r="E27" s="1045"/>
      <c r="F27" s="1045"/>
      <c r="G27" s="1045"/>
      <c r="H27" s="1045"/>
      <c r="I27" s="11"/>
    </row>
    <row r="28" spans="1:9" ht="20.100000000000001" customHeight="1" x14ac:dyDescent="0.25">
      <c r="A28" s="5"/>
      <c r="B28" s="8"/>
      <c r="C28" s="177"/>
      <c r="D28" s="1048" t="s">
        <v>239</v>
      </c>
      <c r="E28" s="1049"/>
      <c r="F28" s="1049"/>
      <c r="G28" s="1049"/>
      <c r="H28" s="1050"/>
      <c r="I28" s="178"/>
    </row>
    <row r="29" spans="1:9" ht="20.100000000000001" customHeight="1" x14ac:dyDescent="0.25">
      <c r="A29" s="5"/>
      <c r="B29" s="1046" t="s">
        <v>210</v>
      </c>
      <c r="C29" s="1046"/>
      <c r="D29" s="1047" t="s">
        <v>264</v>
      </c>
      <c r="E29" s="1047"/>
      <c r="F29" s="1047"/>
      <c r="G29" s="1047"/>
      <c r="H29" s="1047"/>
      <c r="I29" s="10" t="s">
        <v>240</v>
      </c>
    </row>
    <row r="30" spans="1:9" ht="20.100000000000001" customHeight="1" x14ac:dyDescent="0.25">
      <c r="A30" s="5"/>
      <c r="B30" s="1046" t="s">
        <v>235</v>
      </c>
      <c r="C30" s="1046"/>
      <c r="D30" s="1046" t="s">
        <v>236</v>
      </c>
      <c r="E30" s="1046"/>
      <c r="F30" s="1046"/>
      <c r="G30" s="1046"/>
      <c r="H30" s="1046"/>
      <c r="I30" s="10" t="s">
        <v>218</v>
      </c>
    </row>
    <row r="31" spans="1:9" ht="20.100000000000001" customHeight="1" x14ac:dyDescent="0.25">
      <c r="A31" s="5"/>
      <c r="B31" s="1046" t="s">
        <v>219</v>
      </c>
      <c r="C31" s="1046"/>
      <c r="D31" s="1046" t="s">
        <v>278</v>
      </c>
      <c r="E31" s="1046"/>
      <c r="F31" s="1046"/>
      <c r="G31" s="1046"/>
      <c r="H31" s="1046"/>
      <c r="I31" s="10" t="s">
        <v>241</v>
      </c>
    </row>
    <row r="32" spans="1:9" ht="20.100000000000001" customHeight="1" x14ac:dyDescent="0.25">
      <c r="A32" s="5"/>
      <c r="B32" s="232"/>
      <c r="C32" s="232"/>
      <c r="D32" s="232"/>
      <c r="E32" s="232"/>
      <c r="F32" s="232"/>
      <c r="G32" s="232"/>
      <c r="H32" s="232"/>
      <c r="I32" s="234"/>
    </row>
    <row r="33" spans="1:9" ht="20.100000000000001" customHeight="1" x14ac:dyDescent="0.25">
      <c r="A33" s="5"/>
      <c r="B33" s="8"/>
      <c r="C33" s="177"/>
      <c r="D33" s="1048" t="s">
        <v>242</v>
      </c>
      <c r="E33" s="1049"/>
      <c r="F33" s="1049"/>
      <c r="G33" s="1049"/>
      <c r="H33" s="1050"/>
      <c r="I33" s="178"/>
    </row>
    <row r="34" spans="1:9" ht="20.100000000000001" customHeight="1" x14ac:dyDescent="0.25">
      <c r="A34" s="5"/>
      <c r="B34" s="1046" t="s">
        <v>210</v>
      </c>
      <c r="C34" s="1046"/>
      <c r="D34" s="1047" t="s">
        <v>264</v>
      </c>
      <c r="E34" s="1047"/>
      <c r="F34" s="1047"/>
      <c r="G34" s="1047"/>
      <c r="H34" s="1047"/>
      <c r="I34" s="10" t="s">
        <v>216</v>
      </c>
    </row>
    <row r="35" spans="1:9" ht="20.100000000000001" customHeight="1" x14ac:dyDescent="0.25">
      <c r="A35" s="5"/>
      <c r="B35" s="1046" t="s">
        <v>226</v>
      </c>
      <c r="C35" s="1046"/>
      <c r="D35" s="1046" t="s">
        <v>276</v>
      </c>
      <c r="E35" s="1046"/>
      <c r="F35" s="1046"/>
      <c r="G35" s="1046"/>
      <c r="H35" s="1046"/>
      <c r="I35" s="10" t="s">
        <v>243</v>
      </c>
    </row>
    <row r="36" spans="1:9" ht="20.100000000000001" customHeight="1" x14ac:dyDescent="0.25">
      <c r="A36" s="5"/>
      <c r="B36" s="1046" t="s">
        <v>235</v>
      </c>
      <c r="C36" s="1046"/>
      <c r="D36" s="1046" t="s">
        <v>236</v>
      </c>
      <c r="E36" s="1046"/>
      <c r="F36" s="1046"/>
      <c r="G36" s="1046"/>
      <c r="H36" s="1046"/>
      <c r="I36" s="10" t="s">
        <v>216</v>
      </c>
    </row>
    <row r="37" spans="1:9" ht="20.100000000000001" customHeight="1" x14ac:dyDescent="0.25">
      <c r="A37" s="5"/>
      <c r="B37" s="1046" t="s">
        <v>219</v>
      </c>
      <c r="C37" s="1046"/>
      <c r="D37" s="1046" t="s">
        <v>279</v>
      </c>
      <c r="E37" s="1046"/>
      <c r="F37" s="1046"/>
      <c r="G37" s="1046"/>
      <c r="H37" s="1046"/>
      <c r="I37" s="10" t="s">
        <v>244</v>
      </c>
    </row>
    <row r="38" spans="1:9" ht="20.100000000000001" customHeight="1" x14ac:dyDescent="0.25">
      <c r="A38" s="5"/>
      <c r="B38" s="232"/>
      <c r="C38" s="232"/>
      <c r="D38" s="232"/>
      <c r="E38" s="232"/>
      <c r="F38" s="232"/>
      <c r="G38" s="232"/>
      <c r="H38" s="232"/>
      <c r="I38" s="11"/>
    </row>
    <row r="39" spans="1:9" ht="20.100000000000001" customHeight="1" x14ac:dyDescent="0.25">
      <c r="A39" s="5"/>
      <c r="B39" s="8"/>
      <c r="C39" s="177"/>
      <c r="D39" s="1053" t="s">
        <v>245</v>
      </c>
      <c r="E39" s="1060"/>
      <c r="F39" s="1060"/>
      <c r="G39" s="1060"/>
      <c r="H39" s="1061"/>
      <c r="I39" s="178"/>
    </row>
    <row r="40" spans="1:9" ht="20.100000000000001" customHeight="1" x14ac:dyDescent="0.25">
      <c r="A40" s="5"/>
      <c r="B40" s="1046" t="s">
        <v>210</v>
      </c>
      <c r="C40" s="1046"/>
      <c r="D40" s="1047" t="s">
        <v>264</v>
      </c>
      <c r="E40" s="1047"/>
      <c r="F40" s="1047"/>
      <c r="G40" s="1047"/>
      <c r="H40" s="1047"/>
      <c r="I40" s="10" t="s">
        <v>232</v>
      </c>
    </row>
    <row r="41" spans="1:9" ht="20.100000000000001" customHeight="1" x14ac:dyDescent="0.25">
      <c r="A41" s="5"/>
      <c r="B41" s="1046" t="s">
        <v>214</v>
      </c>
      <c r="C41" s="1046"/>
      <c r="D41" s="1046" t="s">
        <v>271</v>
      </c>
      <c r="E41" s="1046"/>
      <c r="F41" s="1046"/>
      <c r="G41" s="1046"/>
      <c r="H41" s="1046"/>
      <c r="I41" s="10" t="s">
        <v>216</v>
      </c>
    </row>
    <row r="42" spans="1:9" ht="20.100000000000001" customHeight="1" x14ac:dyDescent="0.25">
      <c r="A42" s="5"/>
      <c r="B42" s="1046" t="s">
        <v>226</v>
      </c>
      <c r="C42" s="1046"/>
      <c r="D42" s="1046" t="s">
        <v>479</v>
      </c>
      <c r="E42" s="1046"/>
      <c r="F42" s="1046"/>
      <c r="G42" s="1046"/>
      <c r="H42" s="1046"/>
      <c r="I42" s="10" t="s">
        <v>246</v>
      </c>
    </row>
    <row r="43" spans="1:9" ht="20.100000000000001" customHeight="1" x14ac:dyDescent="0.25">
      <c r="A43" s="5"/>
      <c r="B43" s="1046" t="s">
        <v>217</v>
      </c>
      <c r="C43" s="1046"/>
      <c r="D43" s="1046" t="s">
        <v>247</v>
      </c>
      <c r="E43" s="1046"/>
      <c r="F43" s="1046"/>
      <c r="G43" s="1046"/>
      <c r="H43" s="1046"/>
      <c r="I43" s="10" t="s">
        <v>248</v>
      </c>
    </row>
    <row r="44" spans="1:9" ht="20.100000000000001" customHeight="1" x14ac:dyDescent="0.25">
      <c r="A44" s="5"/>
      <c r="B44" s="1046" t="s">
        <v>235</v>
      </c>
      <c r="C44" s="1046"/>
      <c r="D44" s="1046" t="s">
        <v>236</v>
      </c>
      <c r="E44" s="1046"/>
      <c r="F44" s="1046"/>
      <c r="G44" s="1046"/>
      <c r="H44" s="1046"/>
      <c r="I44" s="10" t="s">
        <v>216</v>
      </c>
    </row>
    <row r="45" spans="1:9" ht="20.100000000000001" customHeight="1" x14ac:dyDescent="0.25">
      <c r="A45" s="5"/>
      <c r="B45" s="1046" t="s">
        <v>219</v>
      </c>
      <c r="C45" s="1046"/>
      <c r="D45" s="1046" t="s">
        <v>249</v>
      </c>
      <c r="E45" s="1046"/>
      <c r="F45" s="1046"/>
      <c r="G45" s="1046"/>
      <c r="H45" s="1046"/>
      <c r="I45" s="10" t="s">
        <v>211</v>
      </c>
    </row>
    <row r="46" spans="1:9" ht="20.100000000000001" customHeight="1" x14ac:dyDescent="0.25">
      <c r="A46" s="5"/>
      <c r="B46" s="232"/>
      <c r="C46" s="232"/>
      <c r="D46" s="232"/>
      <c r="E46" s="232"/>
      <c r="F46" s="232"/>
      <c r="G46" s="232"/>
      <c r="H46" s="232"/>
      <c r="I46" s="11"/>
    </row>
    <row r="47" spans="1:9" ht="20.100000000000001" customHeight="1" x14ac:dyDescent="0.25">
      <c r="A47" s="5"/>
      <c r="B47" s="8"/>
      <c r="C47" s="177"/>
      <c r="D47" s="1048" t="s">
        <v>227</v>
      </c>
      <c r="E47" s="1049"/>
      <c r="F47" s="1049"/>
      <c r="G47" s="1049"/>
      <c r="H47" s="1050"/>
      <c r="I47" s="176"/>
    </row>
    <row r="48" spans="1:9" ht="20.100000000000001" customHeight="1" x14ac:dyDescent="0.25">
      <c r="A48" s="5"/>
      <c r="B48" s="1046" t="s">
        <v>226</v>
      </c>
      <c r="C48" s="1046"/>
      <c r="D48" s="1046" t="s">
        <v>281</v>
      </c>
      <c r="E48" s="1046"/>
      <c r="F48" s="1046"/>
      <c r="G48" s="1046"/>
      <c r="H48" s="1046"/>
      <c r="I48" s="231" t="s">
        <v>211</v>
      </c>
    </row>
    <row r="49" spans="1:9" ht="20.100000000000001" customHeight="1" x14ac:dyDescent="0.25">
      <c r="B49" s="1046" t="s">
        <v>219</v>
      </c>
      <c r="C49" s="1046"/>
      <c r="D49" s="1046" t="s">
        <v>280</v>
      </c>
      <c r="E49" s="1046"/>
      <c r="F49" s="1046"/>
      <c r="G49" s="1046"/>
      <c r="H49" s="1046"/>
      <c r="I49" s="231" t="s">
        <v>228</v>
      </c>
    </row>
    <row r="50" spans="1:9" ht="20.100000000000001" customHeight="1" x14ac:dyDescent="0.25">
      <c r="B50" s="232"/>
      <c r="C50" s="232"/>
      <c r="D50" s="232"/>
      <c r="E50" s="232"/>
      <c r="F50" s="232"/>
      <c r="G50" s="232"/>
      <c r="H50" s="232"/>
      <c r="I50" s="234"/>
    </row>
    <row r="51" spans="1:9" ht="20.100000000000001" customHeight="1" x14ac:dyDescent="0.25">
      <c r="B51" s="174"/>
      <c r="C51" s="179"/>
      <c r="D51" s="1048" t="s">
        <v>250</v>
      </c>
      <c r="E51" s="1049"/>
      <c r="F51" s="1049"/>
      <c r="G51" s="1049"/>
      <c r="H51" s="1050"/>
      <c r="I51" s="176"/>
    </row>
    <row r="52" spans="1:9" ht="20.100000000000001" customHeight="1" x14ac:dyDescent="0.25">
      <c r="B52" s="1046" t="s">
        <v>210</v>
      </c>
      <c r="C52" s="1046"/>
      <c r="D52" s="1046" t="s">
        <v>412</v>
      </c>
      <c r="E52" s="1046"/>
      <c r="F52" s="1046"/>
      <c r="G52" s="1046"/>
      <c r="H52" s="1046"/>
      <c r="I52" s="10" t="s">
        <v>211</v>
      </c>
    </row>
    <row r="53" spans="1:9" ht="20.100000000000001" customHeight="1" x14ac:dyDescent="0.25">
      <c r="B53" s="1046" t="s">
        <v>214</v>
      </c>
      <c r="C53" s="1046"/>
      <c r="D53" s="1046" t="s">
        <v>480</v>
      </c>
      <c r="E53" s="1046"/>
      <c r="F53" s="1046"/>
      <c r="G53" s="1046"/>
      <c r="H53" s="1046"/>
      <c r="I53" s="10" t="s">
        <v>216</v>
      </c>
    </row>
    <row r="54" spans="1:9" ht="20.100000000000001" customHeight="1" x14ac:dyDescent="0.25">
      <c r="B54" s="1046" t="s">
        <v>226</v>
      </c>
      <c r="C54" s="1046"/>
      <c r="D54" s="1046" t="s">
        <v>479</v>
      </c>
      <c r="E54" s="1046"/>
      <c r="F54" s="1046"/>
      <c r="G54" s="1046"/>
      <c r="H54" s="1046"/>
      <c r="I54" s="10" t="s">
        <v>252</v>
      </c>
    </row>
    <row r="55" spans="1:9" ht="20.100000000000001" customHeight="1" x14ac:dyDescent="0.25">
      <c r="B55" s="1046" t="s">
        <v>222</v>
      </c>
      <c r="C55" s="1046"/>
      <c r="D55" s="1046" t="s">
        <v>253</v>
      </c>
      <c r="E55" s="1046"/>
      <c r="F55" s="1046"/>
      <c r="G55" s="1046"/>
      <c r="H55" s="1046"/>
      <c r="I55" s="10" t="s">
        <v>216</v>
      </c>
    </row>
    <row r="56" spans="1:9" ht="20.100000000000001" customHeight="1" x14ac:dyDescent="0.25">
      <c r="A56" s="5"/>
      <c r="B56" s="1046" t="s">
        <v>217</v>
      </c>
      <c r="C56" s="1046"/>
      <c r="D56" s="1046" t="s">
        <v>254</v>
      </c>
      <c r="E56" s="1046"/>
      <c r="F56" s="1046"/>
      <c r="G56" s="1046"/>
      <c r="H56" s="1046"/>
      <c r="I56" s="10" t="s">
        <v>255</v>
      </c>
    </row>
    <row r="57" spans="1:9" ht="20.100000000000001" customHeight="1" x14ac:dyDescent="0.25">
      <c r="A57" s="5"/>
      <c r="B57" s="1046" t="s">
        <v>235</v>
      </c>
      <c r="C57" s="1046"/>
      <c r="D57" s="1046" t="s">
        <v>236</v>
      </c>
      <c r="E57" s="1046"/>
      <c r="F57" s="1046"/>
      <c r="G57" s="1046"/>
      <c r="H57" s="1046"/>
      <c r="I57" s="10" t="s">
        <v>216</v>
      </c>
    </row>
    <row r="58" spans="1:9" ht="20.100000000000001" customHeight="1" x14ac:dyDescent="0.25">
      <c r="A58" s="5"/>
      <c r="B58" s="1046" t="s">
        <v>219</v>
      </c>
      <c r="C58" s="1046"/>
      <c r="D58" s="1046" t="s">
        <v>249</v>
      </c>
      <c r="E58" s="1046"/>
      <c r="F58" s="1046"/>
      <c r="G58" s="1046"/>
      <c r="H58" s="1046"/>
      <c r="I58" s="10" t="s">
        <v>211</v>
      </c>
    </row>
    <row r="59" spans="1:9" ht="20.100000000000001" customHeight="1" x14ac:dyDescent="0.25">
      <c r="A59" s="5"/>
      <c r="B59" s="232"/>
      <c r="C59" s="232"/>
      <c r="D59" s="232"/>
      <c r="E59" s="232"/>
      <c r="F59" s="232"/>
      <c r="G59" s="232"/>
      <c r="H59" s="232"/>
      <c r="I59" s="11"/>
    </row>
    <row r="60" spans="1:9" ht="20.100000000000001" customHeight="1" x14ac:dyDescent="0.25">
      <c r="A60" s="5"/>
      <c r="B60" s="174"/>
      <c r="C60" s="179"/>
      <c r="D60" s="1048" t="s">
        <v>209</v>
      </c>
      <c r="E60" s="1049"/>
      <c r="F60" s="1049"/>
      <c r="G60" s="1049"/>
      <c r="H60" s="1050"/>
      <c r="I60" s="176"/>
    </row>
    <row r="61" spans="1:9" ht="20.100000000000001" customHeight="1" x14ac:dyDescent="0.25">
      <c r="A61" s="5"/>
      <c r="B61" s="1046" t="s">
        <v>210</v>
      </c>
      <c r="C61" s="1046"/>
      <c r="D61" s="1046" t="s">
        <v>282</v>
      </c>
      <c r="E61" s="1046"/>
      <c r="F61" s="1046"/>
      <c r="G61" s="1046"/>
      <c r="H61" s="1046"/>
      <c r="I61" s="231" t="s">
        <v>211</v>
      </c>
    </row>
    <row r="62" spans="1:9" ht="20.100000000000001" customHeight="1" x14ac:dyDescent="0.25">
      <c r="A62" s="5"/>
      <c r="B62" s="1046" t="s">
        <v>212</v>
      </c>
      <c r="C62" s="1046"/>
      <c r="D62" s="1046" t="s">
        <v>481</v>
      </c>
      <c r="E62" s="1046"/>
      <c r="F62" s="1046"/>
      <c r="G62" s="1046"/>
      <c r="H62" s="1046"/>
      <c r="I62" s="231" t="s">
        <v>213</v>
      </c>
    </row>
    <row r="63" spans="1:9" ht="20.100000000000001" customHeight="1" x14ac:dyDescent="0.25">
      <c r="A63" s="5"/>
      <c r="B63" s="1046" t="s">
        <v>214</v>
      </c>
      <c r="C63" s="1046"/>
      <c r="D63" s="1046" t="s">
        <v>215</v>
      </c>
      <c r="E63" s="1046"/>
      <c r="F63" s="1046"/>
      <c r="G63" s="1046"/>
      <c r="H63" s="1046"/>
      <c r="I63" s="231" t="s">
        <v>216</v>
      </c>
    </row>
    <row r="64" spans="1:9" ht="20.100000000000001" customHeight="1" x14ac:dyDescent="0.25">
      <c r="A64" s="5"/>
      <c r="B64" s="1046" t="s">
        <v>217</v>
      </c>
      <c r="C64" s="1046"/>
      <c r="D64" s="1047" t="s">
        <v>482</v>
      </c>
      <c r="E64" s="1047"/>
      <c r="F64" s="1047"/>
      <c r="G64" s="1047"/>
      <c r="H64" s="1047"/>
      <c r="I64" s="231" t="s">
        <v>483</v>
      </c>
    </row>
    <row r="65" spans="1:9" ht="20.100000000000001" customHeight="1" x14ac:dyDescent="0.25">
      <c r="A65" s="5"/>
      <c r="B65" s="1046" t="s">
        <v>219</v>
      </c>
      <c r="C65" s="1046"/>
      <c r="D65" s="1046" t="s">
        <v>277</v>
      </c>
      <c r="E65" s="1046"/>
      <c r="F65" s="1046"/>
      <c r="G65" s="1046"/>
      <c r="H65" s="1046"/>
      <c r="I65" s="231" t="s">
        <v>220</v>
      </c>
    </row>
    <row r="66" spans="1:9" ht="20.100000000000001" customHeight="1" x14ac:dyDescent="0.25">
      <c r="A66" s="5"/>
      <c r="B66" s="232"/>
      <c r="C66" s="232"/>
      <c r="D66" s="232"/>
      <c r="E66" s="232"/>
      <c r="F66" s="232"/>
      <c r="G66" s="232"/>
      <c r="H66" s="232"/>
      <c r="I66" s="234"/>
    </row>
    <row r="67" spans="1:9" ht="20.100000000000001" customHeight="1" x14ac:dyDescent="0.25">
      <c r="A67" s="5"/>
      <c r="B67" s="235"/>
      <c r="C67" s="236"/>
      <c r="D67" s="1062" t="s">
        <v>221</v>
      </c>
      <c r="E67" s="1049"/>
      <c r="F67" s="1049"/>
      <c r="G67" s="1049"/>
      <c r="H67" s="1049"/>
      <c r="I67" s="237"/>
    </row>
    <row r="68" spans="1:9" ht="20.100000000000001" customHeight="1" x14ac:dyDescent="0.25">
      <c r="A68" s="5"/>
      <c r="B68" s="1046" t="s">
        <v>222</v>
      </c>
      <c r="C68" s="1046"/>
      <c r="D68" s="1046" t="s">
        <v>223</v>
      </c>
      <c r="E68" s="1046"/>
      <c r="F68" s="1046"/>
      <c r="G68" s="1046"/>
      <c r="H68" s="1046"/>
      <c r="I68" s="231" t="s">
        <v>224</v>
      </c>
    </row>
    <row r="69" spans="1:9" ht="20.100000000000001" customHeight="1" x14ac:dyDescent="0.25">
      <c r="A69" s="5"/>
      <c r="B69" s="1046" t="s">
        <v>214</v>
      </c>
      <c r="C69" s="1046"/>
      <c r="D69" s="1046" t="s">
        <v>484</v>
      </c>
      <c r="E69" s="1046"/>
      <c r="F69" s="1046"/>
      <c r="G69" s="1046"/>
      <c r="H69" s="1046"/>
      <c r="I69" s="231" t="s">
        <v>216</v>
      </c>
    </row>
    <row r="70" spans="1:9" ht="20.100000000000001" customHeight="1" x14ac:dyDescent="0.25">
      <c r="A70" s="5"/>
      <c r="B70" s="1046" t="s">
        <v>217</v>
      </c>
      <c r="C70" s="1046"/>
      <c r="D70" s="1046" t="s">
        <v>270</v>
      </c>
      <c r="E70" s="1046"/>
      <c r="F70" s="1046"/>
      <c r="G70" s="1046"/>
      <c r="H70" s="1046"/>
      <c r="I70" s="231" t="s">
        <v>225</v>
      </c>
    </row>
    <row r="71" spans="1:9" ht="20.100000000000001" customHeight="1" x14ac:dyDescent="0.25">
      <c r="A71" s="5"/>
      <c r="B71" s="1046" t="s">
        <v>226</v>
      </c>
      <c r="C71" s="1046"/>
      <c r="D71" s="1046" t="s">
        <v>481</v>
      </c>
      <c r="E71" s="1046"/>
      <c r="F71" s="1046"/>
      <c r="G71" s="1046"/>
      <c r="H71" s="1046"/>
      <c r="I71" s="231" t="s">
        <v>213</v>
      </c>
    </row>
    <row r="72" spans="1:9" ht="20.100000000000001" customHeight="1" x14ac:dyDescent="0.25">
      <c r="A72" s="5"/>
      <c r="B72" s="232"/>
      <c r="C72" s="232"/>
      <c r="D72" s="232"/>
      <c r="E72" s="232"/>
      <c r="F72" s="232"/>
      <c r="G72" s="232"/>
      <c r="H72" s="232"/>
      <c r="I72" s="234"/>
    </row>
    <row r="73" spans="1:9" ht="20.100000000000001" customHeight="1" x14ac:dyDescent="0.25">
      <c r="A73" s="5"/>
      <c r="B73" s="174"/>
      <c r="C73" s="179"/>
      <c r="D73" s="1048" t="s">
        <v>256</v>
      </c>
      <c r="E73" s="1049"/>
      <c r="F73" s="1049"/>
      <c r="G73" s="1049"/>
      <c r="H73" s="1049"/>
      <c r="I73" s="176"/>
    </row>
    <row r="74" spans="1:9" ht="20.100000000000001" customHeight="1" x14ac:dyDescent="0.25">
      <c r="A74" s="5"/>
      <c r="B74" s="1046" t="s">
        <v>210</v>
      </c>
      <c r="C74" s="1046"/>
      <c r="D74" s="1046" t="s">
        <v>485</v>
      </c>
      <c r="E74" s="1046"/>
      <c r="F74" s="1046"/>
      <c r="G74" s="1046"/>
      <c r="H74" s="1046"/>
      <c r="I74" s="10" t="s">
        <v>216</v>
      </c>
    </row>
    <row r="75" spans="1:9" ht="20.100000000000001" customHeight="1" x14ac:dyDescent="0.25">
      <c r="A75" s="5"/>
      <c r="B75" s="1046" t="s">
        <v>226</v>
      </c>
      <c r="C75" s="1046"/>
      <c r="D75" s="1046" t="s">
        <v>283</v>
      </c>
      <c r="E75" s="1046"/>
      <c r="F75" s="1046"/>
      <c r="G75" s="1046"/>
      <c r="H75" s="1046"/>
      <c r="I75" s="10" t="s">
        <v>243</v>
      </c>
    </row>
    <row r="76" spans="1:9" ht="20.100000000000001" customHeight="1" x14ac:dyDescent="0.25">
      <c r="A76" s="5"/>
      <c r="B76" s="1046" t="s">
        <v>219</v>
      </c>
      <c r="C76" s="1046"/>
      <c r="D76" s="1046" t="s">
        <v>279</v>
      </c>
      <c r="E76" s="1046"/>
      <c r="F76" s="1046"/>
      <c r="G76" s="1046"/>
      <c r="H76" s="1046"/>
      <c r="I76" s="10" t="s">
        <v>234</v>
      </c>
    </row>
    <row r="77" spans="1:9" ht="20.100000000000001" customHeight="1" x14ac:dyDescent="0.25"/>
    <row r="78" spans="1:9" ht="20.100000000000001" customHeight="1" x14ac:dyDescent="0.25">
      <c r="A78" s="5"/>
      <c r="B78" s="174"/>
      <c r="C78" s="179"/>
      <c r="D78" s="1048" t="s">
        <v>258</v>
      </c>
      <c r="E78" s="1049"/>
      <c r="F78" s="1049"/>
      <c r="G78" s="1049"/>
      <c r="H78" s="1049"/>
      <c r="I78" s="176"/>
    </row>
    <row r="79" spans="1:9" ht="20.100000000000001" customHeight="1" x14ac:dyDescent="0.25">
      <c r="A79" s="5"/>
      <c r="B79" s="1046" t="s">
        <v>210</v>
      </c>
      <c r="C79" s="1046"/>
      <c r="D79" s="1046" t="s">
        <v>257</v>
      </c>
      <c r="E79" s="1046"/>
      <c r="F79" s="1046"/>
      <c r="G79" s="1046"/>
      <c r="H79" s="1046"/>
      <c r="I79" s="10" t="s">
        <v>234</v>
      </c>
    </row>
    <row r="80" spans="1:9" ht="20.100000000000001" customHeight="1" x14ac:dyDescent="0.25">
      <c r="A80" s="5"/>
      <c r="B80" s="1046" t="s">
        <v>226</v>
      </c>
      <c r="C80" s="1046"/>
      <c r="D80" s="1046" t="s">
        <v>283</v>
      </c>
      <c r="E80" s="1046"/>
      <c r="F80" s="1046"/>
      <c r="G80" s="1046"/>
      <c r="H80" s="1046"/>
      <c r="I80" s="10" t="s">
        <v>240</v>
      </c>
    </row>
    <row r="81" spans="1:9" ht="20.100000000000001" customHeight="1" x14ac:dyDescent="0.25">
      <c r="A81" s="5"/>
      <c r="B81" s="1046" t="s">
        <v>219</v>
      </c>
      <c r="C81" s="1046"/>
      <c r="D81" s="1046" t="s">
        <v>279</v>
      </c>
      <c r="E81" s="1046"/>
      <c r="F81" s="1046"/>
      <c r="G81" s="1046"/>
      <c r="H81" s="1046"/>
      <c r="I81" s="10" t="s">
        <v>240</v>
      </c>
    </row>
    <row r="82" spans="1:9" ht="20.100000000000001" customHeight="1" x14ac:dyDescent="0.25"/>
    <row r="83" spans="1:9" ht="20.100000000000001" customHeight="1" x14ac:dyDescent="0.25">
      <c r="A83" s="5"/>
      <c r="B83" s="174"/>
      <c r="C83" s="174"/>
      <c r="D83" s="1048" t="s">
        <v>259</v>
      </c>
      <c r="E83" s="1049"/>
      <c r="F83" s="1049"/>
      <c r="G83" s="1049"/>
      <c r="H83" s="1050"/>
      <c r="I83" s="174"/>
    </row>
    <row r="84" spans="1:9" s="85" customFormat="1" ht="20.100000000000001" customHeight="1" x14ac:dyDescent="0.25">
      <c r="A84" s="83"/>
      <c r="B84" s="1047" t="s">
        <v>210</v>
      </c>
      <c r="C84" s="1047"/>
      <c r="D84" s="1047" t="s">
        <v>285</v>
      </c>
      <c r="E84" s="1047"/>
      <c r="F84" s="1047"/>
      <c r="G84" s="1047"/>
      <c r="H84" s="1047"/>
      <c r="I84" s="84" t="s">
        <v>211</v>
      </c>
    </row>
    <row r="85" spans="1:9" ht="20.100000000000001" customHeight="1" x14ac:dyDescent="0.25">
      <c r="A85" s="5"/>
      <c r="B85" s="1043" t="s">
        <v>214</v>
      </c>
      <c r="C85" s="1044"/>
      <c r="D85" s="1043" t="s">
        <v>486</v>
      </c>
      <c r="E85" s="1045"/>
      <c r="F85" s="1045"/>
      <c r="G85" s="1045"/>
      <c r="H85" s="1044"/>
      <c r="I85" s="10" t="s">
        <v>251</v>
      </c>
    </row>
    <row r="86" spans="1:9" ht="20.100000000000001" customHeight="1" x14ac:dyDescent="0.25">
      <c r="A86" s="5"/>
      <c r="B86" s="1043" t="s">
        <v>226</v>
      </c>
      <c r="C86" s="1044"/>
      <c r="D86" s="1043" t="s">
        <v>284</v>
      </c>
      <c r="E86" s="1045"/>
      <c r="F86" s="1045"/>
      <c r="G86" s="1045"/>
      <c r="H86" s="1044"/>
      <c r="I86" s="10" t="s">
        <v>229</v>
      </c>
    </row>
    <row r="87" spans="1:9" ht="20.100000000000001" customHeight="1" x14ac:dyDescent="0.25">
      <c r="A87" s="5"/>
      <c r="B87" s="1043" t="s">
        <v>222</v>
      </c>
      <c r="C87" s="1044"/>
      <c r="D87" s="1043" t="s">
        <v>253</v>
      </c>
      <c r="E87" s="1045"/>
      <c r="F87" s="1045"/>
      <c r="G87" s="1045"/>
      <c r="H87" s="1044"/>
      <c r="I87" s="10" t="s">
        <v>216</v>
      </c>
    </row>
    <row r="88" spans="1:9" ht="20.100000000000001" customHeight="1" x14ac:dyDescent="0.25">
      <c r="A88" s="5"/>
      <c r="B88" s="1043" t="s">
        <v>217</v>
      </c>
      <c r="C88" s="1044"/>
      <c r="D88" s="1043" t="s">
        <v>260</v>
      </c>
      <c r="E88" s="1045"/>
      <c r="F88" s="1045"/>
      <c r="G88" s="1045"/>
      <c r="H88" s="1044"/>
      <c r="I88" s="10" t="s">
        <v>255</v>
      </c>
    </row>
    <row r="89" spans="1:9" ht="20.100000000000001" customHeight="1" x14ac:dyDescent="0.25">
      <c r="A89" s="5"/>
      <c r="B89" s="1043" t="s">
        <v>235</v>
      </c>
      <c r="C89" s="1044"/>
      <c r="D89" s="1043" t="s">
        <v>236</v>
      </c>
      <c r="E89" s="1045"/>
      <c r="F89" s="1045"/>
      <c r="G89" s="1045"/>
      <c r="H89" s="1044"/>
      <c r="I89" s="10" t="s">
        <v>216</v>
      </c>
    </row>
    <row r="90" spans="1:9" ht="20.100000000000001" customHeight="1" x14ac:dyDescent="0.25">
      <c r="A90" s="5"/>
      <c r="B90" s="1046" t="s">
        <v>219</v>
      </c>
      <c r="C90" s="1046"/>
      <c r="D90" s="1046" t="s">
        <v>249</v>
      </c>
      <c r="E90" s="1046"/>
      <c r="F90" s="1046"/>
      <c r="G90" s="1046"/>
      <c r="H90" s="1046"/>
      <c r="I90" s="10" t="s">
        <v>211</v>
      </c>
    </row>
    <row r="91" spans="1:9" ht="18.75" customHeight="1" x14ac:dyDescent="0.25">
      <c r="B91" s="238"/>
      <c r="C91" s="175"/>
      <c r="D91" s="1063"/>
      <c r="E91" s="1064"/>
      <c r="F91" s="1064"/>
      <c r="G91" s="1064"/>
      <c r="H91" s="1064"/>
      <c r="I91" s="175"/>
    </row>
    <row r="92" spans="1:9" s="85" customFormat="1" ht="14.65" customHeight="1" x14ac:dyDescent="0.25">
      <c r="D92" s="1058" t="s">
        <v>410</v>
      </c>
      <c r="E92" s="971"/>
      <c r="F92" s="971"/>
      <c r="G92" s="971"/>
      <c r="H92" s="971"/>
    </row>
    <row r="93" spans="1:9" x14ac:dyDescent="0.25">
      <c r="A93" s="239"/>
      <c r="B93" s="239"/>
      <c r="C93" s="239"/>
      <c r="D93" s="1059" t="s">
        <v>411</v>
      </c>
      <c r="E93" s="796"/>
      <c r="F93" s="796"/>
      <c r="G93" s="796"/>
      <c r="H93" s="796"/>
    </row>
  </sheetData>
  <sheetProtection algorithmName="SHA-512" hashValue="Lx0kKL3Gr8zeKGS9GyhDOQ/R7SnBsQGvgKS8gbcUARBtuYxbkm7/RSOTb59Z5I4eAnCbzbUQlYXZvFMQovpxKw==" saltValue="PqRsqOiw5S+YCBLd0CFr4w==" spinCount="100000" sheet="1" scenarios="1" formatCells="0" formatColumns="0" formatRows="0" sort="0" autoFilter="0"/>
  <mergeCells count="143">
    <mergeCell ref="D92:H92"/>
    <mergeCell ref="D93:H93"/>
    <mergeCell ref="D33:H33"/>
    <mergeCell ref="D39:H39"/>
    <mergeCell ref="D47:H47"/>
    <mergeCell ref="D13:H13"/>
    <mergeCell ref="D5:H5"/>
    <mergeCell ref="D28:H28"/>
    <mergeCell ref="D60:H60"/>
    <mergeCell ref="D67:H67"/>
    <mergeCell ref="D73:H73"/>
    <mergeCell ref="D78:H78"/>
    <mergeCell ref="D83:H83"/>
    <mergeCell ref="D51:H51"/>
    <mergeCell ref="D91:H91"/>
    <mergeCell ref="A1:I1"/>
    <mergeCell ref="B3:C3"/>
    <mergeCell ref="D3:H3"/>
    <mergeCell ref="B61:C61"/>
    <mergeCell ref="D61:H61"/>
    <mergeCell ref="B10:C10"/>
    <mergeCell ref="D10:H10"/>
    <mergeCell ref="B11:C11"/>
    <mergeCell ref="D11:H11"/>
    <mergeCell ref="B14:C14"/>
    <mergeCell ref="D14:H14"/>
    <mergeCell ref="B6:C6"/>
    <mergeCell ref="D6:H6"/>
    <mergeCell ref="B7:C7"/>
    <mergeCell ref="D7:H7"/>
    <mergeCell ref="B9:C9"/>
    <mergeCell ref="D9:H9"/>
    <mergeCell ref="D8:H8"/>
    <mergeCell ref="D25:H25"/>
    <mergeCell ref="B25:C25"/>
    <mergeCell ref="B23:C23"/>
    <mergeCell ref="D26:H26"/>
    <mergeCell ref="B37:C37"/>
    <mergeCell ref="D37:H37"/>
    <mergeCell ref="B34:C34"/>
    <mergeCell ref="D34:H34"/>
    <mergeCell ref="B35:C35"/>
    <mergeCell ref="D35:H35"/>
    <mergeCell ref="B36:C36"/>
    <mergeCell ref="D27:H27"/>
    <mergeCell ref="B26:C26"/>
    <mergeCell ref="B27:C27"/>
    <mergeCell ref="D36:H36"/>
    <mergeCell ref="B40:C40"/>
    <mergeCell ref="D40:H40"/>
    <mergeCell ref="B41:C41"/>
    <mergeCell ref="D41:H41"/>
    <mergeCell ref="B64:C64"/>
    <mergeCell ref="D64:H64"/>
    <mergeCell ref="B45:C45"/>
    <mergeCell ref="D45:H45"/>
    <mergeCell ref="B52:C52"/>
    <mergeCell ref="D52:H52"/>
    <mergeCell ref="B53:C53"/>
    <mergeCell ref="D53:H53"/>
    <mergeCell ref="B42:C42"/>
    <mergeCell ref="D42:H42"/>
    <mergeCell ref="B43:C43"/>
    <mergeCell ref="D43:H43"/>
    <mergeCell ref="B44:C44"/>
    <mergeCell ref="D44:H44"/>
    <mergeCell ref="B48:C48"/>
    <mergeCell ref="D48:H48"/>
    <mergeCell ref="B49:C49"/>
    <mergeCell ref="D49:H49"/>
    <mergeCell ref="B57:C57"/>
    <mergeCell ref="D57:H57"/>
    <mergeCell ref="B8:C8"/>
    <mergeCell ref="B29:C29"/>
    <mergeCell ref="D29:H29"/>
    <mergeCell ref="B30:C30"/>
    <mergeCell ref="D30:H30"/>
    <mergeCell ref="B31:C31"/>
    <mergeCell ref="D31:H31"/>
    <mergeCell ref="B15:C15"/>
    <mergeCell ref="D15:H15"/>
    <mergeCell ref="B16:C16"/>
    <mergeCell ref="D16:H16"/>
    <mergeCell ref="B17:C17"/>
    <mergeCell ref="D17:H17"/>
    <mergeCell ref="B20:C20"/>
    <mergeCell ref="B21:C21"/>
    <mergeCell ref="B22:C22"/>
    <mergeCell ref="B24:C24"/>
    <mergeCell ref="D19:H19"/>
    <mergeCell ref="D20:H20"/>
    <mergeCell ref="D21:H21"/>
    <mergeCell ref="D22:H22"/>
    <mergeCell ref="D23:H23"/>
    <mergeCell ref="D24:H24"/>
    <mergeCell ref="B58:C58"/>
    <mergeCell ref="D58:H58"/>
    <mergeCell ref="B74:C74"/>
    <mergeCell ref="D74:H74"/>
    <mergeCell ref="B54:C54"/>
    <mergeCell ref="D54:H54"/>
    <mergeCell ref="B55:C55"/>
    <mergeCell ref="D55:H55"/>
    <mergeCell ref="B56:C56"/>
    <mergeCell ref="D56:H56"/>
    <mergeCell ref="B71:C71"/>
    <mergeCell ref="D71:H71"/>
    <mergeCell ref="B68:C68"/>
    <mergeCell ref="D68:H68"/>
    <mergeCell ref="B69:C69"/>
    <mergeCell ref="D69:H69"/>
    <mergeCell ref="B70:C70"/>
    <mergeCell ref="D70:H70"/>
    <mergeCell ref="B62:C62"/>
    <mergeCell ref="D62:H62"/>
    <mergeCell ref="B63:C63"/>
    <mergeCell ref="D63:H63"/>
    <mergeCell ref="B65:C65"/>
    <mergeCell ref="D65:H65"/>
    <mergeCell ref="B80:C80"/>
    <mergeCell ref="D80:H80"/>
    <mergeCell ref="B81:C81"/>
    <mergeCell ref="D81:H81"/>
    <mergeCell ref="B84:C84"/>
    <mergeCell ref="D84:H84"/>
    <mergeCell ref="B75:C75"/>
    <mergeCell ref="D75:H75"/>
    <mergeCell ref="B76:C76"/>
    <mergeCell ref="D76:H76"/>
    <mergeCell ref="B79:C79"/>
    <mergeCell ref="D79:H79"/>
    <mergeCell ref="B88:C88"/>
    <mergeCell ref="D88:H88"/>
    <mergeCell ref="B89:C89"/>
    <mergeCell ref="D89:H89"/>
    <mergeCell ref="B90:C90"/>
    <mergeCell ref="D90:H90"/>
    <mergeCell ref="B85:C85"/>
    <mergeCell ref="D85:H85"/>
    <mergeCell ref="B86:C86"/>
    <mergeCell ref="D86:H86"/>
    <mergeCell ref="B87:C87"/>
    <mergeCell ref="D87:H87"/>
  </mergeCells>
  <pageMargins left="0.45" right="0.7" top="0.5" bottom="0.5" header="0.3" footer="0.3"/>
  <pageSetup scale="89" fitToHeight="0" orientation="portrait" r:id="rId1"/>
  <rowBreaks count="2" manualBreakCount="2">
    <brk id="37" max="8" man="1"/>
    <brk id="71"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Go_To_Cover_Crop_Worksheet">
                <anchor moveWithCells="1" sizeWithCells="1">
                  <from>
                    <xdr:col>0</xdr:col>
                    <xdr:colOff>371475</xdr:colOff>
                    <xdr:row>1</xdr:row>
                    <xdr:rowOff>76200</xdr:rowOff>
                  </from>
                  <to>
                    <xdr:col>3</xdr:col>
                    <xdr:colOff>409575</xdr:colOff>
                    <xdr:row>1</xdr:row>
                    <xdr:rowOff>390525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EF303-B7FC-46AE-A182-9F9D5AC51EE9}">
  <sheetPr codeName="Sheet16">
    <pageSetUpPr fitToPage="1"/>
  </sheetPr>
  <dimension ref="A1:R89"/>
  <sheetViews>
    <sheetView showGridLines="0" showZeros="0" zoomScale="115" zoomScaleNormal="115" workbookViewId="0">
      <selection activeCell="C5" sqref="C5:F5"/>
    </sheetView>
  </sheetViews>
  <sheetFormatPr defaultColWidth="9.140625" defaultRowHeight="12.75" x14ac:dyDescent="0.2"/>
  <cols>
    <col min="1" max="1" width="5.7109375" style="5" customWidth="1"/>
    <col min="2" max="2" width="9.140625" style="5" customWidth="1"/>
    <col min="3" max="3" width="10" style="5" customWidth="1"/>
    <col min="4" max="4" width="9.5703125" style="5" customWidth="1"/>
    <col min="5" max="5" width="17" style="5" customWidth="1"/>
    <col min="6" max="6" width="8.5703125" style="5" customWidth="1"/>
    <col min="7" max="7" width="7.7109375" style="5" customWidth="1"/>
    <col min="8" max="8" width="11" style="5" customWidth="1"/>
    <col min="9" max="9" width="9.140625" style="5" customWidth="1"/>
    <col min="10" max="10" width="11.5703125" style="5" customWidth="1"/>
    <col min="11" max="11" width="8.7109375" style="5" customWidth="1"/>
    <col min="12" max="12" width="10.42578125" style="5" customWidth="1"/>
    <col min="13" max="13" width="15.140625" style="5" customWidth="1"/>
    <col min="14" max="14" width="7.7109375" style="5" customWidth="1"/>
    <col min="15" max="15" width="11" style="5" customWidth="1"/>
    <col min="16" max="16" width="6.140625" style="5" hidden="1" customWidth="1"/>
    <col min="17" max="17" width="8" style="5" hidden="1" customWidth="1"/>
    <col min="18" max="18" width="6.140625" style="5" hidden="1" customWidth="1"/>
    <col min="19" max="19" width="6.140625" style="5" customWidth="1"/>
    <col min="20" max="20" width="10.85546875" style="5" customWidth="1"/>
    <col min="21" max="28" width="9.140625" style="5"/>
    <col min="29" max="29" width="15.42578125" style="5" customWidth="1"/>
    <col min="30" max="32" width="9.140625" style="5"/>
    <col min="33" max="33" width="5.140625" style="5" customWidth="1"/>
    <col min="34" max="34" width="27.7109375" style="5" customWidth="1"/>
    <col min="35" max="35" width="3.7109375" style="5" customWidth="1"/>
    <col min="36" max="36" width="9.140625" style="5"/>
    <col min="37" max="37" width="4.140625" style="5" customWidth="1"/>
    <col min="38" max="38" width="5" style="5" customWidth="1"/>
    <col min="39" max="39" width="25.85546875" style="5" customWidth="1"/>
    <col min="40" max="16384" width="9.140625" style="5"/>
  </cols>
  <sheetData>
    <row r="1" spans="1:18" x14ac:dyDescent="0.2">
      <c r="A1" s="1106">
        <v>0</v>
      </c>
      <c r="B1" s="1106"/>
      <c r="M1" s="7"/>
    </row>
    <row r="2" spans="1:18" ht="23.25" x14ac:dyDescent="0.35">
      <c r="B2" s="1109" t="s">
        <v>754</v>
      </c>
      <c r="C2" s="1110"/>
      <c r="D2" s="1110"/>
      <c r="E2" s="1110"/>
      <c r="F2" s="1110"/>
      <c r="G2" s="1110"/>
      <c r="H2" s="1110"/>
      <c r="I2" s="1110"/>
      <c r="J2" s="1110"/>
      <c r="K2" s="1110"/>
      <c r="L2" s="1110"/>
      <c r="M2" s="1110"/>
    </row>
    <row r="3" spans="1:18" ht="15" x14ac:dyDescent="0.25">
      <c r="B3" s="1111" t="s">
        <v>755</v>
      </c>
      <c r="C3" s="1112"/>
      <c r="D3" s="1112"/>
      <c r="E3" s="1112"/>
      <c r="F3" s="1112"/>
      <c r="G3" s="1112"/>
      <c r="H3" s="1112"/>
      <c r="I3" s="1112"/>
      <c r="J3" s="1112"/>
      <c r="K3" s="1112"/>
      <c r="L3" s="1112"/>
      <c r="M3" s="439"/>
    </row>
    <row r="4" spans="1:18" ht="15" x14ac:dyDescent="0.25">
      <c r="B4" s="1111"/>
      <c r="C4" s="1112"/>
      <c r="D4" s="1112"/>
      <c r="E4" s="1112"/>
      <c r="F4" s="1112"/>
      <c r="G4" s="1112"/>
      <c r="H4" s="1112"/>
      <c r="I4" s="1112"/>
      <c r="J4" s="1112"/>
      <c r="K4" s="1112"/>
      <c r="L4" s="1112"/>
    </row>
    <row r="5" spans="1:18" ht="24" customHeight="1" x14ac:dyDescent="0.2">
      <c r="B5" s="9" t="s">
        <v>742</v>
      </c>
      <c r="C5" s="1107"/>
      <c r="D5" s="1107"/>
      <c r="E5" s="1107"/>
      <c r="F5" s="1107"/>
      <c r="H5" s="6" t="s">
        <v>741</v>
      </c>
      <c r="I5" s="6"/>
      <c r="J5" s="1107"/>
      <c r="K5" s="1107"/>
      <c r="M5" s="554" t="s">
        <v>669</v>
      </c>
    </row>
    <row r="6" spans="1:18" ht="13.5" customHeight="1" x14ac:dyDescent="0.2">
      <c r="B6" s="1113"/>
      <c r="C6" s="1113"/>
      <c r="H6" s="6"/>
      <c r="I6" s="6"/>
      <c r="J6" s="6"/>
      <c r="K6" s="6"/>
      <c r="M6" s="439"/>
    </row>
    <row r="7" spans="1:18" ht="13.5" customHeight="1" x14ac:dyDescent="0.25">
      <c r="B7" s="9" t="s">
        <v>740</v>
      </c>
      <c r="D7" s="1107"/>
      <c r="E7" s="1108"/>
      <c r="F7" s="1108"/>
      <c r="G7" s="553"/>
      <c r="H7" s="6" t="s">
        <v>739</v>
      </c>
      <c r="I7" s="6"/>
      <c r="J7" s="1114"/>
      <c r="K7" s="1107"/>
      <c r="M7" s="569"/>
    </row>
    <row r="8" spans="1:18" ht="16.5" customHeight="1" thickBot="1" x14ac:dyDescent="0.25">
      <c r="B8" s="9"/>
      <c r="H8" s="6"/>
      <c r="I8" s="6"/>
      <c r="J8" s="552"/>
      <c r="K8" s="552"/>
    </row>
    <row r="9" spans="1:18" ht="25.5" customHeight="1" thickTop="1" x14ac:dyDescent="0.25">
      <c r="B9" s="551"/>
      <c r="C9" s="550"/>
      <c r="D9" s="550"/>
      <c r="E9" s="549"/>
      <c r="F9" s="1087" t="s">
        <v>738</v>
      </c>
      <c r="G9" s="1088"/>
      <c r="H9" s="1089"/>
      <c r="I9" s="1085" t="s">
        <v>737</v>
      </c>
      <c r="J9" s="1086"/>
      <c r="K9" s="548" t="s">
        <v>736</v>
      </c>
      <c r="L9" s="547">
        <v>0.6</v>
      </c>
      <c r="M9" s="546" t="s">
        <v>180</v>
      </c>
      <c r="N9" s="545" t="s">
        <v>180</v>
      </c>
      <c r="P9" s="480" t="b">
        <v>0</v>
      </c>
      <c r="Q9" s="480" t="b">
        <v>0</v>
      </c>
      <c r="R9" s="480" t="b">
        <v>1</v>
      </c>
    </row>
    <row r="10" spans="1:18" ht="23.45" customHeight="1" x14ac:dyDescent="0.25">
      <c r="B10" s="544" t="s">
        <v>735</v>
      </c>
      <c r="C10" s="543"/>
      <c r="E10" s="478"/>
      <c r="F10" s="542" t="s">
        <v>734</v>
      </c>
      <c r="G10" s="1090" t="s">
        <v>733</v>
      </c>
      <c r="H10" s="1091"/>
      <c r="I10" s="1092" t="s">
        <v>732</v>
      </c>
      <c r="J10" s="1093"/>
      <c r="K10" s="1092" t="s">
        <v>731</v>
      </c>
      <c r="L10" s="1093"/>
      <c r="M10" s="541"/>
      <c r="N10" s="540"/>
    </row>
    <row r="11" spans="1:18" ht="45" customHeight="1" x14ac:dyDescent="0.2">
      <c r="B11" s="539" t="s">
        <v>730</v>
      </c>
      <c r="C11" s="538" t="s">
        <v>729</v>
      </c>
      <c r="D11" s="538" t="s">
        <v>728</v>
      </c>
      <c r="E11" s="538" t="s">
        <v>727</v>
      </c>
      <c r="F11" s="536" t="s">
        <v>726</v>
      </c>
      <c r="G11" s="536" t="s">
        <v>725</v>
      </c>
      <c r="H11" s="535" t="s">
        <v>724</v>
      </c>
      <c r="I11" s="537" t="s">
        <v>723</v>
      </c>
      <c r="J11" s="537" t="s">
        <v>722</v>
      </c>
      <c r="K11" s="536" t="s">
        <v>721</v>
      </c>
      <c r="L11" s="535" t="s">
        <v>720</v>
      </c>
      <c r="M11" s="534" t="s">
        <v>719</v>
      </c>
      <c r="N11" s="533" t="s">
        <v>718</v>
      </c>
    </row>
    <row r="12" spans="1:18" ht="20.25" customHeight="1" x14ac:dyDescent="0.25">
      <c r="B12" s="532"/>
      <c r="C12" s="531"/>
      <c r="D12" s="531"/>
      <c r="E12" s="531"/>
      <c r="F12" s="531"/>
      <c r="G12" s="530" t="str">
        <f t="shared" ref="G12:G20" si="0">IF(OR(D12="",H12=""),"",H12/D12)</f>
        <v/>
      </c>
      <c r="H12" s="524">
        <f t="shared" ref="H12:H20" si="1">IFERROR(IF(E12="",0,(VLOOKUP(E12,CropsAUMs,4,FALSE)*F12*D12)),0)</f>
        <v>0</v>
      </c>
      <c r="I12" s="483"/>
      <c r="J12" s="531" t="str">
        <f>IF(Graze!$I12&gt;0,DATA!$BF$11,"")</f>
        <v/>
      </c>
      <c r="K12" s="530" t="str">
        <f t="shared" ref="K12:K20" si="2">IFERROR(IF(OR(I12="",L12=""),"",L12/D12),"")</f>
        <v/>
      </c>
      <c r="L12" s="524">
        <f t="shared" ref="L12:L20" si="3">IFERROR(IF($P$9=TRUE,$P12,IF($Q$9=TRUE,$Q12,IF($R$9=TRUE,$R12,0))),0)</f>
        <v>0</v>
      </c>
      <c r="M12" s="525">
        <f>H12+L12</f>
        <v>0</v>
      </c>
      <c r="N12" s="524" t="str">
        <f t="shared" ref="N12:N20" si="4">IF(AND(M12&gt;0,D12&gt;0),M12/D12,"")</f>
        <v/>
      </c>
      <c r="P12" s="529" t="str">
        <f>IF(P$9=FALSE,"",IF($J12&gt;=DATA!$BF$11,(($I12-$J12)*$D12*DATA!$BF$22*$L$9)/DATA!$BF$19,(((DATA!$BF$11-$J12)/DATA!$BF$11*DATA!$BE$22*$D12*$L$9)+(($I12-DATA!$BF$11)*$D12*DATA!$BF$22*$L$9))/DATA!$BF$19))</f>
        <v/>
      </c>
      <c r="Q12" s="529" t="str">
        <f>IF(Q$9=FALSE,"",IF($J12&gt;=DATA!$BF$11,(($I12-$J12)*$D12*DATA!$BF$23*$L$9)/DATA!$BF$19,(((DATA!$BF$11-$J12)/DATA!$BF$11*DATA!$BE$23*$D12*$L$9)+(($I12-DATA!$BF$11)*$D12*DATA!$BF$23*$L$9))/DATA!$BF$19))</f>
        <v/>
      </c>
      <c r="R12" s="529" t="e">
        <f>IF(R$9=FALSE,"",IF($J12&gt;=DATA!$BF$11,(($I12-$J12)*$D12*DATA!$BF$24*$L$9)/DATA!$BF$19,(((DATA!$BF$11-$J12)/DATA!$BF$11*DATA!$BE$24*$D12*$L$9)+(($I12-DATA!$BF$11)*$D12*DATA!$BF$24*$L$9))/DATA!$BF$19))</f>
        <v>#VALUE!</v>
      </c>
    </row>
    <row r="13" spans="1:18" ht="20.25" customHeight="1" x14ac:dyDescent="0.25">
      <c r="B13" s="532"/>
      <c r="C13" s="531"/>
      <c r="D13" s="531"/>
      <c r="E13" s="531"/>
      <c r="F13" s="531"/>
      <c r="G13" s="530" t="str">
        <f t="shared" si="0"/>
        <v/>
      </c>
      <c r="H13" s="524">
        <f t="shared" si="1"/>
        <v>0</v>
      </c>
      <c r="I13" s="483"/>
      <c r="J13" s="531" t="str">
        <f>IF(Graze!$I13&gt;0,DATA!$BF$11,"")</f>
        <v/>
      </c>
      <c r="K13" s="530" t="str">
        <f t="shared" si="2"/>
        <v/>
      </c>
      <c r="L13" s="524">
        <f t="shared" si="3"/>
        <v>0</v>
      </c>
      <c r="M13" s="525">
        <f t="shared" ref="M13:M20" si="5">IFERROR(H13+L13,"")</f>
        <v>0</v>
      </c>
      <c r="N13" s="524" t="str">
        <f t="shared" si="4"/>
        <v/>
      </c>
      <c r="P13" s="529" t="str">
        <f>IF(P$9=FALSE,"",IF($J13&gt;=DATA!$BF$11,(($I13-$J13)*$D13*DATA!$BF$22*$L$9)/DATA!$BF$19,(((DATA!$BF$11-$J13)/DATA!$BF$11*DATA!$BE$22*$D13*$L$9)+(($I13-DATA!$BF$11)*$D13*DATA!$BF$22*$L$9))/DATA!$BF$19))</f>
        <v/>
      </c>
      <c r="Q13" s="529" t="str">
        <f>IF(Q$9=FALSE,"",IF($J13&gt;=DATA!$BF$11,(($I13-$J13)*$D13*DATA!$BF$23*$L$9)/DATA!$BF$19,(((DATA!$BF$11-$J13)/DATA!$BF$11*DATA!$BE$23*$D13*$L$9)+(($I13-DATA!$BF$11)*$D13*DATA!$BF$23*$L$9))/DATA!$BF$19))</f>
        <v/>
      </c>
      <c r="R13" s="529" t="e">
        <f>IF(R$9=FALSE,"",IF($J13&gt;=DATA!$BF$11,(($I13-$J13)*$D13*DATA!$BF$24*$L$9)/DATA!$BF$19,(((DATA!$BF$11-$J13)/DATA!$BF$11*DATA!$BE$24*$D13*$L$9)+(($I13-DATA!$BF$11)*$D13*DATA!$BF$24*$L$9))/DATA!$BF$19))</f>
        <v>#VALUE!</v>
      </c>
    </row>
    <row r="14" spans="1:18" ht="20.25" customHeight="1" x14ac:dyDescent="0.25">
      <c r="B14" s="532"/>
      <c r="C14" s="531"/>
      <c r="D14" s="531"/>
      <c r="E14" s="531"/>
      <c r="F14" s="531"/>
      <c r="G14" s="530" t="str">
        <f t="shared" si="0"/>
        <v/>
      </c>
      <c r="H14" s="524">
        <f t="shared" si="1"/>
        <v>0</v>
      </c>
      <c r="I14" s="483"/>
      <c r="J14" s="531" t="str">
        <f>IF(Graze!$I14&gt;0,DATA!$BF$11,"")</f>
        <v/>
      </c>
      <c r="K14" s="530" t="str">
        <f t="shared" si="2"/>
        <v/>
      </c>
      <c r="L14" s="524">
        <f t="shared" si="3"/>
        <v>0</v>
      </c>
      <c r="M14" s="525">
        <f t="shared" si="5"/>
        <v>0</v>
      </c>
      <c r="N14" s="524" t="str">
        <f t="shared" si="4"/>
        <v/>
      </c>
      <c r="P14" s="529" t="str">
        <f>IF(P$9=FALSE,"",IF($J14&gt;=DATA!$BF$11,(($I14-$J14)*$D14*DATA!$BF$22*$L$9)/DATA!$BF$19,(((DATA!$BF$11-$J14)/DATA!$BF$11*DATA!$BE$22*$D14*$L$9)+(($I14-DATA!$BF$11)*$D14*DATA!$BF$22*$L$9))/DATA!$BF$19))</f>
        <v/>
      </c>
      <c r="Q14" s="529" t="str">
        <f>IF(Q$9=FALSE,"",IF($J14&gt;=DATA!$BF$11,(($I14-$J14)*$D14*DATA!$BF$23*$L$9)/DATA!$BF$19,(((DATA!$BF$11-$J14)/DATA!$BF$11*DATA!$BE$23*$D14*$L$9)+(($I14-DATA!$BF$11)*$D14*DATA!$BF$23*$L$9))/DATA!$BF$19))</f>
        <v/>
      </c>
      <c r="R14" s="529" t="e">
        <f>IF(R$9=FALSE,"",IF($J14&gt;=DATA!$BF$11,(($I14-$J14)*$D14*DATA!$BF$24*$L$9)/DATA!$BF$19,(((DATA!$BF$11-$J14)/DATA!$BF$11*DATA!$BE$24*$D14*$L$9)+(($I14-DATA!$BF$11)*$D14*DATA!$BF$24*$L$9))/DATA!$BF$19))</f>
        <v>#VALUE!</v>
      </c>
    </row>
    <row r="15" spans="1:18" ht="20.25" customHeight="1" x14ac:dyDescent="0.25">
      <c r="B15" s="532"/>
      <c r="C15" s="531"/>
      <c r="D15" s="531"/>
      <c r="E15" s="531"/>
      <c r="F15" s="531"/>
      <c r="G15" s="530" t="str">
        <f t="shared" si="0"/>
        <v/>
      </c>
      <c r="H15" s="524">
        <f t="shared" si="1"/>
        <v>0</v>
      </c>
      <c r="I15" s="483"/>
      <c r="J15" s="531" t="str">
        <f>IF(Graze!$I15&gt;0,DATA!$BF$11,"")</f>
        <v/>
      </c>
      <c r="K15" s="530" t="str">
        <f t="shared" si="2"/>
        <v/>
      </c>
      <c r="L15" s="524">
        <f t="shared" si="3"/>
        <v>0</v>
      </c>
      <c r="M15" s="525">
        <f t="shared" si="5"/>
        <v>0</v>
      </c>
      <c r="N15" s="524" t="str">
        <f t="shared" si="4"/>
        <v/>
      </c>
      <c r="P15" s="529" t="str">
        <f>IF(P$9=FALSE,"",IF($J15&gt;=DATA!$BF$11,(($I15-$J15)*$D15*DATA!$BF$22*$L$9)/DATA!$BF$19,(((DATA!$BF$11-$J15)/DATA!$BF$11*DATA!$BE$22*$D15*$L$9)+(($I15-DATA!$BF$11)*$D15*DATA!$BF$22*$L$9))/DATA!$BF$19))</f>
        <v/>
      </c>
      <c r="Q15" s="529" t="str">
        <f>IF(Q$9=FALSE,"",IF($J15&gt;=DATA!$BF$11,(($I15-$J15)*$D15*DATA!$BF$23*$L$9)/DATA!$BF$19,(((DATA!$BF$11-$J15)/DATA!$BF$11*DATA!$BE$23*$D15*$L$9)+(($I15-DATA!$BF$11)*$D15*DATA!$BF$23*$L$9))/DATA!$BF$19))</f>
        <v/>
      </c>
      <c r="R15" s="529" t="e">
        <f>IF(R$9=FALSE,"",IF($J15&gt;=DATA!$BF$11,(($I15-$J15)*$D15*DATA!$BF$24*$L$9)/DATA!$BF$19,(((DATA!$BF$11-$J15)/DATA!$BF$11*DATA!$BE$24*$D15*$L$9)+(($I15-DATA!$BF$11)*$D15*DATA!$BF$24*$L$9))/DATA!$BF$19))</f>
        <v>#VALUE!</v>
      </c>
    </row>
    <row r="16" spans="1:18" ht="20.25" customHeight="1" x14ac:dyDescent="0.25">
      <c r="B16" s="532"/>
      <c r="C16" s="531"/>
      <c r="D16" s="531"/>
      <c r="E16" s="531"/>
      <c r="F16" s="531"/>
      <c r="G16" s="530" t="str">
        <f t="shared" si="0"/>
        <v/>
      </c>
      <c r="H16" s="524">
        <f t="shared" si="1"/>
        <v>0</v>
      </c>
      <c r="I16" s="483"/>
      <c r="J16" s="531" t="str">
        <f>IF(Graze!$I16&gt;0,DATA!$BF$11,"")</f>
        <v/>
      </c>
      <c r="K16" s="530" t="str">
        <f t="shared" si="2"/>
        <v/>
      </c>
      <c r="L16" s="524">
        <f t="shared" si="3"/>
        <v>0</v>
      </c>
      <c r="M16" s="525">
        <f t="shared" si="5"/>
        <v>0</v>
      </c>
      <c r="N16" s="524" t="str">
        <f t="shared" si="4"/>
        <v/>
      </c>
      <c r="P16" s="529" t="str">
        <f>IF(P$9=FALSE,"",IF($J16&gt;=DATA!$BF$11,(($I16-$J16)*$D16*DATA!$BF$22*$L$9)/DATA!$BF$19,(((DATA!$BF$11-$J16)/DATA!$BF$11*DATA!$BE$22*$D16*$L$9)+(($I16-DATA!$BF$11)*$D16*DATA!$BF$22*$L$9))/DATA!$BF$19))</f>
        <v/>
      </c>
      <c r="Q16" s="529" t="str">
        <f>IF(Q$9=FALSE,"",IF($J16&gt;=DATA!$BF$11,(($I16-$J16)*$D16*DATA!$BF$23*$L$9)/DATA!$BF$19,(((DATA!$BF$11-$J16)/DATA!$BF$11*DATA!$BE$23*$D16*$L$9)+(($I16-DATA!$BF$11)*$D16*DATA!$BF$23*$L$9))/DATA!$BF$19))</f>
        <v/>
      </c>
      <c r="R16" s="529" t="e">
        <f>IF(R$9=FALSE,"",IF($J16&gt;=DATA!$BF$11,(($I16-$J16)*$D16*DATA!$BF$24*$L$9)/DATA!$BF$19,(((DATA!$BF$11-$J16)/DATA!$BF$11*DATA!$BE$24*$D16*$L$9)+(($I16-DATA!$BF$11)*$D16*DATA!$BF$24*$L$9))/DATA!$BF$19))</f>
        <v>#VALUE!</v>
      </c>
    </row>
    <row r="17" spans="2:18" ht="20.25" customHeight="1" x14ac:dyDescent="0.25">
      <c r="B17" s="532"/>
      <c r="C17" s="531"/>
      <c r="D17" s="531"/>
      <c r="E17" s="531"/>
      <c r="F17" s="531"/>
      <c r="G17" s="530" t="str">
        <f t="shared" si="0"/>
        <v/>
      </c>
      <c r="H17" s="524">
        <f t="shared" si="1"/>
        <v>0</v>
      </c>
      <c r="I17" s="483"/>
      <c r="J17" s="531" t="str">
        <f>IF(Graze!$I17&gt;0,DATA!$BF$11,"")</f>
        <v/>
      </c>
      <c r="K17" s="530" t="str">
        <f t="shared" si="2"/>
        <v/>
      </c>
      <c r="L17" s="524">
        <f t="shared" si="3"/>
        <v>0</v>
      </c>
      <c r="M17" s="525">
        <f t="shared" si="5"/>
        <v>0</v>
      </c>
      <c r="N17" s="524" t="str">
        <f t="shared" si="4"/>
        <v/>
      </c>
      <c r="P17" s="529" t="str">
        <f>IF(P$9=FALSE,"",IF($J17&gt;=DATA!$BF$11,(($I17-$J17)*$D17*DATA!$BF$22*$L$9)/DATA!$BF$19,(((DATA!$BF$11-$J17)/DATA!$BF$11*DATA!$BE$22*$D17*$L$9)+(($I17-DATA!$BF$11)*$D17*DATA!$BF$22*$L$9))/DATA!$BF$19))</f>
        <v/>
      </c>
      <c r="Q17" s="529" t="str">
        <f>IF(Q$9=FALSE,"",IF($J17&gt;=DATA!$BF$11,(($I17-$J17)*$D17*DATA!$BF$23*$L$9)/DATA!$BF$19,(((DATA!$BF$11-$J17)/DATA!$BF$11*DATA!$BE$23*$D17*$L$9)+(($I17-DATA!$BF$11)*$D17*DATA!$BF$23*$L$9))/DATA!$BF$19))</f>
        <v/>
      </c>
      <c r="R17" s="529" t="e">
        <f>IF(R$9=FALSE,"",IF($J17&gt;=DATA!$BF$11,(($I17-$J17)*$D17*DATA!$BF$24*$L$9)/DATA!$BF$19,(((DATA!$BF$11-$J17)/DATA!$BF$11*DATA!$BE$24*$D17*$L$9)+(($I17-DATA!$BF$11)*$D17*DATA!$BF$24*$L$9))/DATA!$BF$19))</f>
        <v>#VALUE!</v>
      </c>
    </row>
    <row r="18" spans="2:18" ht="20.25" customHeight="1" x14ac:dyDescent="0.25">
      <c r="B18" s="532"/>
      <c r="C18" s="531"/>
      <c r="D18" s="531"/>
      <c r="E18" s="531"/>
      <c r="F18" s="531"/>
      <c r="G18" s="530" t="str">
        <f t="shared" si="0"/>
        <v/>
      </c>
      <c r="H18" s="524">
        <f t="shared" si="1"/>
        <v>0</v>
      </c>
      <c r="I18" s="483"/>
      <c r="J18" s="531" t="str">
        <f>IF(Graze!$I18&gt;0,DATA!$BF$11,"")</f>
        <v/>
      </c>
      <c r="K18" s="530" t="str">
        <f t="shared" si="2"/>
        <v/>
      </c>
      <c r="L18" s="524">
        <f t="shared" si="3"/>
        <v>0</v>
      </c>
      <c r="M18" s="525">
        <f t="shared" si="5"/>
        <v>0</v>
      </c>
      <c r="N18" s="524" t="str">
        <f t="shared" si="4"/>
        <v/>
      </c>
      <c r="P18" s="529" t="str">
        <f>IF(P$9=FALSE,"",IF($J18&gt;=DATA!$BF$11,(($I18-$J18)*$D18*DATA!$BF$22*$L$9)/DATA!$BF$19,(((DATA!$BF$11-$J18)/DATA!$BF$11*DATA!$BE$22*$D18*$L$9)+(($I18-DATA!$BF$11)*$D18*DATA!$BF$22*$L$9))/DATA!$BF$19))</f>
        <v/>
      </c>
      <c r="Q18" s="529" t="str">
        <f>IF(Q$9=FALSE,"",IF($J18&gt;=DATA!$BF$11,(($I18-$J18)*$D18*DATA!$BF$23*$L$9)/DATA!$BF$19,(((DATA!$BF$11-$J18)/DATA!$BF$11*DATA!$BE$23*$D18*$L$9)+(($I18-DATA!$BF$11)*$D18*DATA!$BF$23*$L$9))/DATA!$BF$19))</f>
        <v/>
      </c>
      <c r="R18" s="529" t="e">
        <f>IF(R$9=FALSE,"",IF($J18&gt;=DATA!$BF$11,(($I18-$J18)*$D18*DATA!$BF$24*$L$9)/DATA!$BF$19,(((DATA!$BF$11-$J18)/DATA!$BF$11*DATA!$BE$24*$D18*$L$9)+(($I18-DATA!$BF$11)*$D18*DATA!$BF$24*$L$9))/DATA!$BF$19))</f>
        <v>#VALUE!</v>
      </c>
    </row>
    <row r="19" spans="2:18" ht="20.25" customHeight="1" x14ac:dyDescent="0.25">
      <c r="B19" s="532"/>
      <c r="C19" s="531"/>
      <c r="D19" s="531"/>
      <c r="E19" s="531"/>
      <c r="F19" s="531"/>
      <c r="G19" s="530" t="str">
        <f t="shared" si="0"/>
        <v/>
      </c>
      <c r="H19" s="524">
        <f t="shared" si="1"/>
        <v>0</v>
      </c>
      <c r="I19" s="483"/>
      <c r="J19" s="531" t="str">
        <f>IF(Graze!$I19&gt;0,DATA!$BF$11,"")</f>
        <v/>
      </c>
      <c r="K19" s="530" t="str">
        <f t="shared" si="2"/>
        <v/>
      </c>
      <c r="L19" s="524">
        <f t="shared" si="3"/>
        <v>0</v>
      </c>
      <c r="M19" s="525">
        <f t="shared" si="5"/>
        <v>0</v>
      </c>
      <c r="N19" s="524" t="str">
        <f t="shared" si="4"/>
        <v/>
      </c>
      <c r="P19" s="529" t="str">
        <f>IF(P$9=FALSE,"",IF($J19&gt;=DATA!$BF$11,(($I19-$J19)*$D19*DATA!$BF$22*$L$9)/DATA!$BF$19,(((DATA!$BF$11-$J19)/DATA!$BF$11*DATA!$BE$22*$D19*$L$9)+(($I19-DATA!$BF$11)*$D19*DATA!$BF$22*$L$9))/DATA!$BF$19))</f>
        <v/>
      </c>
      <c r="Q19" s="529" t="str">
        <f>IF(Q$9=FALSE,"",IF($J19&gt;=DATA!$BF$11,(($I19-$J19)*$D19*DATA!$BF$23*$L$9)/DATA!$BF$19,(((DATA!$BF$11-$J19)/DATA!$BF$11*DATA!$BE$23*$D19*$L$9)+(($I19-DATA!$BF$11)*$D19*DATA!$BF$23*$L$9))/DATA!$BF$19))</f>
        <v/>
      </c>
      <c r="R19" s="529" t="e">
        <f>IF(R$9=FALSE,"",IF($J19&gt;=DATA!$BF$11,(($I19-$J19)*$D19*DATA!$BF$24*$L$9)/DATA!$BF$19,(((DATA!$BF$11-$J19)/DATA!$BF$11*DATA!$BE$24*$D19*$L$9)+(($I19-DATA!$BF$11)*$D19*DATA!$BF$24*$L$9))/DATA!$BF$19))</f>
        <v>#VALUE!</v>
      </c>
    </row>
    <row r="20" spans="2:18" ht="20.25" customHeight="1" x14ac:dyDescent="0.25">
      <c r="B20" s="532"/>
      <c r="C20" s="531"/>
      <c r="D20" s="531"/>
      <c r="E20" s="531"/>
      <c r="F20" s="531"/>
      <c r="G20" s="530" t="str">
        <f t="shared" si="0"/>
        <v/>
      </c>
      <c r="H20" s="524">
        <f t="shared" si="1"/>
        <v>0</v>
      </c>
      <c r="I20" s="483"/>
      <c r="J20" s="531" t="str">
        <f>IF(Graze!$I20&gt;0,DATA!$BF$11,"")</f>
        <v/>
      </c>
      <c r="K20" s="530" t="str">
        <f t="shared" si="2"/>
        <v/>
      </c>
      <c r="L20" s="524">
        <f t="shared" si="3"/>
        <v>0</v>
      </c>
      <c r="M20" s="525">
        <f t="shared" si="5"/>
        <v>0</v>
      </c>
      <c r="N20" s="524" t="str">
        <f t="shared" si="4"/>
        <v/>
      </c>
      <c r="P20" s="529" t="str">
        <f>IF(P$9=FALSE,"",IF($J20&gt;=DATA!$BF$11,(($I20-$J20)*$D20*DATA!$BF$22*$L$9)/DATA!$BF$19,(((DATA!$BF$11-$J20)/DATA!$BF$11*DATA!$BE$22*$D20*$L$9)+(($I20-DATA!$BF$11)*$D20*DATA!$BF$22*$L$9))/DATA!$BF$19))</f>
        <v/>
      </c>
      <c r="Q20" s="529" t="str">
        <f>IF(Q$9=FALSE,"",IF($J20&gt;=DATA!$BF$11,(($I20-$J20)*$D20*DATA!$BF$23*$L$9)/DATA!$BF$19,(((DATA!$BF$11-$J20)/DATA!$BF$11*DATA!$BE$23*$D20*$L$9)+(($I20-DATA!$BF$11)*$D20*DATA!$BF$23*$L$9))/DATA!$BF$19))</f>
        <v/>
      </c>
      <c r="R20" s="529" t="e">
        <f>IF(R$9=FALSE,"",IF($J20&gt;=DATA!$BF$11,(($I20-$J20)*$D20*DATA!$BF$24*$L$9)/DATA!$BF$19,(((DATA!$BF$11-$J20)/DATA!$BF$11*DATA!$BE$24*$D20*$L$9)+(($I20-DATA!$BF$11)*$D20*DATA!$BF$24*$L$9))/DATA!$BF$19))</f>
        <v>#VALUE!</v>
      </c>
    </row>
    <row r="21" spans="2:18" ht="20.25" customHeight="1" x14ac:dyDescent="0.25">
      <c r="B21" s="528" t="s">
        <v>180</v>
      </c>
      <c r="C21" s="439"/>
      <c r="D21" s="440">
        <f>SUM(D12:D20)</f>
        <v>0</v>
      </c>
      <c r="E21" s="527"/>
      <c r="F21" s="522"/>
      <c r="G21" s="522"/>
      <c r="H21" s="524">
        <f>SUM(H12:H20)</f>
        <v>0</v>
      </c>
      <c r="I21" s="526"/>
      <c r="L21" s="524">
        <f>SUM(L12:L20)</f>
        <v>0</v>
      </c>
      <c r="M21" s="525">
        <f>SUM(M12:M20)</f>
        <v>0</v>
      </c>
      <c r="N21" s="524" t="str">
        <f>IF(M21&gt;0,M21/D21,"")</f>
        <v/>
      </c>
    </row>
    <row r="22" spans="2:18" ht="20.25" customHeight="1" x14ac:dyDescent="0.2">
      <c r="B22" s="523"/>
      <c r="C22" s="439"/>
      <c r="D22" s="439"/>
      <c r="E22" s="439"/>
      <c r="F22" s="439"/>
      <c r="G22" s="439"/>
      <c r="H22" s="439"/>
      <c r="I22" s="439"/>
      <c r="L22" s="519"/>
      <c r="M22" s="522"/>
      <c r="N22" s="521"/>
    </row>
    <row r="23" spans="2:18" ht="20.25" customHeight="1" x14ac:dyDescent="0.2">
      <c r="B23" s="520" t="s">
        <v>717</v>
      </c>
      <c r="C23" s="439"/>
      <c r="D23" s="439"/>
      <c r="E23" s="439"/>
      <c r="F23" s="439"/>
      <c r="G23" s="439"/>
      <c r="H23" s="439"/>
      <c r="I23" s="439"/>
      <c r="L23" s="519"/>
      <c r="N23" s="518"/>
    </row>
    <row r="24" spans="2:18" ht="20.25" customHeight="1" thickBot="1" x14ac:dyDescent="0.25">
      <c r="B24" s="517" t="s">
        <v>716</v>
      </c>
      <c r="C24" s="515"/>
      <c r="D24" s="515"/>
      <c r="E24" s="516"/>
      <c r="F24" s="515"/>
      <c r="G24" s="515"/>
      <c r="H24" s="515"/>
      <c r="I24" s="515"/>
      <c r="J24" s="515"/>
      <c r="K24" s="515"/>
      <c r="L24" s="514"/>
      <c r="M24" s="513"/>
      <c r="N24" s="512"/>
    </row>
    <row r="25" spans="2:18" ht="35.1" customHeight="1" thickTop="1" x14ac:dyDescent="0.2">
      <c r="B25" s="511"/>
    </row>
    <row r="26" spans="2:18" ht="18.75" customHeight="1" thickBot="1" x14ac:dyDescent="0.35">
      <c r="B26" s="1094" t="s">
        <v>715</v>
      </c>
      <c r="C26" s="1095"/>
      <c r="D26" s="1095"/>
      <c r="E26" s="1095"/>
      <c r="F26" s="1095"/>
      <c r="G26" s="1095"/>
      <c r="H26" s="1095"/>
      <c r="I26" s="1095"/>
      <c r="J26" s="1095"/>
      <c r="K26" s="1095"/>
      <c r="L26" s="1095"/>
      <c r="M26" s="1095"/>
    </row>
    <row r="27" spans="2:18" ht="18.75" customHeight="1" thickTop="1" thickBot="1" x14ac:dyDescent="0.25"/>
    <row r="28" spans="2:18" ht="21" customHeight="1" x14ac:dyDescent="0.2">
      <c r="B28" s="1096" t="s">
        <v>714</v>
      </c>
      <c r="C28" s="1097"/>
      <c r="D28" s="1097"/>
      <c r="E28" s="1097"/>
      <c r="F28" s="1097"/>
      <c r="G28" s="1097"/>
      <c r="H28" s="1097"/>
      <c r="I28" s="1097"/>
      <c r="J28" s="1097"/>
      <c r="K28" s="1097"/>
      <c r="L28" s="1097"/>
      <c r="M28" s="1098"/>
    </row>
    <row r="29" spans="2:18" ht="8.25" customHeight="1" x14ac:dyDescent="0.2">
      <c r="B29" s="492"/>
      <c r="C29" s="491"/>
      <c r="D29" s="491"/>
      <c r="E29" s="491"/>
      <c r="F29" s="491"/>
      <c r="G29" s="491"/>
      <c r="H29" s="491"/>
      <c r="I29" s="491"/>
      <c r="J29" s="491"/>
      <c r="K29" s="491"/>
      <c r="L29" s="510"/>
      <c r="M29" s="490"/>
    </row>
    <row r="30" spans="2:18" ht="40.15" customHeight="1" x14ac:dyDescent="0.2">
      <c r="B30" s="489"/>
      <c r="C30" s="471"/>
      <c r="D30" s="488" t="str">
        <f>IF(Q31=1,M31,"")</f>
        <v/>
      </c>
      <c r="E30" s="509" t="str">
        <f>IF(Q31=1," DAYS OF GRAZING WITH "&amp;M38&amp;" ANIMAL UNITS","")</f>
        <v/>
      </c>
      <c r="F30" s="471"/>
      <c r="G30" s="471"/>
      <c r="H30" s="471"/>
      <c r="I30" s="471"/>
      <c r="J30" s="471"/>
      <c r="K30" s="471"/>
      <c r="L30" s="471"/>
      <c r="M30" s="508"/>
    </row>
    <row r="31" spans="2:18" ht="22.5" customHeight="1" thickBot="1" x14ac:dyDescent="0.25">
      <c r="B31" s="507">
        <v>0</v>
      </c>
      <c r="C31" s="486">
        <f>IF(Q31=2,"",M21)</f>
        <v>0</v>
      </c>
      <c r="D31" s="471" t="s">
        <v>713</v>
      </c>
      <c r="E31" s="486">
        <f>IF(Q31=2," ",M38)</f>
        <v>0</v>
      </c>
      <c r="F31" s="471" t="s">
        <v>701</v>
      </c>
      <c r="G31" s="471"/>
      <c r="H31" s="486" t="str">
        <f>IFERROR(IF(Q31=2," ",C31/E31),"")</f>
        <v/>
      </c>
      <c r="I31" s="471" t="s">
        <v>712</v>
      </c>
      <c r="J31" s="485">
        <f>IF(Q31=2," ",31)</f>
        <v>31</v>
      </c>
      <c r="K31" s="478"/>
      <c r="L31" s="478" t="s">
        <v>701</v>
      </c>
      <c r="M31" s="506" t="str">
        <f>IFERROR(IF(Q31=2," ",H31*31),"")</f>
        <v/>
      </c>
      <c r="Q31" s="480" t="b">
        <v>0</v>
      </c>
    </row>
    <row r="32" spans="2:18" ht="48" customHeight="1" thickBot="1" x14ac:dyDescent="0.25">
      <c r="B32" s="472"/>
      <c r="C32" s="476" t="s">
        <v>700</v>
      </c>
      <c r="D32" s="471"/>
      <c r="E32" s="475" t="s">
        <v>705</v>
      </c>
      <c r="F32" s="474"/>
      <c r="G32" s="474"/>
      <c r="H32" s="476" t="s">
        <v>711</v>
      </c>
      <c r="I32" s="474"/>
      <c r="J32" s="475" t="s">
        <v>699</v>
      </c>
      <c r="K32" s="475"/>
      <c r="L32" s="474"/>
      <c r="M32" s="473" t="s">
        <v>710</v>
      </c>
      <c r="O32" s="493"/>
    </row>
    <row r="33" spans="2:17" ht="17.25" customHeight="1" thickTop="1" x14ac:dyDescent="0.2">
      <c r="B33" s="1099" t="str">
        <f>IF(Q31=1,"Enter the Livestock type and numbers that will graze these fields","")</f>
        <v/>
      </c>
      <c r="C33" s="1100"/>
      <c r="D33" s="1100"/>
      <c r="E33" s="1100"/>
      <c r="F33" s="1100"/>
      <c r="G33" s="1100"/>
      <c r="H33" s="1100"/>
      <c r="I33" s="1100"/>
      <c r="J33" s="1100"/>
      <c r="K33" s="1100"/>
      <c r="L33" s="1100"/>
      <c r="M33" s="1101"/>
    </row>
    <row r="34" spans="2:17" ht="24" customHeight="1" x14ac:dyDescent="0.2">
      <c r="B34" s="1102" t="s">
        <v>709</v>
      </c>
      <c r="C34" s="1103"/>
      <c r="D34" s="1103"/>
      <c r="E34" s="1103"/>
      <c r="F34" s="1104" t="s">
        <v>708</v>
      </c>
      <c r="G34" s="1104"/>
      <c r="H34" s="1105"/>
      <c r="I34" s="471"/>
      <c r="J34" s="505" t="s">
        <v>693</v>
      </c>
      <c r="K34" s="504"/>
      <c r="L34" s="471"/>
      <c r="M34" s="503" t="s">
        <v>707</v>
      </c>
    </row>
    <row r="35" spans="2:17" ht="18.75" customHeight="1" x14ac:dyDescent="0.2">
      <c r="B35" s="1069"/>
      <c r="C35" s="1070"/>
      <c r="D35" s="1070"/>
      <c r="E35" s="1070"/>
      <c r="F35" s="1071"/>
      <c r="G35" s="1072"/>
      <c r="H35" s="1073"/>
      <c r="I35" s="471" t="s">
        <v>706</v>
      </c>
      <c r="J35" s="501">
        <f>IF(ISBLANK(B35),0,VLOOKUP(B35,AUnitTable,5,FALSE))</f>
        <v>0</v>
      </c>
      <c r="K35" s="478"/>
      <c r="L35" s="478" t="s">
        <v>704</v>
      </c>
      <c r="M35" s="502">
        <f>F35*J35</f>
        <v>0</v>
      </c>
    </row>
    <row r="36" spans="2:17" ht="18.75" customHeight="1" x14ac:dyDescent="0.2">
      <c r="B36" s="1069"/>
      <c r="C36" s="1070"/>
      <c r="D36" s="1070"/>
      <c r="E36" s="1070"/>
      <c r="F36" s="1071"/>
      <c r="G36" s="1072"/>
      <c r="H36" s="1073"/>
      <c r="I36" s="471" t="s">
        <v>706</v>
      </c>
      <c r="J36" s="501">
        <f>IF(ISBLANK(B36),0,VLOOKUP(B36,AUnitTable,5,FALSE))</f>
        <v>0</v>
      </c>
      <c r="K36" s="478"/>
      <c r="L36" s="478" t="s">
        <v>704</v>
      </c>
      <c r="M36" s="502">
        <f>F36*J36</f>
        <v>0</v>
      </c>
    </row>
    <row r="37" spans="2:17" ht="18.75" customHeight="1" x14ac:dyDescent="0.2">
      <c r="B37" s="1069"/>
      <c r="C37" s="1070"/>
      <c r="D37" s="1070"/>
      <c r="E37" s="1070"/>
      <c r="F37" s="1071"/>
      <c r="G37" s="1072"/>
      <c r="H37" s="1073"/>
      <c r="I37" s="471" t="s">
        <v>706</v>
      </c>
      <c r="J37" s="501">
        <f>IF(ISBLANK(B37),0,VLOOKUP(B37,AUnitTable,5,FALSE))</f>
        <v>0</v>
      </c>
      <c r="K37" s="478"/>
      <c r="L37" s="478" t="s">
        <v>704</v>
      </c>
      <c r="M37" s="500">
        <f>F37*J37</f>
        <v>0</v>
      </c>
    </row>
    <row r="38" spans="2:17" ht="18.75" customHeight="1" x14ac:dyDescent="0.2">
      <c r="B38" s="472"/>
      <c r="C38" s="471"/>
      <c r="D38" s="471"/>
      <c r="E38" s="471"/>
      <c r="F38" s="1074" t="s">
        <v>705</v>
      </c>
      <c r="G38" s="1075"/>
      <c r="H38" s="1076"/>
      <c r="I38" s="1076"/>
      <c r="J38" s="1077"/>
      <c r="K38" s="471"/>
      <c r="L38" s="478" t="s">
        <v>704</v>
      </c>
      <c r="M38" s="499">
        <f>SUM(M35:M37)</f>
        <v>0</v>
      </c>
    </row>
    <row r="39" spans="2:17" ht="29.1" customHeight="1" thickBot="1" x14ac:dyDescent="0.35">
      <c r="B39" s="469"/>
      <c r="C39" s="498"/>
      <c r="D39" s="468" t="str">
        <f>IF(AND(Q31=1,M38=0,M21&gt;0),"NOTE: Enter Livestock type and numbers in cell B35","")</f>
        <v/>
      </c>
      <c r="E39" s="498"/>
      <c r="F39" s="497"/>
      <c r="G39" s="497"/>
      <c r="H39" s="498"/>
      <c r="I39" s="497"/>
      <c r="J39" s="498"/>
      <c r="K39" s="498"/>
      <c r="L39" s="497"/>
      <c r="M39" s="496"/>
      <c r="O39" s="493"/>
    </row>
    <row r="40" spans="2:17" ht="17.649999999999999" customHeight="1" thickBot="1" x14ac:dyDescent="0.35">
      <c r="B40" s="471"/>
      <c r="C40" s="475"/>
      <c r="D40" s="495"/>
      <c r="E40" s="475"/>
      <c r="F40" s="474"/>
      <c r="G40" s="474"/>
      <c r="H40" s="475"/>
      <c r="I40" s="474"/>
      <c r="J40" s="475"/>
      <c r="K40" s="475"/>
      <c r="L40" s="474"/>
      <c r="M40" s="494"/>
      <c r="O40" s="493"/>
    </row>
    <row r="41" spans="2:17" ht="36" customHeight="1" x14ac:dyDescent="0.2">
      <c r="B41" s="1078" t="s">
        <v>703</v>
      </c>
      <c r="C41" s="1079"/>
      <c r="D41" s="1079"/>
      <c r="E41" s="1079"/>
      <c r="F41" s="1079"/>
      <c r="G41" s="1079"/>
      <c r="H41" s="1079"/>
      <c r="I41" s="1079"/>
      <c r="J41" s="1079"/>
      <c r="K41" s="1079"/>
      <c r="L41" s="1079"/>
      <c r="M41" s="1080"/>
      <c r="O41" s="493"/>
    </row>
    <row r="42" spans="2:17" ht="8.65" customHeight="1" x14ac:dyDescent="0.2">
      <c r="B42" s="492"/>
      <c r="C42" s="491"/>
      <c r="D42" s="491"/>
      <c r="E42" s="491"/>
      <c r="F42" s="491"/>
      <c r="G42" s="491"/>
      <c r="H42" s="491"/>
      <c r="I42" s="491"/>
      <c r="J42" s="491"/>
      <c r="K42" s="491"/>
      <c r="L42" s="491"/>
      <c r="M42" s="490"/>
    </row>
    <row r="43" spans="2:17" ht="40.15" customHeight="1" x14ac:dyDescent="0.25">
      <c r="B43" s="489"/>
      <c r="C43" s="471"/>
      <c r="D43" s="488" t="str">
        <f>IF(Q31=2,M47,"")</f>
        <v/>
      </c>
      <c r="E43" s="1081" t="str">
        <f>IF(Q31=2,B48&amp;" IN "&amp;J44&amp;" DAYS OF GRAZING","")</f>
        <v/>
      </c>
      <c r="F43" s="1082"/>
      <c r="G43" s="1082"/>
      <c r="H43" s="1082"/>
      <c r="I43" s="1082"/>
      <c r="J43" s="482" t="str">
        <f>IF(Q31=2,"Select Days to Graze","")</f>
        <v/>
      </c>
      <c r="K43" s="482"/>
      <c r="L43" s="471"/>
      <c r="M43" s="470"/>
    </row>
    <row r="44" spans="2:17" ht="22.5" customHeight="1" thickBot="1" x14ac:dyDescent="0.25">
      <c r="B44" s="487"/>
      <c r="C44" s="486">
        <f>IF(Q31=1," ",M21)</f>
        <v>0</v>
      </c>
      <c r="D44" s="471" t="s">
        <v>702</v>
      </c>
      <c r="E44" s="485">
        <f>IF(Q31=1," ",31)</f>
        <v>31</v>
      </c>
      <c r="F44" s="478" t="s">
        <v>701</v>
      </c>
      <c r="G44" s="478"/>
      <c r="H44" s="484">
        <f>IF(Q31=1," ",C44*31)</f>
        <v>0</v>
      </c>
      <c r="I44" s="471"/>
      <c r="J44" s="483"/>
      <c r="K44" s="482"/>
      <c r="L44" s="478" t="s">
        <v>701</v>
      </c>
      <c r="M44" s="481" t="str">
        <f>IFERROR(IF(Q31=1," ",H44/J44),"")</f>
        <v/>
      </c>
      <c r="Q44" s="480" t="b">
        <v>0</v>
      </c>
    </row>
    <row r="45" spans="2:17" ht="40.5" customHeight="1" x14ac:dyDescent="0.2">
      <c r="B45" s="472"/>
      <c r="C45" s="476" t="s">
        <v>700</v>
      </c>
      <c r="D45" s="471"/>
      <c r="E45" s="475" t="s">
        <v>699</v>
      </c>
      <c r="F45" s="474"/>
      <c r="G45" s="474"/>
      <c r="H45" s="476" t="s">
        <v>698</v>
      </c>
      <c r="I45" s="474"/>
      <c r="J45" s="475" t="s">
        <v>697</v>
      </c>
      <c r="K45" s="475"/>
      <c r="L45" s="474"/>
      <c r="M45" s="473" t="s">
        <v>694</v>
      </c>
    </row>
    <row r="46" spans="2:17" ht="23.1" customHeight="1" x14ac:dyDescent="0.2">
      <c r="B46" s="472"/>
      <c r="C46" s="471"/>
      <c r="D46" s="471"/>
      <c r="E46" s="471"/>
      <c r="F46" s="471"/>
      <c r="G46" s="471"/>
      <c r="H46" s="471"/>
      <c r="I46" s="471"/>
      <c r="J46" s="471"/>
      <c r="K46" s="471"/>
      <c r="L46" s="471"/>
      <c r="M46" s="470"/>
    </row>
    <row r="47" spans="2:17" ht="23.1" customHeight="1" x14ac:dyDescent="0.2">
      <c r="B47" s="1102" t="s">
        <v>709</v>
      </c>
      <c r="C47" s="1103"/>
      <c r="D47" s="1103"/>
      <c r="E47" s="1103"/>
      <c r="F47" s="471"/>
      <c r="G47" s="471"/>
      <c r="H47" s="479" t="str">
        <f>IF(Q31=1," ",M44)</f>
        <v/>
      </c>
      <c r="I47" s="471" t="s">
        <v>696</v>
      </c>
      <c r="J47" s="478">
        <f>IF(ISBLANK(B48),0,VLOOKUP(B48,AUnitTable,5,FALSE))</f>
        <v>0</v>
      </c>
      <c r="K47" s="478"/>
      <c r="L47" s="471" t="s">
        <v>695</v>
      </c>
      <c r="M47" s="477" t="str">
        <f>IFERROR(IF(Q31=1," ",H47/J47),"")</f>
        <v/>
      </c>
    </row>
    <row r="48" spans="2:17" ht="36" x14ac:dyDescent="0.2">
      <c r="B48" s="1083"/>
      <c r="C48" s="1084"/>
      <c r="D48" s="1084"/>
      <c r="E48" s="1073"/>
      <c r="F48" s="471"/>
      <c r="G48" s="471"/>
      <c r="H48" s="476" t="s">
        <v>694</v>
      </c>
      <c r="I48" s="474"/>
      <c r="J48" s="476" t="s">
        <v>693</v>
      </c>
      <c r="K48" s="475"/>
      <c r="L48" s="474"/>
      <c r="M48" s="473" t="s">
        <v>692</v>
      </c>
    </row>
    <row r="49" spans="2:16" x14ac:dyDescent="0.2">
      <c r="B49" s="472"/>
      <c r="C49" s="471"/>
      <c r="D49" s="471"/>
      <c r="E49" s="471"/>
      <c r="F49" s="471"/>
      <c r="G49" s="471"/>
      <c r="H49" s="471"/>
      <c r="I49" s="471"/>
      <c r="J49" s="471"/>
      <c r="K49" s="471"/>
      <c r="L49" s="471"/>
      <c r="M49" s="470"/>
    </row>
    <row r="50" spans="2:16" ht="3" customHeight="1" x14ac:dyDescent="0.2">
      <c r="B50" s="472"/>
      <c r="C50" s="471"/>
      <c r="D50" s="471"/>
      <c r="E50" s="471"/>
      <c r="F50" s="471"/>
      <c r="G50" s="471"/>
      <c r="H50" s="471"/>
      <c r="I50" s="471"/>
      <c r="J50" s="471"/>
      <c r="K50" s="471"/>
      <c r="L50" s="471"/>
      <c r="M50" s="470"/>
      <c r="P50" s="465"/>
    </row>
    <row r="51" spans="2:16" ht="21" thickBot="1" x14ac:dyDescent="0.35">
      <c r="B51" s="469"/>
      <c r="C51" s="468" t="str">
        <f>IF(AND(Q31=2,M21&gt;0,OR(B48="",J44="")),"NOTE: Enter Days to be Grazed in J44 and Livestock type in cell B48","")</f>
        <v/>
      </c>
      <c r="D51" s="467"/>
      <c r="E51" s="467"/>
      <c r="F51" s="467"/>
      <c r="G51" s="467"/>
      <c r="H51" s="467"/>
      <c r="I51" s="467"/>
      <c r="J51" s="467"/>
      <c r="K51" s="467"/>
      <c r="L51" s="467"/>
      <c r="M51" s="466"/>
      <c r="P51" s="465"/>
    </row>
    <row r="52" spans="2:16" x14ac:dyDescent="0.2">
      <c r="P52" s="465"/>
    </row>
    <row r="53" spans="2:16" x14ac:dyDescent="0.2">
      <c r="P53" s="465"/>
    </row>
    <row r="57" spans="2:16" ht="18" x14ac:dyDescent="0.25">
      <c r="B57" s="1066" t="s">
        <v>691</v>
      </c>
      <c r="C57" s="1066"/>
      <c r="D57" s="1066"/>
      <c r="E57" s="1066"/>
      <c r="F57" s="1066"/>
      <c r="G57" s="1066"/>
      <c r="H57" s="1066"/>
      <c r="I57" s="1066"/>
      <c r="J57" s="1066"/>
      <c r="K57" s="1066"/>
      <c r="L57" s="1066"/>
      <c r="M57" s="1066"/>
    </row>
    <row r="58" spans="2:16" ht="15.6" customHeight="1" x14ac:dyDescent="0.25">
      <c r="B58" s="1066"/>
      <c r="C58" s="1066"/>
      <c r="D58" s="1066"/>
      <c r="E58" s="1066"/>
      <c r="F58" s="1066"/>
      <c r="G58" s="1066"/>
      <c r="H58" s="1066"/>
      <c r="I58" s="1066"/>
      <c r="J58" s="1066"/>
      <c r="K58" s="1066"/>
      <c r="L58" s="1066"/>
      <c r="M58" s="1066"/>
    </row>
    <row r="59" spans="2:16" ht="15.75" x14ac:dyDescent="0.25">
      <c r="B59" s="1068" t="s">
        <v>690</v>
      </c>
      <c r="C59" s="1068"/>
      <c r="D59" s="1068"/>
      <c r="E59" s="1068"/>
      <c r="F59" s="1068"/>
      <c r="G59" s="1068"/>
      <c r="H59" s="1068"/>
      <c r="I59" s="1068"/>
      <c r="J59" s="1068"/>
      <c r="K59" s="1068"/>
      <c r="L59" s="1068"/>
      <c r="M59" s="1068"/>
    </row>
    <row r="60" spans="2:16" ht="15" customHeight="1" x14ac:dyDescent="0.2">
      <c r="B60" s="1065" t="s">
        <v>689</v>
      </c>
      <c r="C60" s="1065"/>
      <c r="D60" s="1065"/>
      <c r="E60" s="1065"/>
      <c r="F60" s="1065"/>
      <c r="G60" s="1065"/>
      <c r="H60" s="1065"/>
      <c r="I60" s="1065"/>
      <c r="J60" s="1065"/>
      <c r="K60" s="1065"/>
      <c r="L60" s="1065"/>
      <c r="M60" s="1065"/>
    </row>
    <row r="61" spans="2:16" ht="15" customHeight="1" x14ac:dyDescent="0.2">
      <c r="B61" s="1065"/>
      <c r="C61" s="1065"/>
      <c r="D61" s="1065"/>
      <c r="E61" s="1065"/>
      <c r="F61" s="1065"/>
      <c r="G61" s="1065"/>
      <c r="H61" s="1065"/>
      <c r="I61" s="1065"/>
      <c r="J61" s="1065"/>
      <c r="K61" s="1065"/>
      <c r="L61" s="1065"/>
      <c r="M61" s="1065"/>
    </row>
    <row r="62" spans="2:16" ht="15" customHeight="1" x14ac:dyDescent="0.2">
      <c r="B62" s="1065" t="s">
        <v>688</v>
      </c>
      <c r="C62" s="1065"/>
      <c r="D62" s="1065"/>
      <c r="E62" s="1065"/>
      <c r="F62" s="1065"/>
      <c r="G62" s="1065"/>
      <c r="H62" s="1065"/>
      <c r="I62" s="1065"/>
      <c r="J62" s="1065"/>
      <c r="K62" s="1065"/>
      <c r="L62" s="1065"/>
      <c r="M62" s="1065"/>
    </row>
    <row r="63" spans="2:16" ht="15" customHeight="1" x14ac:dyDescent="0.2">
      <c r="B63" s="1065"/>
      <c r="C63" s="1065"/>
      <c r="D63" s="1065"/>
      <c r="E63" s="1065"/>
      <c r="F63" s="1065"/>
      <c r="G63" s="1065"/>
      <c r="H63" s="1065"/>
      <c r="I63" s="1065"/>
      <c r="J63" s="1065"/>
      <c r="K63" s="1065"/>
      <c r="L63" s="1065"/>
      <c r="M63" s="1065"/>
    </row>
    <row r="64" spans="2:16" ht="29.25" customHeight="1" x14ac:dyDescent="0.2">
      <c r="B64" s="1065" t="s">
        <v>687</v>
      </c>
      <c r="C64" s="1065"/>
      <c r="D64" s="1065"/>
      <c r="E64" s="1065"/>
      <c r="F64" s="1065"/>
      <c r="G64" s="1065"/>
      <c r="H64" s="1065"/>
      <c r="I64" s="1065"/>
      <c r="J64" s="1065"/>
      <c r="K64" s="1065"/>
      <c r="L64" s="1065"/>
      <c r="M64" s="1065"/>
    </row>
    <row r="65" spans="2:13" ht="15" customHeight="1" x14ac:dyDescent="0.2">
      <c r="B65" s="1065"/>
      <c r="C65" s="1065"/>
      <c r="D65" s="1065"/>
      <c r="E65" s="1065"/>
      <c r="F65" s="1065"/>
      <c r="G65" s="1065"/>
      <c r="H65" s="1065"/>
      <c r="I65" s="1065"/>
      <c r="J65" s="1065"/>
      <c r="K65" s="1065"/>
      <c r="L65" s="1065"/>
      <c r="M65" s="1065"/>
    </row>
    <row r="66" spans="2:13" ht="33" customHeight="1" x14ac:dyDescent="0.2">
      <c r="B66" s="1065" t="s">
        <v>686</v>
      </c>
      <c r="C66" s="1065"/>
      <c r="D66" s="1065"/>
      <c r="E66" s="1065"/>
      <c r="F66" s="1065"/>
      <c r="G66" s="1065"/>
      <c r="H66" s="1065"/>
      <c r="I66" s="1065"/>
      <c r="J66" s="1065"/>
      <c r="K66" s="1065"/>
      <c r="L66" s="1065"/>
      <c r="M66" s="1065"/>
    </row>
    <row r="67" spans="2:13" ht="15" customHeight="1" x14ac:dyDescent="0.2">
      <c r="B67" s="1065"/>
      <c r="C67" s="1065"/>
      <c r="D67" s="1065"/>
      <c r="E67" s="1065"/>
      <c r="F67" s="1065"/>
      <c r="G67" s="1065"/>
      <c r="H67" s="1065"/>
      <c r="I67" s="1065"/>
      <c r="J67" s="1065"/>
      <c r="K67" s="1065"/>
      <c r="L67" s="1065"/>
      <c r="M67" s="1065"/>
    </row>
    <row r="68" spans="2:13" ht="43.5" customHeight="1" x14ac:dyDescent="0.2">
      <c r="B68" s="1065" t="s">
        <v>685</v>
      </c>
      <c r="C68" s="1065"/>
      <c r="D68" s="1065"/>
      <c r="E68" s="1065"/>
      <c r="F68" s="1065"/>
      <c r="G68" s="1065"/>
      <c r="H68" s="1065"/>
      <c r="I68" s="1065"/>
      <c r="J68" s="1065"/>
      <c r="K68" s="1065"/>
      <c r="L68" s="1065"/>
      <c r="M68" s="1065"/>
    </row>
    <row r="69" spans="2:13" ht="18" customHeight="1" x14ac:dyDescent="0.2">
      <c r="B69" s="464"/>
      <c r="C69" s="464"/>
      <c r="D69" s="464"/>
      <c r="E69" s="464"/>
      <c r="F69" s="464"/>
      <c r="G69" s="464"/>
      <c r="H69" s="464"/>
      <c r="I69" s="464"/>
      <c r="J69" s="464"/>
      <c r="K69" s="464"/>
      <c r="L69" s="464"/>
      <c r="M69" s="464"/>
    </row>
    <row r="70" spans="2:13" ht="15" customHeight="1" x14ac:dyDescent="0.25">
      <c r="B70" s="1068" t="s">
        <v>684</v>
      </c>
      <c r="C70" s="1068"/>
      <c r="D70" s="1068"/>
      <c r="E70" s="1068"/>
      <c r="F70" s="1068"/>
      <c r="G70" s="1068"/>
      <c r="H70" s="1068"/>
      <c r="I70" s="1068"/>
      <c r="J70" s="1068"/>
      <c r="K70" s="1068"/>
      <c r="L70" s="1068"/>
      <c r="M70" s="1068"/>
    </row>
    <row r="71" spans="2:13" ht="15" customHeight="1" x14ac:dyDescent="0.2">
      <c r="B71" s="1065" t="s">
        <v>683</v>
      </c>
      <c r="C71" s="1065"/>
      <c r="D71" s="1065"/>
      <c r="E71" s="1065"/>
      <c r="F71" s="1065"/>
      <c r="G71" s="1065"/>
      <c r="H71" s="1065"/>
      <c r="I71" s="1065"/>
      <c r="J71" s="1065"/>
      <c r="K71" s="1065"/>
      <c r="L71" s="1065"/>
      <c r="M71" s="1065"/>
    </row>
    <row r="72" spans="2:13" ht="15" customHeight="1" x14ac:dyDescent="0.2">
      <c r="B72" s="1065" t="s">
        <v>682</v>
      </c>
      <c r="C72" s="1065"/>
      <c r="D72" s="1065"/>
      <c r="E72" s="1065"/>
      <c r="F72" s="1065"/>
      <c r="G72" s="1065"/>
      <c r="H72" s="1065"/>
      <c r="I72" s="1065"/>
      <c r="J72" s="1065"/>
      <c r="K72" s="1065"/>
      <c r="L72" s="1065"/>
      <c r="M72" s="1065"/>
    </row>
    <row r="73" spans="2:13" ht="15" customHeight="1" x14ac:dyDescent="0.2">
      <c r="B73" s="1065" t="s">
        <v>681</v>
      </c>
      <c r="C73" s="1065"/>
      <c r="D73" s="1065"/>
      <c r="E73" s="1065"/>
      <c r="F73" s="1065"/>
      <c r="G73" s="1065"/>
      <c r="H73" s="1065"/>
      <c r="I73" s="1065"/>
      <c r="J73" s="1065"/>
      <c r="K73" s="1065"/>
      <c r="L73" s="1065"/>
      <c r="M73" s="1065"/>
    </row>
    <row r="74" spans="2:13" ht="15" customHeight="1" x14ac:dyDescent="0.2">
      <c r="B74" s="1065" t="s">
        <v>680</v>
      </c>
      <c r="C74" s="1065"/>
      <c r="D74" s="1065"/>
      <c r="E74" s="1065"/>
      <c r="F74" s="1065"/>
      <c r="G74" s="1065"/>
      <c r="H74" s="1065"/>
      <c r="I74" s="1065"/>
      <c r="J74" s="1065"/>
      <c r="K74" s="1065"/>
      <c r="L74" s="1065"/>
      <c r="M74" s="1065"/>
    </row>
    <row r="75" spans="2:13" ht="15" customHeight="1" x14ac:dyDescent="0.2">
      <c r="B75" s="1065"/>
      <c r="C75" s="1065"/>
      <c r="D75" s="1065"/>
      <c r="E75" s="1065"/>
      <c r="F75" s="1065"/>
      <c r="G75" s="1065"/>
      <c r="H75" s="1065"/>
      <c r="I75" s="1065"/>
      <c r="J75" s="1065"/>
      <c r="K75" s="1065"/>
      <c r="L75" s="1065"/>
      <c r="M75" s="1065"/>
    </row>
    <row r="76" spans="2:13" ht="15" customHeight="1" x14ac:dyDescent="0.2">
      <c r="B76" s="1065" t="s">
        <v>679</v>
      </c>
      <c r="C76" s="1065"/>
      <c r="D76" s="1065"/>
      <c r="E76" s="1065"/>
      <c r="F76" s="1065"/>
      <c r="G76" s="1065"/>
      <c r="H76" s="1065"/>
      <c r="I76" s="1065"/>
      <c r="J76" s="1065"/>
      <c r="K76" s="1065"/>
      <c r="L76" s="1065"/>
      <c r="M76" s="1065"/>
    </row>
    <row r="77" spans="2:13" ht="15" customHeight="1" x14ac:dyDescent="0.2">
      <c r="B77" s="1065" t="s">
        <v>678</v>
      </c>
      <c r="C77" s="1065"/>
      <c r="D77" s="1065"/>
      <c r="E77" s="1065"/>
      <c r="F77" s="1065"/>
      <c r="G77" s="1065"/>
      <c r="H77" s="1065"/>
      <c r="I77" s="1065"/>
      <c r="J77" s="1065"/>
      <c r="K77" s="1065"/>
      <c r="L77" s="1065"/>
      <c r="M77" s="1065"/>
    </row>
    <row r="78" spans="2:13" ht="15" customHeight="1" x14ac:dyDescent="0.2">
      <c r="B78" s="1065" t="s">
        <v>677</v>
      </c>
      <c r="C78" s="1065"/>
      <c r="D78" s="1065"/>
      <c r="E78" s="1065"/>
      <c r="F78" s="1065"/>
      <c r="G78" s="1065"/>
      <c r="H78" s="1065"/>
      <c r="I78" s="1065"/>
      <c r="J78" s="1065"/>
      <c r="K78" s="1065"/>
      <c r="L78" s="1065"/>
      <c r="M78" s="1065"/>
    </row>
    <row r="79" spans="2:13" ht="15" customHeight="1" x14ac:dyDescent="0.2">
      <c r="B79" s="1065" t="s">
        <v>676</v>
      </c>
      <c r="C79" s="1065"/>
      <c r="D79" s="1065"/>
      <c r="E79" s="1065"/>
      <c r="F79" s="1065"/>
      <c r="G79" s="1065"/>
      <c r="H79" s="1065"/>
      <c r="I79" s="1065"/>
      <c r="J79" s="1065"/>
      <c r="K79" s="1065"/>
      <c r="L79" s="1065"/>
      <c r="M79" s="1065"/>
    </row>
    <row r="80" spans="2:13" ht="15" customHeight="1" x14ac:dyDescent="0.2">
      <c r="B80" s="1065" t="s">
        <v>675</v>
      </c>
      <c r="C80" s="1065"/>
      <c r="D80" s="1065"/>
      <c r="E80" s="1065"/>
      <c r="F80" s="1065"/>
      <c r="G80" s="1065"/>
      <c r="H80" s="1065"/>
      <c r="I80" s="1065"/>
      <c r="J80" s="1065"/>
      <c r="K80" s="1065"/>
      <c r="L80" s="1065"/>
      <c r="M80" s="1065"/>
    </row>
    <row r="81" spans="2:13" ht="15" customHeight="1" x14ac:dyDescent="0.2">
      <c r="B81" s="1065"/>
      <c r="C81" s="1065"/>
      <c r="D81" s="1065"/>
      <c r="E81" s="1065"/>
      <c r="F81" s="1065"/>
      <c r="G81" s="1065"/>
      <c r="H81" s="1065"/>
      <c r="I81" s="1065"/>
      <c r="J81" s="1065"/>
      <c r="K81" s="1065"/>
      <c r="L81" s="1065"/>
      <c r="M81" s="1065"/>
    </row>
    <row r="82" spans="2:13" ht="15" customHeight="1" x14ac:dyDescent="0.2">
      <c r="B82" s="1065" t="s">
        <v>674</v>
      </c>
      <c r="C82" s="1065"/>
      <c r="D82" s="1065"/>
      <c r="E82" s="1065"/>
      <c r="F82" s="1065"/>
      <c r="G82" s="1065"/>
      <c r="H82" s="1065"/>
      <c r="I82" s="1065"/>
      <c r="J82" s="1065"/>
      <c r="K82" s="1065"/>
      <c r="L82" s="1065"/>
      <c r="M82" s="1065"/>
    </row>
    <row r="83" spans="2:13" ht="15" customHeight="1" x14ac:dyDescent="0.2">
      <c r="B83" s="1065"/>
      <c r="C83" s="1065"/>
      <c r="D83" s="1065"/>
      <c r="E83" s="1065"/>
      <c r="F83" s="1065"/>
      <c r="G83" s="1065"/>
      <c r="H83" s="1065"/>
      <c r="I83" s="1065"/>
      <c r="J83" s="1065"/>
      <c r="K83" s="1065"/>
      <c r="L83" s="1065"/>
      <c r="M83" s="1065"/>
    </row>
    <row r="84" spans="2:13" ht="15" customHeight="1" x14ac:dyDescent="0.2">
      <c r="B84" s="1065" t="s">
        <v>673</v>
      </c>
      <c r="C84" s="1065"/>
      <c r="D84" s="1065"/>
      <c r="E84" s="1065"/>
      <c r="F84" s="1065"/>
      <c r="G84" s="1065"/>
      <c r="H84" s="1065"/>
      <c r="I84" s="1065"/>
      <c r="J84" s="1065"/>
      <c r="K84" s="1065"/>
      <c r="L84" s="1065"/>
      <c r="M84" s="1065"/>
    </row>
    <row r="85" spans="2:13" ht="15" customHeight="1" x14ac:dyDescent="0.2">
      <c r="B85" s="1065" t="s">
        <v>672</v>
      </c>
      <c r="C85" s="1065"/>
      <c r="D85" s="1065"/>
      <c r="E85" s="1065"/>
      <c r="F85" s="1065"/>
      <c r="G85" s="1065"/>
      <c r="H85" s="1065"/>
      <c r="I85" s="1065"/>
      <c r="J85" s="1065"/>
      <c r="K85" s="1065"/>
      <c r="L85" s="1065"/>
      <c r="M85" s="1065"/>
    </row>
    <row r="86" spans="2:13" ht="36" customHeight="1" x14ac:dyDescent="0.2">
      <c r="B86" s="1065" t="s">
        <v>671</v>
      </c>
      <c r="C86" s="1065"/>
      <c r="D86" s="1065"/>
      <c r="E86" s="1065"/>
      <c r="F86" s="1065"/>
      <c r="G86" s="1065"/>
      <c r="H86" s="1065"/>
      <c r="I86" s="1065"/>
      <c r="J86" s="1065"/>
      <c r="K86" s="1065"/>
      <c r="L86" s="1065"/>
      <c r="M86" s="1065"/>
    </row>
    <row r="87" spans="2:13" ht="20.25" customHeight="1" x14ac:dyDescent="0.2">
      <c r="B87" s="1065" t="s">
        <v>670</v>
      </c>
      <c r="C87" s="1065"/>
      <c r="D87" s="1065"/>
      <c r="E87" s="1065"/>
      <c r="F87" s="1065"/>
      <c r="G87" s="1065"/>
      <c r="H87" s="1065"/>
      <c r="I87" s="1065"/>
      <c r="J87" s="1065"/>
      <c r="K87" s="1065"/>
      <c r="L87" s="1065"/>
      <c r="M87" s="1065"/>
    </row>
    <row r="88" spans="2:13" ht="15" customHeight="1" x14ac:dyDescent="0.2">
      <c r="B88" s="1065"/>
      <c r="C88" s="1065"/>
      <c r="D88" s="1065"/>
      <c r="E88" s="1065"/>
      <c r="F88" s="1065"/>
      <c r="G88" s="1065"/>
      <c r="H88" s="1065"/>
      <c r="I88" s="1065"/>
      <c r="J88" s="1065"/>
      <c r="K88" s="1065"/>
      <c r="L88" s="1065"/>
      <c r="M88" s="1065"/>
    </row>
    <row r="89" spans="2:13" ht="18" x14ac:dyDescent="0.25">
      <c r="B89" s="1066"/>
      <c r="C89" s="1067"/>
      <c r="D89" s="1067"/>
      <c r="E89" s="1067"/>
      <c r="F89" s="1067"/>
      <c r="G89" s="1067"/>
      <c r="H89" s="1067"/>
      <c r="I89" s="1067"/>
      <c r="J89" s="1067"/>
      <c r="K89" s="1067"/>
      <c r="L89" s="1067"/>
      <c r="M89" s="1067"/>
    </row>
  </sheetData>
  <sheetProtection algorithmName="SHA-512" hashValue="D09RoH2ffs29gDYm9fmmas+lM4k8YOgM6d27SUeCfNH2YVRglN4jRpiPahLQbOXiIjGPMAaZNbmXt45dNsVyZQ==" saltValue="epz6pDRtQWnQM9uxI1Sbsw==" spinCount="100000" sheet="1" scenarios="1" formatCells="0" formatColumns="0" formatRows="0" sort="0" autoFilter="0"/>
  <mergeCells count="62">
    <mergeCell ref="A1:B1"/>
    <mergeCell ref="D7:F7"/>
    <mergeCell ref="B2:M2"/>
    <mergeCell ref="B3:L3"/>
    <mergeCell ref="B4:L4"/>
    <mergeCell ref="B6:C6"/>
    <mergeCell ref="J7:K7"/>
    <mergeCell ref="J5:K5"/>
    <mergeCell ref="C5:F5"/>
    <mergeCell ref="I9:J9"/>
    <mergeCell ref="F9:H9"/>
    <mergeCell ref="B57:M57"/>
    <mergeCell ref="F35:H35"/>
    <mergeCell ref="G10:H10"/>
    <mergeCell ref="K10:L10"/>
    <mergeCell ref="B36:E36"/>
    <mergeCell ref="F36:H36"/>
    <mergeCell ref="I10:J10"/>
    <mergeCell ref="B26:M26"/>
    <mergeCell ref="B28:M28"/>
    <mergeCell ref="B33:M33"/>
    <mergeCell ref="B34:E34"/>
    <mergeCell ref="F34:H34"/>
    <mergeCell ref="B35:E35"/>
    <mergeCell ref="B47:E47"/>
    <mergeCell ref="B63:M63"/>
    <mergeCell ref="B37:E37"/>
    <mergeCell ref="F37:H37"/>
    <mergeCell ref="F38:J38"/>
    <mergeCell ref="B41:M41"/>
    <mergeCell ref="E43:I43"/>
    <mergeCell ref="B48:E48"/>
    <mergeCell ref="B58:M58"/>
    <mergeCell ref="B59:M59"/>
    <mergeCell ref="B60:M60"/>
    <mergeCell ref="B61:M61"/>
    <mergeCell ref="B62:M62"/>
    <mergeCell ref="B71:M71"/>
    <mergeCell ref="B72:M72"/>
    <mergeCell ref="B73:M73"/>
    <mergeCell ref="B74:M74"/>
    <mergeCell ref="B64:M64"/>
    <mergeCell ref="B65:M65"/>
    <mergeCell ref="B66:M66"/>
    <mergeCell ref="B67:M67"/>
    <mergeCell ref="B68:M68"/>
    <mergeCell ref="B70:M70"/>
    <mergeCell ref="B81:M81"/>
    <mergeCell ref="B82:M82"/>
    <mergeCell ref="B83:M83"/>
    <mergeCell ref="B84:M84"/>
    <mergeCell ref="B75:M75"/>
    <mergeCell ref="B76:M76"/>
    <mergeCell ref="B77:M77"/>
    <mergeCell ref="B78:M78"/>
    <mergeCell ref="B79:M79"/>
    <mergeCell ref="B80:M80"/>
    <mergeCell ref="B85:M85"/>
    <mergeCell ref="B86:M86"/>
    <mergeCell ref="B87:M87"/>
    <mergeCell ref="B88:M88"/>
    <mergeCell ref="B89:M89"/>
  </mergeCells>
  <conditionalFormatting sqref="C31">
    <cfRule type="cellIs" dxfId="5" priority="2" stopIfTrue="1" operator="equal">
      <formula>2</formula>
    </cfRule>
  </conditionalFormatting>
  <conditionalFormatting sqref="E31">
    <cfRule type="cellIs" dxfId="4" priority="1" stopIfTrue="1" operator="equal">
      <formula>2</formula>
    </cfRule>
  </conditionalFormatting>
  <conditionalFormatting sqref="D30">
    <cfRule type="expression" dxfId="3" priority="3">
      <formula>IF($Q$31=1,TRUE,FALSE)</formula>
    </cfRule>
  </conditionalFormatting>
  <conditionalFormatting sqref="D43 B41:M41">
    <cfRule type="expression" dxfId="2" priority="4">
      <formula>IF($Q$31=2,TRUE,FALSE)</formula>
    </cfRule>
  </conditionalFormatting>
  <conditionalFormatting sqref="B28:M28">
    <cfRule type="expression" dxfId="1" priority="5">
      <formula>IF($Q$31=1,TRUE,FALSE)</formula>
    </cfRule>
  </conditionalFormatting>
  <dataValidations count="5">
    <dataValidation type="list" allowBlank="1" showInputMessage="1" showErrorMessage="1" sqref="E22:E23" xr:uid="{00000000-0002-0000-0300-000003000000}">
      <formula1>"Crop"</formula1>
    </dataValidation>
    <dataValidation type="list" allowBlank="1" showInputMessage="1" showErrorMessage="1" sqref="E12:E20" xr:uid="{00000000-0002-0000-0300-000002000000}">
      <formula1>Crop</formula1>
    </dataValidation>
    <dataValidation type="list" allowBlank="1" showInputMessage="1" showErrorMessage="1" sqref="B35:E37 B48:E48" xr:uid="{00000000-0002-0000-0300-000001000000}">
      <formula1>AnimalUnit</formula1>
    </dataValidation>
    <dataValidation type="whole" allowBlank="1" showInputMessage="1" showErrorMessage="1" sqref="F12:F20 I12:I20" xr:uid="{00000000-0002-0000-0300-000000000000}">
      <formula1>0</formula1>
      <formula2>250</formula2>
    </dataValidation>
    <dataValidation type="list" allowBlank="1" showInputMessage="1" showErrorMessage="1" sqref="M7" xr:uid="{AD27AC1D-813E-4636-9A53-80D8B8B3C6DA}">
      <formula1>MLRA</formula1>
    </dataValidation>
  </dataValidations>
  <pageMargins left="0.7" right="0.7" top="0.75" bottom="0.75" header="0.3" footer="0.3"/>
  <pageSetup scale="59" orientation="portrait" r:id="rId1"/>
  <headerFooter alignWithMargins="0">
    <oddHeader>&amp;LUS Department of Agriculture
Natural Resources Conservation Service&amp;RSD-CPA-39 Job Sheet
3/17</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8677" r:id="rId4" name="Button 5">
              <controlPr defaultSize="0" print="0" autoFill="0" autoPict="0" macro="[0]!ClearGrazeForm">
                <anchor moveWithCells="1" sizeWithCells="1">
                  <from>
                    <xdr:col>0</xdr:col>
                    <xdr:colOff>0</xdr:colOff>
                    <xdr:row>1</xdr:row>
                    <xdr:rowOff>238125</xdr:rowOff>
                  </from>
                  <to>
                    <xdr:col>1</xdr:col>
                    <xdr:colOff>361950</xdr:colOff>
                    <xdr:row>2</xdr:row>
                    <xdr:rowOff>142875</xdr:rowOff>
                  </to>
                </anchor>
              </controlPr>
            </control>
          </mc:Choice>
        </mc:AlternateContent>
        <mc:AlternateContent xmlns:mc="http://schemas.openxmlformats.org/markup-compatibility/2006">
          <mc:Choice Requires="x14">
            <control shapeId="28678" r:id="rId5" name="Button 6">
              <controlPr defaultSize="0" print="0" autoFill="0" autoPict="0" macro="[0]!Button6_Click">
                <anchor moveWithCells="1" sizeWithCells="1">
                  <from>
                    <xdr:col>8</xdr:col>
                    <xdr:colOff>28575</xdr:colOff>
                    <xdr:row>9</xdr:row>
                    <xdr:rowOff>47625</xdr:rowOff>
                  </from>
                  <to>
                    <xdr:col>8</xdr:col>
                    <xdr:colOff>238125</xdr:colOff>
                    <xdr:row>9</xdr:row>
                    <xdr:rowOff>228600</xdr:rowOff>
                  </to>
                </anchor>
              </controlPr>
            </control>
          </mc:Choice>
        </mc:AlternateContent>
        <mc:AlternateContent xmlns:mc="http://schemas.openxmlformats.org/markup-compatibility/2006">
          <mc:Choice Requires="x14">
            <control shapeId="28679" r:id="rId6" name="Check Box 7">
              <controlPr defaultSize="0" autoFill="0" autoLine="0" autoPict="0">
                <anchor moveWithCells="1">
                  <from>
                    <xdr:col>1</xdr:col>
                    <xdr:colOff>133350</xdr:colOff>
                    <xdr:row>29</xdr:row>
                    <xdr:rowOff>95250</xdr:rowOff>
                  </from>
                  <to>
                    <xdr:col>2</xdr:col>
                    <xdr:colOff>428625</xdr:colOff>
                    <xdr:row>29</xdr:row>
                    <xdr:rowOff>371475</xdr:rowOff>
                  </to>
                </anchor>
              </controlPr>
            </control>
          </mc:Choice>
        </mc:AlternateContent>
        <mc:AlternateContent xmlns:mc="http://schemas.openxmlformats.org/markup-compatibility/2006">
          <mc:Choice Requires="x14">
            <control shapeId="28680" r:id="rId7" name="Check Box 8">
              <controlPr defaultSize="0" autoFill="0" autoLine="0" autoPict="0">
                <anchor moveWithCells="1">
                  <from>
                    <xdr:col>1</xdr:col>
                    <xdr:colOff>95250</xdr:colOff>
                    <xdr:row>42</xdr:row>
                    <xdr:rowOff>76200</xdr:rowOff>
                  </from>
                  <to>
                    <xdr:col>2</xdr:col>
                    <xdr:colOff>485775</xdr:colOff>
                    <xdr:row>42</xdr:row>
                    <xdr:rowOff>381000</xdr:rowOff>
                  </to>
                </anchor>
              </controlPr>
            </control>
          </mc:Choice>
        </mc:AlternateContent>
        <mc:AlternateContent xmlns:mc="http://schemas.openxmlformats.org/markup-compatibility/2006">
          <mc:Choice Requires="x14">
            <control shapeId="28681" r:id="rId8" name="Check Box 9">
              <controlPr defaultSize="0" autoFill="0" autoLine="0" autoPict="0" macro="[0]!checkboxoffcoolwarm">
                <anchor moveWithCells="1">
                  <from>
                    <xdr:col>7</xdr:col>
                    <xdr:colOff>714375</xdr:colOff>
                    <xdr:row>8</xdr:row>
                    <xdr:rowOff>114300</xdr:rowOff>
                  </from>
                  <to>
                    <xdr:col>8</xdr:col>
                    <xdr:colOff>552450</xdr:colOff>
                    <xdr:row>9</xdr:row>
                    <xdr:rowOff>9525</xdr:rowOff>
                  </to>
                </anchor>
              </controlPr>
            </control>
          </mc:Choice>
        </mc:AlternateContent>
        <mc:AlternateContent xmlns:mc="http://schemas.openxmlformats.org/markup-compatibility/2006">
          <mc:Choice Requires="x14">
            <control shapeId="28682" r:id="rId9" name="Check Box 10">
              <controlPr defaultSize="0" autoFill="0" autoLine="0" autoPict="0" macro="[0]!checkboxoffcoolmixed">
                <anchor moveWithCells="1">
                  <from>
                    <xdr:col>8</xdr:col>
                    <xdr:colOff>457200</xdr:colOff>
                    <xdr:row>8</xdr:row>
                    <xdr:rowOff>114300</xdr:rowOff>
                  </from>
                  <to>
                    <xdr:col>9</xdr:col>
                    <xdr:colOff>323850</xdr:colOff>
                    <xdr:row>9</xdr:row>
                    <xdr:rowOff>9525</xdr:rowOff>
                  </to>
                </anchor>
              </controlPr>
            </control>
          </mc:Choice>
        </mc:AlternateContent>
        <mc:AlternateContent xmlns:mc="http://schemas.openxmlformats.org/markup-compatibility/2006">
          <mc:Choice Requires="x14">
            <control shapeId="28683" r:id="rId10" name="Check Box 11">
              <controlPr defaultSize="0" autoFill="0" autoLine="0" autoPict="0" macro="[0]!checkboxoffwarmmixed">
                <anchor moveWithCells="1">
                  <from>
                    <xdr:col>9</xdr:col>
                    <xdr:colOff>323850</xdr:colOff>
                    <xdr:row>8</xdr:row>
                    <xdr:rowOff>114300</xdr:rowOff>
                  </from>
                  <to>
                    <xdr:col>10</xdr:col>
                    <xdr:colOff>38100</xdr:colOff>
                    <xdr:row>9</xdr:row>
                    <xdr:rowOff>9525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71633B67-0ACD-4558-93F8-9D856D1210EB}">
          <x14:formula1>
            <xm:f>DATA!$BF$12:$BF$17</xm:f>
          </x14:formula1>
          <xm:sqref>C10</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C0868-C1B9-43DC-BDCB-3903198C67CE}">
  <sheetPr codeName="Sheet1">
    <pageSetUpPr fitToPage="1"/>
  </sheetPr>
  <dimension ref="A2:AC208"/>
  <sheetViews>
    <sheetView showGridLines="0" zoomScale="80" zoomScaleNormal="80" workbookViewId="0"/>
  </sheetViews>
  <sheetFormatPr defaultRowHeight="12.75" x14ac:dyDescent="0.2"/>
  <cols>
    <col min="21" max="22" width="11.42578125" customWidth="1"/>
    <col min="29" max="29" width="13.42578125" customWidth="1"/>
  </cols>
  <sheetData>
    <row r="2" spans="2:27" ht="9" customHeight="1" thickBot="1" x14ac:dyDescent="0.3">
      <c r="B2" s="341"/>
      <c r="C2" s="341"/>
      <c r="D2" s="341"/>
      <c r="E2" s="341"/>
      <c r="F2" s="1116"/>
      <c r="G2" s="1117"/>
      <c r="H2" s="1117"/>
      <c r="I2" s="1117"/>
      <c r="J2" s="1117"/>
      <c r="K2" s="1117"/>
      <c r="L2" s="1117"/>
      <c r="M2" s="1117"/>
      <c r="N2" s="1117"/>
      <c r="O2" s="1117"/>
      <c r="P2" s="1117"/>
      <c r="Q2" s="1117"/>
      <c r="R2" s="1117"/>
      <c r="S2" s="341"/>
      <c r="T2" s="341"/>
      <c r="U2" s="341"/>
      <c r="V2" s="341"/>
      <c r="W2" s="341"/>
      <c r="X2" s="341"/>
      <c r="Y2" s="341"/>
      <c r="Z2" s="341"/>
      <c r="AA2" s="341"/>
    </row>
    <row r="3" spans="2:27" ht="33" customHeight="1" x14ac:dyDescent="0.3">
      <c r="B3" s="1118" t="s">
        <v>509</v>
      </c>
      <c r="C3" s="1119"/>
      <c r="D3" s="1119"/>
      <c r="E3" s="1119"/>
      <c r="F3" s="1119"/>
      <c r="G3" s="1119"/>
      <c r="H3" s="1119"/>
      <c r="I3" s="1119"/>
      <c r="J3" s="1119"/>
      <c r="K3" s="1119"/>
      <c r="L3" s="1119"/>
      <c r="M3" s="1119"/>
      <c r="N3" s="1119"/>
      <c r="O3" s="1119"/>
      <c r="P3" s="1119"/>
      <c r="Q3" s="1119"/>
      <c r="R3" s="1119"/>
      <c r="S3" s="1119"/>
      <c r="T3" s="1119"/>
      <c r="U3" s="1119"/>
      <c r="V3" s="1119"/>
      <c r="W3" s="1119"/>
      <c r="X3" s="1119"/>
      <c r="Y3" s="1119"/>
      <c r="Z3" s="1119"/>
      <c r="AA3" s="1120"/>
    </row>
    <row r="4" spans="2:27" ht="33" customHeight="1" x14ac:dyDescent="0.3">
      <c r="B4" s="1121" t="s">
        <v>524</v>
      </c>
      <c r="C4" s="796"/>
      <c r="D4" s="796"/>
      <c r="E4" s="796"/>
      <c r="F4" s="796"/>
      <c r="G4" s="796"/>
      <c r="H4" s="796"/>
      <c r="I4" s="796"/>
      <c r="J4" s="796"/>
      <c r="K4" s="796"/>
      <c r="L4" s="796"/>
      <c r="M4" s="796"/>
      <c r="N4" s="796"/>
      <c r="O4" s="796"/>
      <c r="P4" s="796"/>
      <c r="Q4" s="796"/>
      <c r="R4" s="796"/>
      <c r="S4" s="796"/>
      <c r="T4" s="796"/>
      <c r="U4" s="796"/>
      <c r="V4" s="796"/>
      <c r="W4" s="796"/>
      <c r="X4" s="796"/>
      <c r="Y4" s="796"/>
      <c r="Z4" s="796"/>
      <c r="AA4" s="1122"/>
    </row>
    <row r="5" spans="2:27" ht="33" customHeight="1" thickBot="1" x14ac:dyDescent="0.35">
      <c r="B5" s="1123" t="s">
        <v>510</v>
      </c>
      <c r="C5" s="1124"/>
      <c r="D5" s="1124"/>
      <c r="E5" s="1124"/>
      <c r="F5" s="1124"/>
      <c r="G5" s="1124"/>
      <c r="H5" s="1124"/>
      <c r="I5" s="1124"/>
      <c r="J5" s="1124"/>
      <c r="K5" s="1124"/>
      <c r="L5" s="1124"/>
      <c r="M5" s="1124"/>
      <c r="N5" s="1124"/>
      <c r="O5" s="1124"/>
      <c r="P5" s="1124"/>
      <c r="Q5" s="1124"/>
      <c r="R5" s="1124"/>
      <c r="S5" s="1124"/>
      <c r="T5" s="1124"/>
      <c r="U5" s="1124"/>
      <c r="V5" s="1124"/>
      <c r="W5" s="1124"/>
      <c r="X5" s="1124"/>
      <c r="Y5" s="1124"/>
      <c r="Z5" s="1124"/>
      <c r="AA5" s="1125"/>
    </row>
    <row r="6" spans="2:27" x14ac:dyDescent="0.2">
      <c r="B6" s="341"/>
      <c r="C6" s="341"/>
      <c r="D6" s="341"/>
      <c r="E6" s="341"/>
      <c r="F6" s="341"/>
      <c r="G6" s="341"/>
      <c r="H6" s="341"/>
      <c r="I6" s="341"/>
      <c r="J6" s="341"/>
      <c r="K6" s="341"/>
      <c r="L6" s="341"/>
      <c r="M6" s="341"/>
      <c r="N6" s="341"/>
      <c r="O6" s="341"/>
      <c r="P6" s="341"/>
      <c r="Q6" s="341"/>
      <c r="R6" s="341"/>
      <c r="S6" s="341"/>
      <c r="T6" s="341"/>
      <c r="U6" s="341"/>
      <c r="V6" s="341"/>
      <c r="W6" s="341"/>
      <c r="X6" s="341"/>
      <c r="Y6" s="341"/>
      <c r="Z6" s="341"/>
      <c r="AA6" s="341"/>
    </row>
    <row r="7" spans="2:27" x14ac:dyDescent="0.2">
      <c r="V7" s="12"/>
    </row>
    <row r="8" spans="2:27" x14ac:dyDescent="0.2">
      <c r="V8" s="12"/>
    </row>
    <row r="9" spans="2:27" x14ac:dyDescent="0.2">
      <c r="V9" s="12"/>
    </row>
    <row r="10" spans="2:27" x14ac:dyDescent="0.2">
      <c r="V10" s="12"/>
    </row>
    <row r="11" spans="2:27" x14ac:dyDescent="0.2">
      <c r="V11" s="12"/>
    </row>
    <row r="12" spans="2:27" x14ac:dyDescent="0.2">
      <c r="V12" s="12"/>
    </row>
    <row r="13" spans="2:27" ht="15" x14ac:dyDescent="0.2">
      <c r="N13" s="14" t="s">
        <v>505</v>
      </c>
    </row>
    <row r="14" spans="2:27" ht="15" x14ac:dyDescent="0.2">
      <c r="N14" s="14" t="s">
        <v>506</v>
      </c>
    </row>
    <row r="15" spans="2:27" ht="35.25" customHeight="1" x14ac:dyDescent="0.5">
      <c r="B15" s="1115" t="s">
        <v>503</v>
      </c>
      <c r="C15" s="796"/>
      <c r="D15" s="796"/>
      <c r="E15" s="796"/>
      <c r="F15" s="796"/>
      <c r="G15" s="796"/>
      <c r="H15" s="796"/>
      <c r="I15" s="796"/>
      <c r="J15" s="796"/>
      <c r="K15" s="796"/>
    </row>
    <row r="16" spans="2:27" ht="18" x14ac:dyDescent="0.25">
      <c r="B16" s="287" t="s">
        <v>504</v>
      </c>
    </row>
    <row r="50" spans="2:11" ht="33.75" customHeight="1" x14ac:dyDescent="0.5">
      <c r="B50" s="1115" t="s">
        <v>507</v>
      </c>
      <c r="C50" s="1115"/>
      <c r="D50" s="1115"/>
      <c r="E50" s="1115"/>
      <c r="F50" s="1115"/>
      <c r="G50" s="1115"/>
      <c r="H50" s="1115"/>
      <c r="I50" s="1115"/>
      <c r="J50" s="1115"/>
      <c r="K50" s="1115"/>
    </row>
    <row r="51" spans="2:11" ht="18" x14ac:dyDescent="0.25">
      <c r="B51" s="287" t="s">
        <v>511</v>
      </c>
    </row>
    <row r="52" spans="2:11" ht="18" x14ac:dyDescent="0.25">
      <c r="B52" s="287" t="s">
        <v>514</v>
      </c>
    </row>
    <row r="66" spans="22:29" ht="18" x14ac:dyDescent="0.25">
      <c r="V66" s="287" t="s">
        <v>512</v>
      </c>
      <c r="AB66" s="287">
        <v>136.47</v>
      </c>
      <c r="AC66" s="12" t="s">
        <v>513</v>
      </c>
    </row>
    <row r="121" spans="2:14" ht="33.75" x14ac:dyDescent="0.5">
      <c r="B121" s="1115" t="s">
        <v>508</v>
      </c>
      <c r="C121" s="1115"/>
      <c r="D121" s="1115"/>
      <c r="E121" s="1115"/>
      <c r="F121" s="1115"/>
      <c r="G121" s="1115"/>
      <c r="H121" s="1115"/>
      <c r="I121" s="1115"/>
      <c r="J121" s="1115"/>
      <c r="K121" s="1115"/>
    </row>
    <row r="122" spans="2:14" ht="24" customHeight="1" x14ac:dyDescent="0.25">
      <c r="N122" s="287" t="s">
        <v>505</v>
      </c>
    </row>
    <row r="123" spans="2:14" ht="18" x14ac:dyDescent="0.25">
      <c r="B123" s="287" t="s">
        <v>501</v>
      </c>
      <c r="N123" s="287" t="s">
        <v>776</v>
      </c>
    </row>
    <row r="124" spans="2:14" ht="18" x14ac:dyDescent="0.25">
      <c r="B124" s="287" t="s">
        <v>502</v>
      </c>
      <c r="N124" s="287" t="s">
        <v>777</v>
      </c>
    </row>
    <row r="125" spans="2:14" ht="18" x14ac:dyDescent="0.25">
      <c r="N125" s="287" t="s">
        <v>778</v>
      </c>
    </row>
    <row r="129" spans="24:24" x14ac:dyDescent="0.2">
      <c r="X129" s="81" t="s">
        <v>174</v>
      </c>
    </row>
    <row r="155" spans="1:1" x14ac:dyDescent="0.2">
      <c r="A155" s="12" t="s">
        <v>499</v>
      </c>
    </row>
    <row r="173" spans="2:18" ht="20.25" x14ac:dyDescent="0.3">
      <c r="R173" s="14" t="s">
        <v>522</v>
      </c>
    </row>
    <row r="174" spans="2:18" ht="15" x14ac:dyDescent="0.2">
      <c r="R174" s="14" t="s">
        <v>506</v>
      </c>
    </row>
    <row r="175" spans="2:18" ht="33.75" x14ac:dyDescent="0.5">
      <c r="B175" s="1115" t="s">
        <v>515</v>
      </c>
      <c r="C175" s="1115"/>
      <c r="D175" s="1115"/>
      <c r="E175" s="1115"/>
      <c r="F175" s="1115"/>
      <c r="G175" s="1115"/>
      <c r="H175" s="1115"/>
      <c r="I175" s="1115"/>
      <c r="J175" s="1115"/>
      <c r="K175" s="1115"/>
    </row>
    <row r="177" spans="2:2" ht="18" x14ac:dyDescent="0.25">
      <c r="B177" s="287" t="s">
        <v>518</v>
      </c>
    </row>
    <row r="178" spans="2:2" ht="23.25" x14ac:dyDescent="0.35">
      <c r="B178" s="287" t="s">
        <v>521</v>
      </c>
    </row>
    <row r="179" spans="2:2" ht="18" x14ac:dyDescent="0.25">
      <c r="B179" s="287" t="s">
        <v>519</v>
      </c>
    </row>
    <row r="207" spans="23:23" x14ac:dyDescent="0.2">
      <c r="W207" s="346" t="s">
        <v>523</v>
      </c>
    </row>
    <row r="208" spans="23:23" x14ac:dyDescent="0.2">
      <c r="W208" s="346" t="s">
        <v>520</v>
      </c>
    </row>
  </sheetData>
  <sheetProtection algorithmName="SHA-512" hashValue="rWOGPZpgJdemikIYrhfnmeYXU1UVr3gvEtBHuZt05k3jHrp1/Ck4kUf1+f5gb6llhQwX17xE7LMOQCgQJb+4/w==" saltValue="fK+revQ3tNJuJd1NK8T67g==" spinCount="100000" sheet="1" scenarios="1" formatCells="0" formatColumns="0" formatRows="0" sort="0" autoFilter="0"/>
  <mergeCells count="8">
    <mergeCell ref="B175:K175"/>
    <mergeCell ref="F2:R2"/>
    <mergeCell ref="B3:AA3"/>
    <mergeCell ref="B4:AA4"/>
    <mergeCell ref="B5:AA5"/>
    <mergeCell ref="B121:K121"/>
    <mergeCell ref="B50:K50"/>
    <mergeCell ref="B15:K15"/>
  </mergeCells>
  <pageMargins left="0.7" right="0.7" top="0.75" bottom="0.75" header="0.3" footer="0.3"/>
  <pageSetup scale="40"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Go_To_Cover_Crop_Worksheet2">
                <anchor moveWithCells="1" sizeWithCells="1">
                  <from>
                    <xdr:col>0</xdr:col>
                    <xdr:colOff>66675</xdr:colOff>
                    <xdr:row>2</xdr:row>
                    <xdr:rowOff>0</xdr:rowOff>
                  </from>
                  <to>
                    <xdr:col>0</xdr:col>
                    <xdr:colOff>485775</xdr:colOff>
                    <xdr:row>5</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F1F34-93D5-4DAD-8F41-BDEB7C0119D0}">
  <sheetPr codeName="Sheet10">
    <pageSetUpPr fitToPage="1"/>
  </sheetPr>
  <dimension ref="A1:S157"/>
  <sheetViews>
    <sheetView showGridLines="0" workbookViewId="0">
      <selection activeCell="B2" sqref="B2:J2"/>
    </sheetView>
  </sheetViews>
  <sheetFormatPr defaultRowHeight="12.75" x14ac:dyDescent="0.2"/>
  <cols>
    <col min="1" max="1" width="5.28515625" customWidth="1"/>
    <col min="3" max="3" width="18.7109375" customWidth="1"/>
    <col min="4" max="4" width="34.28515625" customWidth="1"/>
    <col min="5" max="5" width="13.140625" customWidth="1"/>
    <col min="6" max="6" width="20.5703125" bestFit="1" customWidth="1"/>
    <col min="8" max="8" width="12.42578125" customWidth="1"/>
    <col min="9" max="9" width="11.140625" customWidth="1"/>
    <col min="10" max="10" width="10.7109375" customWidth="1"/>
    <col min="11" max="11" width="15.7109375" customWidth="1"/>
    <col min="12" max="12" width="11.7109375" customWidth="1"/>
    <col min="18" max="19" width="9.140625" hidden="1" customWidth="1"/>
  </cols>
  <sheetData>
    <row r="1" spans="1:19" x14ac:dyDescent="0.2">
      <c r="A1" s="321"/>
      <c r="S1">
        <v>0</v>
      </c>
    </row>
    <row r="2" spans="1:19" ht="23.25" x14ac:dyDescent="0.35">
      <c r="B2" s="1146" t="s">
        <v>806</v>
      </c>
      <c r="C2" s="1147"/>
      <c r="D2" s="1147"/>
      <c r="E2" s="1147"/>
      <c r="F2" s="1147"/>
      <c r="G2" s="1147"/>
      <c r="H2" s="1147"/>
      <c r="I2" s="1147"/>
      <c r="J2" s="1147"/>
    </row>
    <row r="3" spans="1:19" ht="15.75" customHeight="1" x14ac:dyDescent="0.2">
      <c r="B3" s="1148"/>
      <c r="C3" s="1149"/>
      <c r="D3" s="1149"/>
      <c r="E3" s="1149"/>
      <c r="F3" s="1149"/>
      <c r="G3" s="1149"/>
      <c r="H3" s="1149"/>
      <c r="I3" s="1149"/>
      <c r="J3" s="1149"/>
    </row>
    <row r="4" spans="1:19" ht="91.5" customHeight="1" x14ac:dyDescent="0.2">
      <c r="B4" s="1148" t="s">
        <v>889</v>
      </c>
      <c r="C4" s="1149"/>
      <c r="D4" s="1149"/>
      <c r="E4" s="1149"/>
      <c r="F4" s="1149"/>
      <c r="G4" s="1149"/>
      <c r="H4" s="1149"/>
      <c r="I4" s="1149"/>
      <c r="J4" s="1149"/>
      <c r="R4">
        <f>IFERROR(VALUE(LEFT(DATA!K23)),0)</f>
        <v>0</v>
      </c>
      <c r="S4">
        <f>IFERROR(VALUE(RIGHT(DATA!K23)),0)</f>
        <v>0</v>
      </c>
    </row>
    <row r="5" spans="1:19" ht="28.5" customHeight="1" x14ac:dyDescent="0.3">
      <c r="B5" s="1152" t="str">
        <f>'Cover crop worksheet'!J3&amp;" Field Office"</f>
        <v xml:space="preserve"> Field Office</v>
      </c>
      <c r="C5" s="1153"/>
      <c r="D5" s="1153"/>
      <c r="E5" s="744" t="str">
        <f>"Phone    "&amp;'Cover crop worksheet'!M3</f>
        <v xml:space="preserve">Phone    </v>
      </c>
      <c r="F5" s="729">
        <f>'Cover crop worksheet'!M3</f>
        <v>0</v>
      </c>
      <c r="G5" s="729"/>
      <c r="H5" s="729"/>
      <c r="I5" s="13"/>
      <c r="J5" s="13"/>
    </row>
    <row r="6" spans="1:19" ht="30" customHeight="1" x14ac:dyDescent="0.25">
      <c r="B6" s="1150" t="s">
        <v>890</v>
      </c>
      <c r="C6" s="1149"/>
      <c r="D6" s="1149"/>
      <c r="E6" s="1149"/>
      <c r="F6" s="1149"/>
      <c r="G6" s="1149"/>
      <c r="H6" s="1149"/>
      <c r="I6" s="1149"/>
      <c r="J6" s="1149"/>
    </row>
    <row r="7" spans="1:19" ht="15" x14ac:dyDescent="0.2">
      <c r="B7" s="1151"/>
      <c r="C7" s="894"/>
      <c r="D7" s="894"/>
      <c r="E7" s="894"/>
      <c r="F7" s="894"/>
      <c r="G7" s="894"/>
      <c r="H7" s="894"/>
      <c r="I7" s="894"/>
      <c r="J7" s="894"/>
    </row>
    <row r="8" spans="1:19" ht="15" x14ac:dyDescent="0.2">
      <c r="B8" s="1151"/>
      <c r="C8" s="894"/>
      <c r="D8" s="894"/>
      <c r="E8" s="894"/>
      <c r="F8" s="894"/>
      <c r="G8" s="894"/>
      <c r="H8" s="894"/>
      <c r="I8" s="894"/>
      <c r="J8" s="894"/>
    </row>
    <row r="9" spans="1:19" ht="15" x14ac:dyDescent="0.2">
      <c r="B9" s="1151"/>
      <c r="C9" s="894"/>
      <c r="D9" s="894"/>
      <c r="E9" s="894"/>
      <c r="F9" s="894"/>
      <c r="G9" s="894"/>
      <c r="H9" s="894"/>
      <c r="I9" s="894"/>
      <c r="J9" s="894"/>
    </row>
    <row r="10" spans="1:19" x14ac:dyDescent="0.2">
      <c r="B10" s="1053" t="s">
        <v>266</v>
      </c>
      <c r="C10" s="1054"/>
      <c r="D10" s="1055" t="s">
        <v>207</v>
      </c>
      <c r="E10" s="1055"/>
      <c r="F10" s="1055"/>
      <c r="G10" s="1055"/>
      <c r="H10" s="1055"/>
      <c r="I10" s="202" t="s">
        <v>208</v>
      </c>
      <c r="R10">
        <v>10</v>
      </c>
      <c r="S10">
        <f>IF(R10&gt;0,R10,0)</f>
        <v>10</v>
      </c>
    </row>
    <row r="11" spans="1:19" x14ac:dyDescent="0.2">
      <c r="B11" s="7"/>
      <c r="C11" s="7"/>
      <c r="D11" s="7"/>
      <c r="E11" s="7"/>
      <c r="F11" s="7"/>
      <c r="G11" s="7"/>
      <c r="H11" s="7"/>
      <c r="I11" s="7"/>
      <c r="R11">
        <v>10</v>
      </c>
      <c r="S11">
        <f t="shared" ref="S11" si="0">IF(R11&gt;0,R11,0)</f>
        <v>10</v>
      </c>
    </row>
    <row r="12" spans="1:19" ht="15" hidden="1" x14ac:dyDescent="0.25">
      <c r="B12" s="174"/>
      <c r="C12" s="174"/>
      <c r="D12" s="1048" t="s">
        <v>262</v>
      </c>
      <c r="E12" s="1049"/>
      <c r="F12" s="1049"/>
      <c r="G12" s="1049"/>
      <c r="H12" s="1050"/>
      <c r="I12" s="176"/>
      <c r="R12">
        <v>1</v>
      </c>
      <c r="S12">
        <f>IFERROR(IF(OR(R12=R$4,R12=S$4),R12,0),0)</f>
        <v>0</v>
      </c>
    </row>
    <row r="13" spans="1:19" hidden="1" x14ac:dyDescent="0.2">
      <c r="B13" s="1046" t="s">
        <v>219</v>
      </c>
      <c r="C13" s="1046"/>
      <c r="D13" s="1046" t="s">
        <v>277</v>
      </c>
      <c r="E13" s="1046"/>
      <c r="F13" s="1046"/>
      <c r="G13" s="1046"/>
      <c r="H13" s="1046"/>
      <c r="I13" s="231" t="s">
        <v>229</v>
      </c>
      <c r="R13">
        <v>1</v>
      </c>
      <c r="S13">
        <f t="shared" ref="S13:S76" si="1">IFERROR(IF(OR(R13=R$4,R13=S$4),R13,0),0)</f>
        <v>0</v>
      </c>
    </row>
    <row r="14" spans="1:19" hidden="1" x14ac:dyDescent="0.2">
      <c r="B14" s="1046" t="s">
        <v>210</v>
      </c>
      <c r="C14" s="1046"/>
      <c r="D14" s="1046" t="s">
        <v>478</v>
      </c>
      <c r="E14" s="1046"/>
      <c r="F14" s="1046"/>
      <c r="G14" s="1046"/>
      <c r="H14" s="1046"/>
      <c r="I14" s="231" t="s">
        <v>224</v>
      </c>
      <c r="R14">
        <v>1</v>
      </c>
      <c r="S14">
        <f t="shared" si="1"/>
        <v>0</v>
      </c>
    </row>
    <row r="15" spans="1:19" hidden="1" x14ac:dyDescent="0.2">
      <c r="B15" s="1046" t="s">
        <v>235</v>
      </c>
      <c r="C15" s="1046"/>
      <c r="D15" s="1046" t="s">
        <v>263</v>
      </c>
      <c r="E15" s="1046"/>
      <c r="F15" s="1046"/>
      <c r="G15" s="1046"/>
      <c r="H15" s="1046"/>
      <c r="I15" s="231" t="s">
        <v>224</v>
      </c>
      <c r="R15">
        <v>1</v>
      </c>
      <c r="S15">
        <f t="shared" si="1"/>
        <v>0</v>
      </c>
    </row>
    <row r="16" spans="1:19" hidden="1" x14ac:dyDescent="0.2">
      <c r="B16" s="1046" t="s">
        <v>217</v>
      </c>
      <c r="C16" s="1046"/>
      <c r="D16" s="1046" t="s">
        <v>230</v>
      </c>
      <c r="E16" s="1046"/>
      <c r="F16" s="1046"/>
      <c r="G16" s="1046"/>
      <c r="H16" s="1046"/>
      <c r="I16" s="231" t="s">
        <v>213</v>
      </c>
      <c r="R16">
        <v>1</v>
      </c>
      <c r="S16">
        <f t="shared" si="1"/>
        <v>0</v>
      </c>
    </row>
    <row r="17" spans="2:19" hidden="1" x14ac:dyDescent="0.2">
      <c r="B17" s="1046" t="s">
        <v>222</v>
      </c>
      <c r="C17" s="1046"/>
      <c r="D17" s="1046" t="s">
        <v>231</v>
      </c>
      <c r="E17" s="1046"/>
      <c r="F17" s="1046"/>
      <c r="G17" s="1046"/>
      <c r="H17" s="1046"/>
      <c r="I17" s="231" t="s">
        <v>216</v>
      </c>
      <c r="R17">
        <v>1</v>
      </c>
      <c r="S17">
        <f t="shared" si="1"/>
        <v>0</v>
      </c>
    </row>
    <row r="18" spans="2:19" hidden="1" x14ac:dyDescent="0.2">
      <c r="B18" s="1046" t="s">
        <v>226</v>
      </c>
      <c r="C18" s="1046"/>
      <c r="D18" s="1046" t="s">
        <v>269</v>
      </c>
      <c r="E18" s="1046"/>
      <c r="F18" s="1046"/>
      <c r="G18" s="1046"/>
      <c r="H18" s="1046"/>
      <c r="I18" s="231" t="s">
        <v>232</v>
      </c>
      <c r="R18">
        <v>1</v>
      </c>
      <c r="S18">
        <f t="shared" si="1"/>
        <v>0</v>
      </c>
    </row>
    <row r="19" spans="2:19" hidden="1" x14ac:dyDescent="0.2">
      <c r="B19" s="232"/>
      <c r="C19" s="232"/>
      <c r="D19" s="232"/>
      <c r="E19" s="232"/>
      <c r="F19" s="232"/>
      <c r="G19" s="232"/>
      <c r="H19" s="232"/>
      <c r="I19" s="234"/>
      <c r="R19">
        <v>1</v>
      </c>
      <c r="S19">
        <f t="shared" si="1"/>
        <v>0</v>
      </c>
    </row>
    <row r="20" spans="2:19" hidden="1" x14ac:dyDescent="0.2">
      <c r="B20" s="7"/>
      <c r="C20" s="7"/>
      <c r="D20" s="7"/>
      <c r="E20" s="7"/>
      <c r="F20" s="7"/>
      <c r="G20" s="7"/>
      <c r="H20" s="7"/>
      <c r="I20" s="7"/>
      <c r="R20">
        <v>2</v>
      </c>
      <c r="S20">
        <f t="shared" si="1"/>
        <v>0</v>
      </c>
    </row>
    <row r="21" spans="2:19" ht="15" hidden="1" x14ac:dyDescent="0.25">
      <c r="B21" s="174"/>
      <c r="C21" s="174"/>
      <c r="D21" s="1048" t="s">
        <v>233</v>
      </c>
      <c r="E21" s="1049"/>
      <c r="F21" s="1049"/>
      <c r="G21" s="1049"/>
      <c r="H21" s="1050"/>
      <c r="I21" s="176"/>
      <c r="R21">
        <v>2</v>
      </c>
      <c r="S21">
        <f t="shared" si="1"/>
        <v>0</v>
      </c>
    </row>
    <row r="22" spans="2:19" hidden="1" x14ac:dyDescent="0.2">
      <c r="B22" s="1046" t="s">
        <v>210</v>
      </c>
      <c r="C22" s="1046"/>
      <c r="D22" s="1047" t="s">
        <v>264</v>
      </c>
      <c r="E22" s="1047"/>
      <c r="F22" s="1047"/>
      <c r="G22" s="1047"/>
      <c r="H22" s="1047"/>
      <c r="I22" s="10" t="s">
        <v>234</v>
      </c>
      <c r="R22">
        <v>2</v>
      </c>
      <c r="S22">
        <f t="shared" si="1"/>
        <v>0</v>
      </c>
    </row>
    <row r="23" spans="2:19" hidden="1" x14ac:dyDescent="0.2">
      <c r="B23" s="1046" t="s">
        <v>226</v>
      </c>
      <c r="C23" s="1046"/>
      <c r="D23" s="1046" t="s">
        <v>265</v>
      </c>
      <c r="E23" s="1046"/>
      <c r="F23" s="1046"/>
      <c r="G23" s="1046"/>
      <c r="H23" s="1046"/>
      <c r="I23" s="10" t="s">
        <v>211</v>
      </c>
      <c r="R23">
        <v>2</v>
      </c>
      <c r="S23">
        <f t="shared" si="1"/>
        <v>0</v>
      </c>
    </row>
    <row r="24" spans="2:19" hidden="1" x14ac:dyDescent="0.2">
      <c r="B24" s="1046" t="s">
        <v>235</v>
      </c>
      <c r="C24" s="1046"/>
      <c r="D24" s="1046" t="s">
        <v>236</v>
      </c>
      <c r="E24" s="1046"/>
      <c r="F24" s="1046"/>
      <c r="G24" s="1046"/>
      <c r="H24" s="1046"/>
      <c r="I24" s="10" t="s">
        <v>216</v>
      </c>
      <c r="R24">
        <v>2</v>
      </c>
      <c r="S24">
        <f t="shared" si="1"/>
        <v>0</v>
      </c>
    </row>
    <row r="25" spans="2:19" hidden="1" x14ac:dyDescent="0.2">
      <c r="B25" s="1046" t="s">
        <v>219</v>
      </c>
      <c r="C25" s="1046"/>
      <c r="D25" s="1046" t="s">
        <v>237</v>
      </c>
      <c r="E25" s="1046"/>
      <c r="F25" s="1046"/>
      <c r="G25" s="1046"/>
      <c r="H25" s="1046"/>
      <c r="I25" s="10" t="s">
        <v>238</v>
      </c>
      <c r="R25">
        <v>2</v>
      </c>
      <c r="S25">
        <f t="shared" si="1"/>
        <v>0</v>
      </c>
    </row>
    <row r="26" spans="2:19" hidden="1" x14ac:dyDescent="0.2">
      <c r="B26" s="232"/>
      <c r="C26" s="232"/>
      <c r="D26" s="657"/>
      <c r="E26" s="657"/>
      <c r="F26" s="657"/>
      <c r="G26" s="657"/>
      <c r="H26" s="657"/>
      <c r="I26" s="11"/>
      <c r="R26">
        <v>2</v>
      </c>
      <c r="S26">
        <f t="shared" si="1"/>
        <v>0</v>
      </c>
    </row>
    <row r="27" spans="2:19" hidden="1" x14ac:dyDescent="0.2">
      <c r="B27" s="232"/>
      <c r="C27" s="232"/>
      <c r="D27" s="233"/>
      <c r="E27" s="233"/>
      <c r="F27" s="233"/>
      <c r="G27" s="233"/>
      <c r="H27" s="233"/>
      <c r="I27" s="11"/>
      <c r="R27">
        <v>3</v>
      </c>
      <c r="S27">
        <f t="shared" si="1"/>
        <v>0</v>
      </c>
    </row>
    <row r="28" spans="2:19" ht="15" hidden="1" x14ac:dyDescent="0.25">
      <c r="B28" s="8"/>
      <c r="C28" s="177"/>
      <c r="D28" s="1048" t="s">
        <v>267</v>
      </c>
      <c r="E28" s="1049"/>
      <c r="F28" s="1049"/>
      <c r="G28" s="1049"/>
      <c r="H28" s="1050"/>
      <c r="I28" s="178"/>
      <c r="R28">
        <v>3</v>
      </c>
      <c r="S28">
        <f t="shared" si="1"/>
        <v>0</v>
      </c>
    </row>
    <row r="29" spans="2:19" hidden="1" x14ac:dyDescent="0.2">
      <c r="B29" s="1046" t="s">
        <v>210</v>
      </c>
      <c r="C29" s="1046"/>
      <c r="D29" s="1046" t="s">
        <v>268</v>
      </c>
      <c r="E29" s="1046"/>
      <c r="F29" s="1046"/>
      <c r="G29" s="1046"/>
      <c r="H29" s="1046"/>
      <c r="I29" s="10" t="s">
        <v>216</v>
      </c>
      <c r="R29">
        <v>3</v>
      </c>
      <c r="S29">
        <f t="shared" si="1"/>
        <v>0</v>
      </c>
    </row>
    <row r="30" spans="2:19" hidden="1" x14ac:dyDescent="0.2">
      <c r="B30" s="1046" t="s">
        <v>226</v>
      </c>
      <c r="C30" s="1046"/>
      <c r="D30" s="1046" t="s">
        <v>269</v>
      </c>
      <c r="E30" s="1046"/>
      <c r="F30" s="1046"/>
      <c r="G30" s="1046"/>
      <c r="H30" s="1046"/>
      <c r="I30" s="10" t="s">
        <v>275</v>
      </c>
      <c r="R30">
        <v>3</v>
      </c>
      <c r="S30">
        <f t="shared" si="1"/>
        <v>0</v>
      </c>
    </row>
    <row r="31" spans="2:19" hidden="1" x14ac:dyDescent="0.2">
      <c r="B31" s="1046" t="s">
        <v>217</v>
      </c>
      <c r="C31" s="1046"/>
      <c r="D31" s="1047" t="s">
        <v>270</v>
      </c>
      <c r="E31" s="1047"/>
      <c r="F31" s="1047"/>
      <c r="G31" s="1047"/>
      <c r="H31" s="1047"/>
      <c r="I31" s="10" t="s">
        <v>225</v>
      </c>
      <c r="R31">
        <v>3</v>
      </c>
      <c r="S31">
        <f t="shared" si="1"/>
        <v>0</v>
      </c>
    </row>
    <row r="32" spans="2:19" ht="15" hidden="1" x14ac:dyDescent="0.25">
      <c r="B32" s="1056" t="s">
        <v>214</v>
      </c>
      <c r="C32" s="1057"/>
      <c r="D32" s="1046" t="s">
        <v>271</v>
      </c>
      <c r="E32" s="1046"/>
      <c r="F32" s="1046"/>
      <c r="G32" s="1046"/>
      <c r="H32" s="1046"/>
      <c r="I32" s="10" t="s">
        <v>248</v>
      </c>
      <c r="R32">
        <v>3</v>
      </c>
      <c r="S32">
        <f t="shared" si="1"/>
        <v>0</v>
      </c>
    </row>
    <row r="33" spans="2:19" hidden="1" x14ac:dyDescent="0.2">
      <c r="B33" s="1046" t="s">
        <v>235</v>
      </c>
      <c r="C33" s="1046"/>
      <c r="D33" s="1046" t="s">
        <v>272</v>
      </c>
      <c r="E33" s="1046"/>
      <c r="F33" s="1046"/>
      <c r="G33" s="1046"/>
      <c r="H33" s="1046"/>
      <c r="I33" s="10" t="s">
        <v>216</v>
      </c>
      <c r="R33">
        <v>3</v>
      </c>
      <c r="S33">
        <f t="shared" si="1"/>
        <v>0</v>
      </c>
    </row>
    <row r="34" spans="2:19" hidden="1" x14ac:dyDescent="0.2">
      <c r="B34" s="1046" t="s">
        <v>273</v>
      </c>
      <c r="C34" s="1046"/>
      <c r="D34" s="1046" t="s">
        <v>274</v>
      </c>
      <c r="E34" s="1046"/>
      <c r="F34" s="1046"/>
      <c r="G34" s="1046"/>
      <c r="H34" s="1046"/>
      <c r="I34" s="10" t="s">
        <v>224</v>
      </c>
      <c r="R34">
        <v>3</v>
      </c>
      <c r="S34">
        <f t="shared" si="1"/>
        <v>0</v>
      </c>
    </row>
    <row r="35" spans="2:19" hidden="1" x14ac:dyDescent="0.2">
      <c r="B35" s="1046" t="s">
        <v>219</v>
      </c>
      <c r="C35" s="1046"/>
      <c r="D35" s="1046" t="s">
        <v>413</v>
      </c>
      <c r="E35" s="1046"/>
      <c r="F35" s="1046"/>
      <c r="G35" s="1046"/>
      <c r="H35" s="1046"/>
      <c r="I35" s="10" t="s">
        <v>238</v>
      </c>
      <c r="R35">
        <v>3</v>
      </c>
      <c r="S35">
        <f t="shared" si="1"/>
        <v>0</v>
      </c>
    </row>
    <row r="36" spans="2:19" hidden="1" x14ac:dyDescent="0.2">
      <c r="B36" s="657"/>
      <c r="C36" s="657"/>
      <c r="D36" s="657"/>
      <c r="E36" s="657"/>
      <c r="F36" s="657"/>
      <c r="G36" s="657"/>
      <c r="H36" s="657"/>
      <c r="I36" s="11"/>
      <c r="R36">
        <v>3</v>
      </c>
      <c r="S36">
        <f t="shared" si="1"/>
        <v>0</v>
      </c>
    </row>
    <row r="37" spans="2:19" hidden="1" x14ac:dyDescent="0.2">
      <c r="B37" s="1144"/>
      <c r="C37" s="1144"/>
      <c r="D37" s="1145"/>
      <c r="E37" s="1145"/>
      <c r="F37" s="1145"/>
      <c r="G37" s="1145"/>
      <c r="H37" s="1145"/>
      <c r="I37" s="11"/>
      <c r="R37">
        <v>4</v>
      </c>
      <c r="S37">
        <f t="shared" si="1"/>
        <v>0</v>
      </c>
    </row>
    <row r="38" spans="2:19" ht="15" hidden="1" x14ac:dyDescent="0.25">
      <c r="B38" s="8"/>
      <c r="C38" s="177"/>
      <c r="D38" s="1048" t="s">
        <v>239</v>
      </c>
      <c r="E38" s="1049"/>
      <c r="F38" s="1049"/>
      <c r="G38" s="1049"/>
      <c r="H38" s="1050"/>
      <c r="I38" s="178"/>
      <c r="R38">
        <v>4</v>
      </c>
      <c r="S38">
        <f t="shared" si="1"/>
        <v>0</v>
      </c>
    </row>
    <row r="39" spans="2:19" hidden="1" x14ac:dyDescent="0.2">
      <c r="B39" s="1046" t="s">
        <v>210</v>
      </c>
      <c r="C39" s="1046"/>
      <c r="D39" s="1047" t="s">
        <v>264</v>
      </c>
      <c r="E39" s="1047"/>
      <c r="F39" s="1047"/>
      <c r="G39" s="1047"/>
      <c r="H39" s="1047"/>
      <c r="I39" s="10" t="s">
        <v>240</v>
      </c>
      <c r="R39">
        <v>4</v>
      </c>
      <c r="S39">
        <f t="shared" si="1"/>
        <v>0</v>
      </c>
    </row>
    <row r="40" spans="2:19" hidden="1" x14ac:dyDescent="0.2">
      <c r="B40" s="1046" t="s">
        <v>235</v>
      </c>
      <c r="C40" s="1046"/>
      <c r="D40" s="1046" t="s">
        <v>236</v>
      </c>
      <c r="E40" s="1046"/>
      <c r="F40" s="1046"/>
      <c r="G40" s="1046"/>
      <c r="H40" s="1046"/>
      <c r="I40" s="10" t="s">
        <v>218</v>
      </c>
      <c r="R40">
        <v>4</v>
      </c>
      <c r="S40">
        <f t="shared" si="1"/>
        <v>0</v>
      </c>
    </row>
    <row r="41" spans="2:19" hidden="1" x14ac:dyDescent="0.2">
      <c r="B41" s="1046" t="s">
        <v>219</v>
      </c>
      <c r="C41" s="1046"/>
      <c r="D41" s="1046" t="s">
        <v>278</v>
      </c>
      <c r="E41" s="1046"/>
      <c r="F41" s="1046"/>
      <c r="G41" s="1046"/>
      <c r="H41" s="1046"/>
      <c r="I41" s="10" t="s">
        <v>241</v>
      </c>
      <c r="R41">
        <v>4</v>
      </c>
      <c r="S41">
        <f t="shared" si="1"/>
        <v>0</v>
      </c>
    </row>
    <row r="42" spans="2:19" hidden="1" x14ac:dyDescent="0.2">
      <c r="B42" s="232"/>
      <c r="C42" s="232"/>
      <c r="D42" s="232"/>
      <c r="E42" s="232"/>
      <c r="F42" s="232"/>
      <c r="G42" s="232"/>
      <c r="H42" s="232"/>
      <c r="I42" s="11"/>
      <c r="R42">
        <v>4</v>
      </c>
      <c r="S42">
        <f t="shared" si="1"/>
        <v>0</v>
      </c>
    </row>
    <row r="43" spans="2:19" hidden="1" x14ac:dyDescent="0.2">
      <c r="B43" s="232"/>
      <c r="C43" s="232"/>
      <c r="D43" s="232"/>
      <c r="E43" s="232"/>
      <c r="F43" s="232"/>
      <c r="G43" s="232"/>
      <c r="H43" s="232"/>
      <c r="I43" s="234"/>
      <c r="R43">
        <v>5</v>
      </c>
      <c r="S43">
        <f t="shared" si="1"/>
        <v>0</v>
      </c>
    </row>
    <row r="44" spans="2:19" ht="15" hidden="1" x14ac:dyDescent="0.25">
      <c r="B44" s="8"/>
      <c r="C44" s="177"/>
      <c r="D44" s="1048" t="s">
        <v>242</v>
      </c>
      <c r="E44" s="1049"/>
      <c r="F44" s="1049"/>
      <c r="G44" s="1049"/>
      <c r="H44" s="1050"/>
      <c r="I44" s="178"/>
      <c r="R44">
        <v>5</v>
      </c>
      <c r="S44">
        <f t="shared" si="1"/>
        <v>0</v>
      </c>
    </row>
    <row r="45" spans="2:19" hidden="1" x14ac:dyDescent="0.2">
      <c r="B45" s="1046" t="s">
        <v>210</v>
      </c>
      <c r="C45" s="1046"/>
      <c r="D45" s="1047" t="s">
        <v>264</v>
      </c>
      <c r="E45" s="1047"/>
      <c r="F45" s="1047"/>
      <c r="G45" s="1047"/>
      <c r="H45" s="1047"/>
      <c r="I45" s="10" t="s">
        <v>216</v>
      </c>
      <c r="R45">
        <v>5</v>
      </c>
      <c r="S45">
        <f t="shared" si="1"/>
        <v>0</v>
      </c>
    </row>
    <row r="46" spans="2:19" hidden="1" x14ac:dyDescent="0.2">
      <c r="B46" s="1046" t="s">
        <v>226</v>
      </c>
      <c r="C46" s="1046"/>
      <c r="D46" s="1046" t="s">
        <v>276</v>
      </c>
      <c r="E46" s="1046"/>
      <c r="F46" s="1046"/>
      <c r="G46" s="1046"/>
      <c r="H46" s="1046"/>
      <c r="I46" s="10" t="s">
        <v>243</v>
      </c>
      <c r="R46">
        <v>5</v>
      </c>
      <c r="S46">
        <f t="shared" si="1"/>
        <v>0</v>
      </c>
    </row>
    <row r="47" spans="2:19" hidden="1" x14ac:dyDescent="0.2">
      <c r="B47" s="1046" t="s">
        <v>235</v>
      </c>
      <c r="C47" s="1046"/>
      <c r="D47" s="1046" t="s">
        <v>236</v>
      </c>
      <c r="E47" s="1046"/>
      <c r="F47" s="1046"/>
      <c r="G47" s="1046"/>
      <c r="H47" s="1046"/>
      <c r="I47" s="10" t="s">
        <v>216</v>
      </c>
      <c r="R47">
        <v>5</v>
      </c>
      <c r="S47">
        <f t="shared" si="1"/>
        <v>0</v>
      </c>
    </row>
    <row r="48" spans="2:19" hidden="1" x14ac:dyDescent="0.2">
      <c r="B48" s="1046" t="s">
        <v>219</v>
      </c>
      <c r="C48" s="1046"/>
      <c r="D48" s="1046" t="s">
        <v>279</v>
      </c>
      <c r="E48" s="1046"/>
      <c r="F48" s="1046"/>
      <c r="G48" s="1046"/>
      <c r="H48" s="1046"/>
      <c r="I48" s="10" t="s">
        <v>244</v>
      </c>
      <c r="R48">
        <v>5</v>
      </c>
      <c r="S48">
        <f t="shared" si="1"/>
        <v>0</v>
      </c>
    </row>
    <row r="49" spans="2:19" hidden="1" x14ac:dyDescent="0.2">
      <c r="B49" s="232"/>
      <c r="C49" s="232"/>
      <c r="D49" s="232"/>
      <c r="E49" s="232"/>
      <c r="F49" s="232"/>
      <c r="G49" s="232"/>
      <c r="H49" s="232"/>
      <c r="I49" s="11"/>
      <c r="R49">
        <v>5</v>
      </c>
      <c r="S49">
        <f t="shared" si="1"/>
        <v>0</v>
      </c>
    </row>
    <row r="50" spans="2:19" hidden="1" x14ac:dyDescent="0.2">
      <c r="B50" s="232"/>
      <c r="C50" s="232"/>
      <c r="D50" s="232"/>
      <c r="E50" s="232"/>
      <c r="F50" s="232"/>
      <c r="G50" s="232"/>
      <c r="H50" s="232"/>
      <c r="I50" s="11"/>
      <c r="R50">
        <v>6</v>
      </c>
      <c r="S50">
        <f t="shared" si="1"/>
        <v>0</v>
      </c>
    </row>
    <row r="51" spans="2:19" ht="15" hidden="1" x14ac:dyDescent="0.25">
      <c r="B51" s="8"/>
      <c r="C51" s="177"/>
      <c r="D51" s="1053" t="s">
        <v>245</v>
      </c>
      <c r="E51" s="1060"/>
      <c r="F51" s="1060"/>
      <c r="G51" s="1060"/>
      <c r="H51" s="1061"/>
      <c r="I51" s="178"/>
      <c r="R51">
        <v>6</v>
      </c>
      <c r="S51">
        <f t="shared" si="1"/>
        <v>0</v>
      </c>
    </row>
    <row r="52" spans="2:19" hidden="1" x14ac:dyDescent="0.2">
      <c r="B52" s="1046" t="s">
        <v>210</v>
      </c>
      <c r="C52" s="1046"/>
      <c r="D52" s="1047" t="s">
        <v>264</v>
      </c>
      <c r="E52" s="1047"/>
      <c r="F52" s="1047"/>
      <c r="G52" s="1047"/>
      <c r="H52" s="1047"/>
      <c r="I52" s="10" t="s">
        <v>232</v>
      </c>
      <c r="R52">
        <v>6</v>
      </c>
      <c r="S52">
        <f t="shared" si="1"/>
        <v>0</v>
      </c>
    </row>
    <row r="53" spans="2:19" hidden="1" x14ac:dyDescent="0.2">
      <c r="B53" s="1046" t="s">
        <v>214</v>
      </c>
      <c r="C53" s="1046"/>
      <c r="D53" s="1046" t="s">
        <v>271</v>
      </c>
      <c r="E53" s="1046"/>
      <c r="F53" s="1046"/>
      <c r="G53" s="1046"/>
      <c r="H53" s="1046"/>
      <c r="I53" s="10" t="s">
        <v>216</v>
      </c>
      <c r="R53">
        <v>6</v>
      </c>
      <c r="S53">
        <f t="shared" si="1"/>
        <v>0</v>
      </c>
    </row>
    <row r="54" spans="2:19" hidden="1" x14ac:dyDescent="0.2">
      <c r="B54" s="1046" t="s">
        <v>226</v>
      </c>
      <c r="C54" s="1046"/>
      <c r="D54" s="1046" t="s">
        <v>479</v>
      </c>
      <c r="E54" s="1046"/>
      <c r="F54" s="1046"/>
      <c r="G54" s="1046"/>
      <c r="H54" s="1046"/>
      <c r="I54" s="10" t="s">
        <v>246</v>
      </c>
      <c r="R54">
        <v>6</v>
      </c>
      <c r="S54">
        <f t="shared" si="1"/>
        <v>0</v>
      </c>
    </row>
    <row r="55" spans="2:19" hidden="1" x14ac:dyDescent="0.2">
      <c r="B55" s="1046" t="s">
        <v>217</v>
      </c>
      <c r="C55" s="1046"/>
      <c r="D55" s="1046" t="s">
        <v>247</v>
      </c>
      <c r="E55" s="1046"/>
      <c r="F55" s="1046"/>
      <c r="G55" s="1046"/>
      <c r="H55" s="1046"/>
      <c r="I55" s="10" t="s">
        <v>248</v>
      </c>
      <c r="R55">
        <v>6</v>
      </c>
      <c r="S55">
        <f t="shared" si="1"/>
        <v>0</v>
      </c>
    </row>
    <row r="56" spans="2:19" hidden="1" x14ac:dyDescent="0.2">
      <c r="B56" s="1046" t="s">
        <v>235</v>
      </c>
      <c r="C56" s="1046"/>
      <c r="D56" s="1046" t="s">
        <v>236</v>
      </c>
      <c r="E56" s="1046"/>
      <c r="F56" s="1046"/>
      <c r="G56" s="1046"/>
      <c r="H56" s="1046"/>
      <c r="I56" s="10" t="s">
        <v>216</v>
      </c>
      <c r="R56">
        <v>6</v>
      </c>
      <c r="S56">
        <f t="shared" si="1"/>
        <v>0</v>
      </c>
    </row>
    <row r="57" spans="2:19" hidden="1" x14ac:dyDescent="0.2">
      <c r="B57" s="1046" t="s">
        <v>219</v>
      </c>
      <c r="C57" s="1046"/>
      <c r="D57" s="1046" t="s">
        <v>249</v>
      </c>
      <c r="E57" s="1046"/>
      <c r="F57" s="1046"/>
      <c r="G57" s="1046"/>
      <c r="H57" s="1046"/>
      <c r="I57" s="10" t="s">
        <v>211</v>
      </c>
      <c r="R57">
        <v>6</v>
      </c>
      <c r="S57">
        <f t="shared" si="1"/>
        <v>0</v>
      </c>
    </row>
    <row r="58" spans="2:19" hidden="1" x14ac:dyDescent="0.2">
      <c r="B58" s="232"/>
      <c r="C58" s="232"/>
      <c r="D58" s="232"/>
      <c r="E58" s="232"/>
      <c r="F58" s="232"/>
      <c r="G58" s="232"/>
      <c r="H58" s="232"/>
      <c r="I58" s="11"/>
      <c r="R58">
        <v>6</v>
      </c>
      <c r="S58">
        <f t="shared" si="1"/>
        <v>0</v>
      </c>
    </row>
    <row r="59" spans="2:19" x14ac:dyDescent="0.2">
      <c r="B59" s="232"/>
      <c r="C59" s="232"/>
      <c r="D59" s="232"/>
      <c r="E59" s="232"/>
      <c r="F59" s="232"/>
      <c r="G59" s="232"/>
      <c r="H59" s="232"/>
      <c r="I59" s="11"/>
      <c r="R59">
        <v>7</v>
      </c>
      <c r="S59">
        <f t="shared" si="1"/>
        <v>0</v>
      </c>
    </row>
    <row r="60" spans="2:19" ht="15" x14ac:dyDescent="0.25">
      <c r="B60" s="174"/>
      <c r="C60" s="179"/>
      <c r="D60" s="1048" t="s">
        <v>250</v>
      </c>
      <c r="E60" s="1049"/>
      <c r="F60" s="1049"/>
      <c r="G60" s="1049"/>
      <c r="H60" s="1050"/>
      <c r="I60" s="176"/>
      <c r="R60">
        <v>7</v>
      </c>
      <c r="S60">
        <f t="shared" si="1"/>
        <v>0</v>
      </c>
    </row>
    <row r="61" spans="2:19" x14ac:dyDescent="0.2">
      <c r="B61" s="1046" t="s">
        <v>210</v>
      </c>
      <c r="C61" s="1046"/>
      <c r="D61" s="1046" t="s">
        <v>412</v>
      </c>
      <c r="E61" s="1046"/>
      <c r="F61" s="1046"/>
      <c r="G61" s="1046"/>
      <c r="H61" s="1046"/>
      <c r="I61" s="10" t="s">
        <v>211</v>
      </c>
      <c r="R61">
        <v>7</v>
      </c>
      <c r="S61">
        <f t="shared" si="1"/>
        <v>0</v>
      </c>
    </row>
    <row r="62" spans="2:19" x14ac:dyDescent="0.2">
      <c r="B62" s="1046" t="s">
        <v>214</v>
      </c>
      <c r="C62" s="1046"/>
      <c r="D62" s="1046" t="s">
        <v>480</v>
      </c>
      <c r="E62" s="1046"/>
      <c r="F62" s="1046"/>
      <c r="G62" s="1046"/>
      <c r="H62" s="1046"/>
      <c r="I62" s="10" t="s">
        <v>216</v>
      </c>
      <c r="R62">
        <v>7</v>
      </c>
      <c r="S62">
        <f t="shared" si="1"/>
        <v>0</v>
      </c>
    </row>
    <row r="63" spans="2:19" x14ac:dyDescent="0.2">
      <c r="B63" s="1046" t="s">
        <v>226</v>
      </c>
      <c r="C63" s="1046"/>
      <c r="D63" s="1046" t="s">
        <v>479</v>
      </c>
      <c r="E63" s="1046"/>
      <c r="F63" s="1046"/>
      <c r="G63" s="1046"/>
      <c r="H63" s="1046"/>
      <c r="I63" s="10" t="s">
        <v>252</v>
      </c>
      <c r="R63">
        <v>7</v>
      </c>
      <c r="S63">
        <f t="shared" si="1"/>
        <v>0</v>
      </c>
    </row>
    <row r="64" spans="2:19" x14ac:dyDescent="0.2">
      <c r="B64" s="1046" t="s">
        <v>222</v>
      </c>
      <c r="C64" s="1046"/>
      <c r="D64" s="1046" t="s">
        <v>253</v>
      </c>
      <c r="E64" s="1046"/>
      <c r="F64" s="1046"/>
      <c r="G64" s="1046"/>
      <c r="H64" s="1046"/>
      <c r="I64" s="10" t="s">
        <v>216</v>
      </c>
      <c r="R64">
        <v>7</v>
      </c>
      <c r="S64">
        <f t="shared" si="1"/>
        <v>0</v>
      </c>
    </row>
    <row r="65" spans="2:19" x14ac:dyDescent="0.2">
      <c r="B65" s="1046" t="s">
        <v>217</v>
      </c>
      <c r="C65" s="1046"/>
      <c r="D65" s="1046" t="s">
        <v>254</v>
      </c>
      <c r="E65" s="1046"/>
      <c r="F65" s="1046"/>
      <c r="G65" s="1046"/>
      <c r="H65" s="1046"/>
      <c r="I65" s="10" t="s">
        <v>255</v>
      </c>
      <c r="R65">
        <v>7</v>
      </c>
      <c r="S65">
        <f t="shared" si="1"/>
        <v>0</v>
      </c>
    </row>
    <row r="66" spans="2:19" x14ac:dyDescent="0.2">
      <c r="B66" s="1046" t="s">
        <v>235</v>
      </c>
      <c r="C66" s="1046"/>
      <c r="D66" s="1046" t="s">
        <v>236</v>
      </c>
      <c r="E66" s="1046"/>
      <c r="F66" s="1046"/>
      <c r="G66" s="1046"/>
      <c r="H66" s="1046"/>
      <c r="I66" s="10" t="s">
        <v>216</v>
      </c>
      <c r="R66">
        <v>7</v>
      </c>
      <c r="S66">
        <f t="shared" si="1"/>
        <v>0</v>
      </c>
    </row>
    <row r="67" spans="2:19" x14ac:dyDescent="0.2">
      <c r="B67" s="1046" t="s">
        <v>219</v>
      </c>
      <c r="C67" s="1046"/>
      <c r="D67" s="1046" t="s">
        <v>249</v>
      </c>
      <c r="E67" s="1046"/>
      <c r="F67" s="1046"/>
      <c r="G67" s="1046"/>
      <c r="H67" s="1046"/>
      <c r="I67" s="10" t="s">
        <v>211</v>
      </c>
      <c r="R67">
        <v>7</v>
      </c>
      <c r="S67">
        <f t="shared" si="1"/>
        <v>0</v>
      </c>
    </row>
    <row r="68" spans="2:19" x14ac:dyDescent="0.2">
      <c r="B68" s="232"/>
      <c r="C68" s="232"/>
      <c r="D68" s="232"/>
      <c r="E68" s="232"/>
      <c r="F68" s="232"/>
      <c r="G68" s="232"/>
      <c r="H68" s="232"/>
      <c r="I68" s="11"/>
      <c r="R68">
        <v>7</v>
      </c>
      <c r="S68">
        <f t="shared" si="1"/>
        <v>0</v>
      </c>
    </row>
    <row r="69" spans="2:19" x14ac:dyDescent="0.2">
      <c r="B69" s="232"/>
      <c r="C69" s="232"/>
      <c r="D69" s="232"/>
      <c r="E69" s="232"/>
      <c r="F69" s="232"/>
      <c r="G69" s="232"/>
      <c r="H69" s="232"/>
      <c r="I69" s="11"/>
      <c r="R69">
        <v>8</v>
      </c>
      <c r="S69">
        <f t="shared" si="1"/>
        <v>0</v>
      </c>
    </row>
    <row r="70" spans="2:19" ht="15" x14ac:dyDescent="0.25">
      <c r="B70" s="174"/>
      <c r="C70" s="174"/>
      <c r="D70" s="1048" t="s">
        <v>259</v>
      </c>
      <c r="E70" s="1049"/>
      <c r="F70" s="1049"/>
      <c r="G70" s="1049"/>
      <c r="H70" s="1050"/>
      <c r="I70" s="174"/>
      <c r="R70">
        <v>8</v>
      </c>
      <c r="S70">
        <f t="shared" si="1"/>
        <v>0</v>
      </c>
    </row>
    <row r="71" spans="2:19" x14ac:dyDescent="0.2">
      <c r="B71" s="1047" t="s">
        <v>210</v>
      </c>
      <c r="C71" s="1047"/>
      <c r="D71" s="1047" t="s">
        <v>285</v>
      </c>
      <c r="E71" s="1047"/>
      <c r="F71" s="1047"/>
      <c r="G71" s="1047"/>
      <c r="H71" s="1047"/>
      <c r="I71" s="84" t="s">
        <v>211</v>
      </c>
      <c r="R71">
        <v>8</v>
      </c>
      <c r="S71">
        <f t="shared" si="1"/>
        <v>0</v>
      </c>
    </row>
    <row r="72" spans="2:19" x14ac:dyDescent="0.2">
      <c r="B72" s="1043" t="s">
        <v>214</v>
      </c>
      <c r="C72" s="1044"/>
      <c r="D72" s="1043" t="s">
        <v>486</v>
      </c>
      <c r="E72" s="1045"/>
      <c r="F72" s="1045"/>
      <c r="G72" s="1045"/>
      <c r="H72" s="1044"/>
      <c r="I72" s="10" t="s">
        <v>251</v>
      </c>
      <c r="R72">
        <v>8</v>
      </c>
      <c r="S72">
        <f t="shared" si="1"/>
        <v>0</v>
      </c>
    </row>
    <row r="73" spans="2:19" x14ac:dyDescent="0.2">
      <c r="B73" s="1043" t="s">
        <v>226</v>
      </c>
      <c r="C73" s="1044"/>
      <c r="D73" s="1043" t="s">
        <v>284</v>
      </c>
      <c r="E73" s="1045"/>
      <c r="F73" s="1045"/>
      <c r="G73" s="1045"/>
      <c r="H73" s="1044"/>
      <c r="I73" s="10" t="s">
        <v>229</v>
      </c>
      <c r="R73">
        <v>8</v>
      </c>
      <c r="S73">
        <f t="shared" si="1"/>
        <v>0</v>
      </c>
    </row>
    <row r="74" spans="2:19" x14ac:dyDescent="0.2">
      <c r="B74" s="1043" t="s">
        <v>222</v>
      </c>
      <c r="C74" s="1044"/>
      <c r="D74" s="1043" t="s">
        <v>253</v>
      </c>
      <c r="E74" s="1045"/>
      <c r="F74" s="1045"/>
      <c r="G74" s="1045"/>
      <c r="H74" s="1044"/>
      <c r="I74" s="10" t="s">
        <v>216</v>
      </c>
      <c r="R74">
        <v>8</v>
      </c>
      <c r="S74">
        <f t="shared" si="1"/>
        <v>0</v>
      </c>
    </row>
    <row r="75" spans="2:19" x14ac:dyDescent="0.2">
      <c r="B75" s="1043" t="s">
        <v>217</v>
      </c>
      <c r="C75" s="1044"/>
      <c r="D75" s="1043" t="s">
        <v>260</v>
      </c>
      <c r="E75" s="1045"/>
      <c r="F75" s="1045"/>
      <c r="G75" s="1045"/>
      <c r="H75" s="1044"/>
      <c r="I75" s="10" t="s">
        <v>255</v>
      </c>
      <c r="R75">
        <v>8</v>
      </c>
      <c r="S75">
        <f t="shared" si="1"/>
        <v>0</v>
      </c>
    </row>
    <row r="76" spans="2:19" x14ac:dyDescent="0.2">
      <c r="B76" s="1043" t="s">
        <v>235</v>
      </c>
      <c r="C76" s="1044"/>
      <c r="D76" s="1043" t="s">
        <v>236</v>
      </c>
      <c r="E76" s="1045"/>
      <c r="F76" s="1045"/>
      <c r="G76" s="1045"/>
      <c r="H76" s="1044"/>
      <c r="I76" s="10" t="s">
        <v>216</v>
      </c>
      <c r="R76">
        <v>8</v>
      </c>
      <c r="S76">
        <f t="shared" si="1"/>
        <v>0</v>
      </c>
    </row>
    <row r="77" spans="2:19" x14ac:dyDescent="0.2">
      <c r="B77" s="1046" t="s">
        <v>219</v>
      </c>
      <c r="C77" s="1046"/>
      <c r="D77" s="1046" t="s">
        <v>249</v>
      </c>
      <c r="E77" s="1046"/>
      <c r="F77" s="1046"/>
      <c r="G77" s="1046"/>
      <c r="H77" s="1046"/>
      <c r="I77" s="10" t="s">
        <v>211</v>
      </c>
      <c r="R77">
        <v>8</v>
      </c>
      <c r="S77">
        <f t="shared" ref="S77:S78" si="2">IFERROR(IF(OR(R77=R$4,R77=S$4),R77,0),0)</f>
        <v>0</v>
      </c>
    </row>
    <row r="78" spans="2:19" ht="15" x14ac:dyDescent="0.25">
      <c r="B78" s="238"/>
      <c r="C78" s="175"/>
      <c r="D78" s="1063"/>
      <c r="E78" s="1064"/>
      <c r="F78" s="1064"/>
      <c r="G78" s="1064"/>
      <c r="H78" s="1064"/>
      <c r="I78" s="175"/>
      <c r="R78">
        <v>8</v>
      </c>
      <c r="S78">
        <f t="shared" si="2"/>
        <v>0</v>
      </c>
    </row>
    <row r="79" spans="2:19" ht="15" x14ac:dyDescent="0.25">
      <c r="B79" s="85"/>
      <c r="C79" s="85"/>
      <c r="D79" s="1058" t="s">
        <v>410</v>
      </c>
      <c r="E79" s="971"/>
      <c r="F79" s="971"/>
      <c r="G79" s="971"/>
      <c r="H79" s="971"/>
      <c r="I79" s="85"/>
      <c r="R79">
        <v>10</v>
      </c>
      <c r="S79">
        <v>10</v>
      </c>
    </row>
    <row r="80" spans="2:19" ht="15" x14ac:dyDescent="0.25">
      <c r="B80" s="239"/>
      <c r="C80" s="239"/>
      <c r="D80" s="1059" t="s">
        <v>411</v>
      </c>
      <c r="E80" s="796"/>
      <c r="F80" s="796"/>
      <c r="G80" s="796"/>
      <c r="H80" s="796"/>
      <c r="I80" s="75"/>
      <c r="R80">
        <v>10</v>
      </c>
      <c r="S80">
        <v>10</v>
      </c>
    </row>
    <row r="81" spans="2:10" ht="15" x14ac:dyDescent="0.25">
      <c r="B81" s="239"/>
      <c r="C81" s="239"/>
      <c r="D81" s="85"/>
      <c r="E81" s="13"/>
      <c r="F81" s="13"/>
      <c r="G81" s="13"/>
      <c r="H81" s="13"/>
      <c r="I81" s="75"/>
    </row>
    <row r="82" spans="2:10" ht="15" x14ac:dyDescent="0.25">
      <c r="B82" s="239"/>
      <c r="C82" s="239"/>
      <c r="D82" s="85"/>
      <c r="E82" s="13"/>
      <c r="F82" s="13"/>
      <c r="G82" s="13"/>
      <c r="H82" s="13"/>
      <c r="I82" s="75"/>
    </row>
    <row r="83" spans="2:10" ht="15" x14ac:dyDescent="0.25">
      <c r="B83" s="239"/>
      <c r="C83" s="1140" t="s">
        <v>875</v>
      </c>
      <c r="D83" s="796"/>
      <c r="E83" s="796"/>
      <c r="F83" s="796"/>
      <c r="G83" s="796"/>
      <c r="H83" s="796"/>
      <c r="I83" s="796"/>
    </row>
    <row r="84" spans="2:10" ht="18.75" x14ac:dyDescent="0.3">
      <c r="B84" s="239"/>
      <c r="C84" s="1141" t="str">
        <f>IF('Cover crop worksheet'!J7=0,"",'Cover crop worksheet'!J7)</f>
        <v/>
      </c>
      <c r="D84" s="1142"/>
      <c r="E84" s="1142"/>
      <c r="F84" s="1142"/>
      <c r="G84" s="1142"/>
      <c r="H84" s="1142"/>
      <c r="I84" s="1143"/>
    </row>
    <row r="85" spans="2:10" ht="15" x14ac:dyDescent="0.25">
      <c r="B85" s="239"/>
      <c r="C85" s="239"/>
      <c r="D85" s="85"/>
      <c r="E85" s="13"/>
      <c r="F85" s="13"/>
      <c r="G85" s="13"/>
      <c r="H85" s="13"/>
      <c r="I85" s="75"/>
    </row>
    <row r="86" spans="2:10" ht="15" x14ac:dyDescent="0.25">
      <c r="B86" s="239"/>
      <c r="C86" s="239"/>
      <c r="D86" s="85"/>
      <c r="E86" s="13"/>
      <c r="F86" s="13"/>
      <c r="G86" s="13"/>
      <c r="H86" s="13"/>
      <c r="I86" s="75"/>
    </row>
    <row r="87" spans="2:10" ht="15" x14ac:dyDescent="0.25">
      <c r="B87" s="239"/>
      <c r="C87" s="682"/>
      <c r="D87" s="683"/>
      <c r="E87" s="684"/>
      <c r="F87" s="684"/>
      <c r="G87" s="684"/>
      <c r="H87" s="684"/>
      <c r="I87" s="685"/>
    </row>
    <row r="88" spans="2:10" ht="22.5" customHeight="1" x14ac:dyDescent="0.35">
      <c r="B88" s="239"/>
      <c r="C88" s="1137" t="s">
        <v>845</v>
      </c>
      <c r="D88" s="1138"/>
      <c r="E88" s="1138"/>
      <c r="F88" s="1138"/>
      <c r="G88" s="1138"/>
      <c r="H88" s="1138"/>
      <c r="I88" s="1139"/>
    </row>
    <row r="89" spans="2:10" ht="21" x14ac:dyDescent="0.35">
      <c r="B89" s="239"/>
      <c r="C89" s="1137" t="s">
        <v>844</v>
      </c>
      <c r="D89" s="1138"/>
      <c r="E89" s="1138"/>
      <c r="F89" s="1138"/>
      <c r="G89" s="1138"/>
      <c r="H89" s="1138"/>
      <c r="I89" s="1139"/>
    </row>
    <row r="90" spans="2:10" ht="15" x14ac:dyDescent="0.25">
      <c r="B90" s="239"/>
      <c r="C90" s="679"/>
      <c r="D90" s="85"/>
      <c r="E90" s="13"/>
      <c r="F90" s="13"/>
      <c r="G90" s="13"/>
      <c r="H90" s="13"/>
      <c r="I90" s="681"/>
    </row>
    <row r="91" spans="2:10" ht="15.75" x14ac:dyDescent="0.25">
      <c r="B91" s="239"/>
      <c r="C91" s="1130" t="s">
        <v>841</v>
      </c>
      <c r="D91" s="1131"/>
      <c r="E91" s="1131"/>
      <c r="F91" s="1131"/>
      <c r="G91" s="1131"/>
      <c r="H91" s="1131"/>
      <c r="I91" s="1132"/>
    </row>
    <row r="92" spans="2:10" ht="15.75" x14ac:dyDescent="0.25">
      <c r="B92" s="239"/>
      <c r="C92" s="692"/>
      <c r="D92" s="14"/>
      <c r="E92" s="14"/>
      <c r="F92" s="14"/>
      <c r="G92" s="14"/>
      <c r="H92" s="14"/>
      <c r="I92" s="693"/>
    </row>
    <row r="93" spans="2:10" ht="15" customHeight="1" x14ac:dyDescent="0.3">
      <c r="B93" s="239"/>
      <c r="C93" s="1130" t="s">
        <v>855</v>
      </c>
      <c r="D93" s="1133"/>
      <c r="E93" s="1133"/>
      <c r="F93" s="1133"/>
      <c r="G93" s="1133"/>
      <c r="H93" s="1133"/>
      <c r="I93" s="1134"/>
      <c r="J93" s="680"/>
    </row>
    <row r="94" spans="2:10" ht="15.75" x14ac:dyDescent="0.25">
      <c r="B94" s="239"/>
      <c r="C94" s="1130"/>
      <c r="D94" s="1135"/>
      <c r="E94" s="1135"/>
      <c r="F94" s="1135"/>
      <c r="G94" s="1135"/>
      <c r="H94" s="1135"/>
      <c r="I94" s="1136"/>
    </row>
    <row r="95" spans="2:10" ht="18.75" customHeight="1" x14ac:dyDescent="0.25">
      <c r="B95" s="239"/>
      <c r="C95" s="1130" t="s">
        <v>846</v>
      </c>
      <c r="D95" s="1135"/>
      <c r="E95" s="1135"/>
      <c r="F95" s="1135"/>
      <c r="G95" s="1135"/>
      <c r="H95" s="1135"/>
      <c r="I95" s="1136"/>
    </row>
    <row r="96" spans="2:10" ht="15.75" x14ac:dyDescent="0.25">
      <c r="B96" s="239"/>
      <c r="C96" s="692"/>
      <c r="D96" s="14"/>
      <c r="E96" s="14"/>
      <c r="F96" s="14"/>
      <c r="G96" s="14"/>
      <c r="H96" s="14"/>
      <c r="I96" s="693"/>
    </row>
    <row r="97" spans="2:9" ht="18.75" customHeight="1" x14ac:dyDescent="0.25">
      <c r="B97" s="239"/>
      <c r="C97" s="690" t="s">
        <v>842</v>
      </c>
      <c r="D97" s="1126" t="s">
        <v>847</v>
      </c>
      <c r="E97" s="1127"/>
      <c r="F97" s="700"/>
      <c r="G97" s="691"/>
      <c r="H97" s="691"/>
      <c r="I97" s="694"/>
    </row>
    <row r="98" spans="2:9" ht="18.75" customHeight="1" x14ac:dyDescent="0.25">
      <c r="B98" s="239"/>
      <c r="C98" s="701" t="s">
        <v>843</v>
      </c>
      <c r="D98" s="1128" t="s">
        <v>848</v>
      </c>
      <c r="E98" s="1129"/>
      <c r="F98" s="700"/>
      <c r="G98" s="691"/>
      <c r="H98" s="691"/>
      <c r="I98" s="694"/>
    </row>
    <row r="99" spans="2:9" ht="15" x14ac:dyDescent="0.25">
      <c r="B99" s="239"/>
      <c r="C99" s="686"/>
      <c r="D99" s="687"/>
      <c r="E99" s="688"/>
      <c r="F99" s="688"/>
      <c r="G99" s="688"/>
      <c r="H99" s="688"/>
      <c r="I99" s="689"/>
    </row>
    <row r="102" spans="2:9" ht="20.25" x14ac:dyDescent="0.3">
      <c r="C102" s="656" t="s">
        <v>826</v>
      </c>
    </row>
    <row r="103" spans="2:9" ht="13.5" thickBot="1" x14ac:dyDescent="0.25"/>
    <row r="104" spans="2:9" x14ac:dyDescent="0.2">
      <c r="C104" s="655" t="str" cm="1">
        <f t="array" ref="C104:C110">_xlfn.UNIQUE(C115:C157)</f>
        <v>CSB</v>
      </c>
      <c r="D104" s="599" t="s">
        <v>819</v>
      </c>
      <c r="E104" s="600"/>
    </row>
    <row r="105" spans="2:9" x14ac:dyDescent="0.2">
      <c r="C105" s="265" t="str">
        <v>CSB-brassica</v>
      </c>
      <c r="D105" t="s">
        <v>820</v>
      </c>
      <c r="E105" s="602"/>
    </row>
    <row r="106" spans="2:9" x14ac:dyDescent="0.2">
      <c r="C106" s="265" t="str">
        <v>CSB-legume</v>
      </c>
      <c r="D106" t="s">
        <v>821</v>
      </c>
      <c r="E106" s="602"/>
    </row>
    <row r="107" spans="2:9" x14ac:dyDescent="0.2">
      <c r="C107" s="265" t="str">
        <v>CSG</v>
      </c>
      <c r="D107" t="s">
        <v>822</v>
      </c>
      <c r="E107" s="602"/>
    </row>
    <row r="108" spans="2:9" x14ac:dyDescent="0.2">
      <c r="C108" s="265" t="str">
        <v>WSB</v>
      </c>
      <c r="D108" t="s">
        <v>823</v>
      </c>
      <c r="E108" s="602"/>
    </row>
    <row r="109" spans="2:9" x14ac:dyDescent="0.2">
      <c r="C109" s="265" t="str">
        <v>WSB-legume</v>
      </c>
      <c r="D109" t="s">
        <v>824</v>
      </c>
      <c r="E109" s="602"/>
    </row>
    <row r="110" spans="2:9" ht="13.5" thickBot="1" x14ac:dyDescent="0.25">
      <c r="C110" s="609" t="str">
        <v>WSG</v>
      </c>
      <c r="D110" s="610" t="s">
        <v>825</v>
      </c>
      <c r="E110" s="611"/>
    </row>
    <row r="112" spans="2:9" x14ac:dyDescent="0.2">
      <c r="E112" s="12" t="s">
        <v>827</v>
      </c>
    </row>
    <row r="113" spans="3:5" x14ac:dyDescent="0.2">
      <c r="E113" s="12" t="s">
        <v>828</v>
      </c>
    </row>
    <row r="114" spans="3:5" x14ac:dyDescent="0.2">
      <c r="C114" t="s">
        <v>266</v>
      </c>
      <c r="D114" t="s">
        <v>207</v>
      </c>
      <c r="E114" s="12" t="s">
        <v>840</v>
      </c>
    </row>
    <row r="115" spans="3:5" x14ac:dyDescent="0.2">
      <c r="C115" s="676" t="s">
        <v>214</v>
      </c>
      <c r="D115" s="676" t="s">
        <v>75</v>
      </c>
      <c r="E115" s="677">
        <v>3</v>
      </c>
    </row>
    <row r="116" spans="3:5" x14ac:dyDescent="0.2">
      <c r="C116" s="676" t="s">
        <v>214</v>
      </c>
      <c r="D116" s="676" t="s">
        <v>82</v>
      </c>
      <c r="E116" s="677">
        <v>4</v>
      </c>
    </row>
    <row r="117" spans="3:5" x14ac:dyDescent="0.2">
      <c r="C117" s="676" t="s">
        <v>214</v>
      </c>
      <c r="D117" s="676" t="s">
        <v>90</v>
      </c>
      <c r="E117" s="677">
        <v>30</v>
      </c>
    </row>
    <row r="118" spans="3:5" x14ac:dyDescent="0.2">
      <c r="C118" s="676" t="s">
        <v>214</v>
      </c>
      <c r="D118" s="676" t="s">
        <v>807</v>
      </c>
      <c r="E118" s="677">
        <v>4</v>
      </c>
    </row>
    <row r="119" spans="3:5" x14ac:dyDescent="0.2">
      <c r="C119" s="676" t="s">
        <v>214</v>
      </c>
      <c r="D119" s="676" t="s">
        <v>108</v>
      </c>
      <c r="E119" s="677">
        <v>4</v>
      </c>
    </row>
    <row r="120" spans="3:5" x14ac:dyDescent="0.2">
      <c r="C120" s="676" t="s">
        <v>808</v>
      </c>
      <c r="D120" s="676" t="s">
        <v>67</v>
      </c>
      <c r="E120" s="677">
        <v>7</v>
      </c>
    </row>
    <row r="121" spans="3:5" x14ac:dyDescent="0.2">
      <c r="C121" s="676" t="s">
        <v>808</v>
      </c>
      <c r="D121" s="676" t="s">
        <v>74</v>
      </c>
      <c r="E121" s="677">
        <v>5</v>
      </c>
    </row>
    <row r="122" spans="3:5" x14ac:dyDescent="0.2">
      <c r="C122" s="676" t="s">
        <v>808</v>
      </c>
      <c r="D122" s="676" t="s">
        <v>77</v>
      </c>
      <c r="E122" s="677">
        <v>5</v>
      </c>
    </row>
    <row r="123" spans="3:5" x14ac:dyDescent="0.2">
      <c r="C123" s="676" t="s">
        <v>808</v>
      </c>
      <c r="D123" s="676" t="s">
        <v>83</v>
      </c>
      <c r="E123" s="677">
        <v>5</v>
      </c>
    </row>
    <row r="124" spans="3:5" x14ac:dyDescent="0.2">
      <c r="C124" s="676" t="s">
        <v>808</v>
      </c>
      <c r="D124" s="676" t="s">
        <v>95</v>
      </c>
      <c r="E124" s="677">
        <v>6</v>
      </c>
    </row>
    <row r="125" spans="3:5" x14ac:dyDescent="0.2">
      <c r="C125" s="676" t="s">
        <v>808</v>
      </c>
      <c r="D125" s="676" t="s">
        <v>100</v>
      </c>
      <c r="E125" s="677">
        <v>8</v>
      </c>
    </row>
    <row r="126" spans="3:5" x14ac:dyDescent="0.2">
      <c r="C126" s="676" t="s">
        <v>808</v>
      </c>
      <c r="D126" s="676" t="s">
        <v>101</v>
      </c>
      <c r="E126" s="677">
        <v>5</v>
      </c>
    </row>
    <row r="127" spans="3:5" x14ac:dyDescent="0.2">
      <c r="C127" s="676" t="s">
        <v>808</v>
      </c>
      <c r="D127" s="676" t="s">
        <v>115</v>
      </c>
      <c r="E127" s="677">
        <v>4</v>
      </c>
    </row>
    <row r="128" spans="3:5" x14ac:dyDescent="0.2">
      <c r="C128" s="676" t="s">
        <v>809</v>
      </c>
      <c r="D128" s="676" t="s">
        <v>47</v>
      </c>
      <c r="E128" s="677">
        <v>6.5</v>
      </c>
    </row>
    <row r="129" spans="3:5" x14ac:dyDescent="0.2">
      <c r="C129" s="676" t="s">
        <v>809</v>
      </c>
      <c r="D129" s="676" t="s">
        <v>78</v>
      </c>
      <c r="E129" s="677">
        <v>5</v>
      </c>
    </row>
    <row r="130" spans="3:5" x14ac:dyDescent="0.2">
      <c r="C130" s="676" t="s">
        <v>809</v>
      </c>
      <c r="D130" s="676" t="s">
        <v>79</v>
      </c>
      <c r="E130" s="677">
        <v>15</v>
      </c>
    </row>
    <row r="131" spans="3:5" x14ac:dyDescent="0.2">
      <c r="C131" s="676" t="s">
        <v>809</v>
      </c>
      <c r="D131" s="676" t="s">
        <v>810</v>
      </c>
      <c r="E131" s="677">
        <v>5</v>
      </c>
    </row>
    <row r="132" spans="3:5" x14ac:dyDescent="0.2">
      <c r="C132" s="676" t="s">
        <v>809</v>
      </c>
      <c r="D132" s="676" t="s">
        <v>811</v>
      </c>
      <c r="E132" s="677">
        <v>75</v>
      </c>
    </row>
    <row r="133" spans="3:5" x14ac:dyDescent="0.2">
      <c r="C133" s="676" t="s">
        <v>809</v>
      </c>
      <c r="D133" s="676" t="s">
        <v>92</v>
      </c>
      <c r="E133" s="677">
        <v>30</v>
      </c>
    </row>
    <row r="134" spans="3:5" x14ac:dyDescent="0.2">
      <c r="C134" s="676" t="s">
        <v>809</v>
      </c>
      <c r="D134" s="676" t="s">
        <v>98</v>
      </c>
      <c r="E134" s="677">
        <v>70</v>
      </c>
    </row>
    <row r="135" spans="3:5" x14ac:dyDescent="0.2">
      <c r="C135" s="676" t="s">
        <v>809</v>
      </c>
      <c r="D135" s="676" t="s">
        <v>116</v>
      </c>
      <c r="E135" s="677">
        <v>50</v>
      </c>
    </row>
    <row r="136" spans="3:5" x14ac:dyDescent="0.2">
      <c r="C136" s="676" t="s">
        <v>809</v>
      </c>
      <c r="D136" s="676" t="s">
        <v>117</v>
      </c>
      <c r="E136" s="677">
        <v>25</v>
      </c>
    </row>
    <row r="137" spans="3:5" x14ac:dyDescent="0.2">
      <c r="C137" s="676" t="s">
        <v>809</v>
      </c>
      <c r="D137" s="676" t="s">
        <v>118</v>
      </c>
      <c r="E137" s="677">
        <v>15</v>
      </c>
    </row>
    <row r="138" spans="3:5" x14ac:dyDescent="0.2">
      <c r="C138" s="676" t="s">
        <v>219</v>
      </c>
      <c r="D138" s="676" t="s">
        <v>61</v>
      </c>
      <c r="E138" s="677">
        <v>50</v>
      </c>
    </row>
    <row r="139" spans="3:5" x14ac:dyDescent="0.2">
      <c r="C139" s="676" t="s">
        <v>219</v>
      </c>
      <c r="D139" s="676" t="s">
        <v>97</v>
      </c>
      <c r="E139" s="677">
        <v>70</v>
      </c>
    </row>
    <row r="140" spans="3:5" x14ac:dyDescent="0.2">
      <c r="C140" s="676" t="s">
        <v>219</v>
      </c>
      <c r="D140" s="676" t="s">
        <v>812</v>
      </c>
      <c r="E140" s="677">
        <v>40</v>
      </c>
    </row>
    <row r="141" spans="3:5" x14ac:dyDescent="0.2">
      <c r="C141" s="676" t="s">
        <v>219</v>
      </c>
      <c r="D141" s="676" t="s">
        <v>102</v>
      </c>
      <c r="E141" s="677">
        <v>15</v>
      </c>
    </row>
    <row r="142" spans="3:5" x14ac:dyDescent="0.2">
      <c r="C142" s="676" t="s">
        <v>219</v>
      </c>
      <c r="D142" s="676" t="s">
        <v>813</v>
      </c>
      <c r="E142" s="677">
        <v>40</v>
      </c>
    </row>
    <row r="143" spans="3:5" x14ac:dyDescent="0.2">
      <c r="C143" s="676" t="s">
        <v>219</v>
      </c>
      <c r="D143" s="676" t="s">
        <v>119</v>
      </c>
      <c r="E143" s="677">
        <v>60</v>
      </c>
    </row>
    <row r="144" spans="3:5" x14ac:dyDescent="0.2">
      <c r="C144" s="676" t="s">
        <v>219</v>
      </c>
      <c r="D144" s="676" t="s">
        <v>814</v>
      </c>
      <c r="E144" s="677">
        <v>40</v>
      </c>
    </row>
    <row r="145" spans="3:5" x14ac:dyDescent="0.2">
      <c r="C145" s="676" t="s">
        <v>222</v>
      </c>
      <c r="D145" s="676" t="s">
        <v>182</v>
      </c>
      <c r="E145" s="677">
        <v>50</v>
      </c>
    </row>
    <row r="146" spans="3:5" x14ac:dyDescent="0.2">
      <c r="C146" s="676" t="s">
        <v>222</v>
      </c>
      <c r="D146" s="676" t="s">
        <v>103</v>
      </c>
      <c r="E146" s="677">
        <v>30</v>
      </c>
    </row>
    <row r="147" spans="3:5" x14ac:dyDescent="0.2">
      <c r="C147" s="676" t="s">
        <v>222</v>
      </c>
      <c r="D147" s="676" t="s">
        <v>109</v>
      </c>
      <c r="E147" s="677">
        <v>7</v>
      </c>
    </row>
    <row r="148" spans="3:5" x14ac:dyDescent="0.2">
      <c r="C148" s="676" t="s">
        <v>815</v>
      </c>
      <c r="D148" s="676" t="s">
        <v>86</v>
      </c>
      <c r="E148" s="677">
        <v>30</v>
      </c>
    </row>
    <row r="149" spans="3:5" x14ac:dyDescent="0.2">
      <c r="C149" s="676" t="s">
        <v>815</v>
      </c>
      <c r="D149" s="676" t="s">
        <v>11</v>
      </c>
      <c r="E149" s="677">
        <v>35</v>
      </c>
    </row>
    <row r="150" spans="3:5" x14ac:dyDescent="0.2">
      <c r="C150" s="676" t="s">
        <v>815</v>
      </c>
      <c r="D150" s="676" t="s">
        <v>816</v>
      </c>
      <c r="E150" s="677">
        <v>15</v>
      </c>
    </row>
    <row r="151" spans="3:5" x14ac:dyDescent="0.2">
      <c r="C151" s="676" t="s">
        <v>217</v>
      </c>
      <c r="D151" s="676" t="s">
        <v>13</v>
      </c>
      <c r="E151" s="677">
        <v>12</v>
      </c>
    </row>
    <row r="152" spans="3:5" x14ac:dyDescent="0.2">
      <c r="C152" s="676" t="s">
        <v>217</v>
      </c>
      <c r="D152" s="676" t="s">
        <v>93</v>
      </c>
      <c r="E152" s="677">
        <v>15</v>
      </c>
    </row>
    <row r="153" spans="3:5" x14ac:dyDescent="0.2">
      <c r="C153" s="676" t="s">
        <v>217</v>
      </c>
      <c r="D153" s="676" t="s">
        <v>817</v>
      </c>
      <c r="E153" s="677">
        <v>25</v>
      </c>
    </row>
    <row r="154" spans="3:5" x14ac:dyDescent="0.2">
      <c r="C154" s="676" t="s">
        <v>217</v>
      </c>
      <c r="D154" s="676" t="s">
        <v>105</v>
      </c>
      <c r="E154" s="677">
        <v>15</v>
      </c>
    </row>
    <row r="155" spans="3:5" x14ac:dyDescent="0.2">
      <c r="C155" s="676" t="s">
        <v>217</v>
      </c>
      <c r="D155" s="676" t="s">
        <v>818</v>
      </c>
      <c r="E155" s="677">
        <v>5</v>
      </c>
    </row>
    <row r="156" spans="3:5" x14ac:dyDescent="0.2">
      <c r="C156" s="676" t="s">
        <v>217</v>
      </c>
      <c r="D156" s="676" t="s">
        <v>107</v>
      </c>
      <c r="E156" s="677">
        <v>20</v>
      </c>
    </row>
    <row r="157" spans="3:5" x14ac:dyDescent="0.2">
      <c r="C157" s="676" t="s">
        <v>217</v>
      </c>
      <c r="D157" s="676" t="s">
        <v>113</v>
      </c>
      <c r="E157" s="677">
        <v>5</v>
      </c>
    </row>
  </sheetData>
  <sheetProtection algorithmName="SHA-512" hashValue="0tLIknU3jHN+910JfrXbebUHTAmK2jEo6wEM3siHK5J9LiJ8tXe0nVUMFcVQhzY1DTvWk031HsHSamCKQr6ZjQ==" saltValue="iLLIxxzxe7asca2NQM0NVQ==" spinCount="100000" sheet="1" scenarios="1" formatCells="0" formatColumns="0" formatRows="0" sort="0" autoFilter="0"/>
  <mergeCells count="121">
    <mergeCell ref="B14:C14"/>
    <mergeCell ref="D14:H14"/>
    <mergeCell ref="B15:C15"/>
    <mergeCell ref="D15:H15"/>
    <mergeCell ref="B16:C16"/>
    <mergeCell ref="D16:H16"/>
    <mergeCell ref="B2:J2"/>
    <mergeCell ref="B3:J3"/>
    <mergeCell ref="B10:C10"/>
    <mergeCell ref="D10:H10"/>
    <mergeCell ref="D12:H12"/>
    <mergeCell ref="B13:C13"/>
    <mergeCell ref="D13:H13"/>
    <mergeCell ref="B4:J4"/>
    <mergeCell ref="B6:J6"/>
    <mergeCell ref="B7:J7"/>
    <mergeCell ref="B8:J8"/>
    <mergeCell ref="B9:J9"/>
    <mergeCell ref="B5:D5"/>
    <mergeCell ref="B23:C23"/>
    <mergeCell ref="D23:H23"/>
    <mergeCell ref="B24:C24"/>
    <mergeCell ref="D24:H24"/>
    <mergeCell ref="B25:C25"/>
    <mergeCell ref="D25:H25"/>
    <mergeCell ref="B17:C17"/>
    <mergeCell ref="D17:H17"/>
    <mergeCell ref="B18:C18"/>
    <mergeCell ref="D18:H18"/>
    <mergeCell ref="D21:H21"/>
    <mergeCell ref="B22:C22"/>
    <mergeCell ref="D22:H22"/>
    <mergeCell ref="B32:C32"/>
    <mergeCell ref="D32:H32"/>
    <mergeCell ref="B33:C33"/>
    <mergeCell ref="D33:H33"/>
    <mergeCell ref="B34:C34"/>
    <mergeCell ref="D34:H34"/>
    <mergeCell ref="D28:H28"/>
    <mergeCell ref="B29:C29"/>
    <mergeCell ref="D29:H29"/>
    <mergeCell ref="B30:C30"/>
    <mergeCell ref="D30:H30"/>
    <mergeCell ref="B31:C31"/>
    <mergeCell ref="D31:H31"/>
    <mergeCell ref="B40:C40"/>
    <mergeCell ref="D40:H40"/>
    <mergeCell ref="B41:C41"/>
    <mergeCell ref="D41:H41"/>
    <mergeCell ref="D44:H44"/>
    <mergeCell ref="B45:C45"/>
    <mergeCell ref="D45:H45"/>
    <mergeCell ref="B35:C35"/>
    <mergeCell ref="D35:H35"/>
    <mergeCell ref="B37:C37"/>
    <mergeCell ref="D37:H37"/>
    <mergeCell ref="D38:H38"/>
    <mergeCell ref="B39:C39"/>
    <mergeCell ref="D39:H39"/>
    <mergeCell ref="D51:H51"/>
    <mergeCell ref="B52:C52"/>
    <mergeCell ref="D52:H52"/>
    <mergeCell ref="B53:C53"/>
    <mergeCell ref="D53:H53"/>
    <mergeCell ref="B54:C54"/>
    <mergeCell ref="D54:H54"/>
    <mergeCell ref="B46:C46"/>
    <mergeCell ref="D46:H46"/>
    <mergeCell ref="B47:C47"/>
    <mergeCell ref="D47:H47"/>
    <mergeCell ref="B48:C48"/>
    <mergeCell ref="D48:H48"/>
    <mergeCell ref="B61:C61"/>
    <mergeCell ref="D61:H61"/>
    <mergeCell ref="B62:C62"/>
    <mergeCell ref="D62:H62"/>
    <mergeCell ref="B63:C63"/>
    <mergeCell ref="D63:H63"/>
    <mergeCell ref="D60:H60"/>
    <mergeCell ref="B55:C55"/>
    <mergeCell ref="D55:H55"/>
    <mergeCell ref="B56:C56"/>
    <mergeCell ref="D56:H56"/>
    <mergeCell ref="B57:C57"/>
    <mergeCell ref="D57:H57"/>
    <mergeCell ref="D70:H70"/>
    <mergeCell ref="B71:C71"/>
    <mergeCell ref="D71:H71"/>
    <mergeCell ref="B72:C72"/>
    <mergeCell ref="D72:H72"/>
    <mergeCell ref="B67:C67"/>
    <mergeCell ref="D67:H67"/>
    <mergeCell ref="B64:C64"/>
    <mergeCell ref="D64:H64"/>
    <mergeCell ref="B65:C65"/>
    <mergeCell ref="D65:H65"/>
    <mergeCell ref="B66:C66"/>
    <mergeCell ref="D66:H66"/>
    <mergeCell ref="B76:C76"/>
    <mergeCell ref="D76:H76"/>
    <mergeCell ref="B77:C77"/>
    <mergeCell ref="D77:H77"/>
    <mergeCell ref="D78:H78"/>
    <mergeCell ref="D79:H79"/>
    <mergeCell ref="B73:C73"/>
    <mergeCell ref="D73:H73"/>
    <mergeCell ref="B74:C74"/>
    <mergeCell ref="D74:H74"/>
    <mergeCell ref="B75:C75"/>
    <mergeCell ref="D75:H75"/>
    <mergeCell ref="D97:E97"/>
    <mergeCell ref="D98:E98"/>
    <mergeCell ref="C91:I91"/>
    <mergeCell ref="C93:I93"/>
    <mergeCell ref="C94:I94"/>
    <mergeCell ref="C95:I95"/>
    <mergeCell ref="C88:I88"/>
    <mergeCell ref="C89:I89"/>
    <mergeCell ref="D80:H80"/>
    <mergeCell ref="C83:I83"/>
    <mergeCell ref="C84:I84"/>
  </mergeCells>
  <phoneticPr fontId="23" type="noConversion"/>
  <pageMargins left="0.7" right="0.7" top="0.75" bottom="0.75" header="0.3" footer="0.3"/>
  <pageSetup scale="65" fitToHeight="0" orientation="portrait" r:id="rId1"/>
  <rowBreaks count="1" manualBreakCount="1">
    <brk id="100" min="1"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43009" r:id="rId4" name="Button 1">
              <controlPr defaultSize="0" print="0" autoFill="0" autoPict="0" macro="[0]!HideRows2">
                <anchor moveWithCells="1" sizeWithCells="1">
                  <from>
                    <xdr:col>8</xdr:col>
                    <xdr:colOff>85725</xdr:colOff>
                    <xdr:row>1</xdr:row>
                    <xdr:rowOff>19050</xdr:rowOff>
                  </from>
                  <to>
                    <xdr:col>9</xdr:col>
                    <xdr:colOff>542925</xdr:colOff>
                    <xdr:row>1</xdr:row>
                    <xdr:rowOff>228600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D7B67-27F0-4361-853F-AFF9B10BC311}">
  <sheetPr codeName="Sheet2"/>
  <dimension ref="B1:R28"/>
  <sheetViews>
    <sheetView showGridLines="0" zoomScaleNormal="100" workbookViewId="0"/>
  </sheetViews>
  <sheetFormatPr defaultRowHeight="12.75" x14ac:dyDescent="0.2"/>
  <cols>
    <col min="1" max="1" width="4" customWidth="1"/>
    <col min="2" max="2" width="5.140625" customWidth="1"/>
    <col min="18" max="18" width="14.140625" customWidth="1"/>
    <col min="19" max="19" width="4.85546875" customWidth="1"/>
  </cols>
  <sheetData>
    <row r="1" spans="2:18" x14ac:dyDescent="0.2">
      <c r="H1" s="359"/>
      <c r="I1" s="359"/>
      <c r="J1" s="359"/>
      <c r="K1" s="359"/>
      <c r="L1" s="359"/>
    </row>
    <row r="2" spans="2:18" x14ac:dyDescent="0.2">
      <c r="H2" s="359"/>
      <c r="I2" s="359"/>
      <c r="J2" s="359"/>
      <c r="K2" s="359"/>
      <c r="L2" s="359"/>
    </row>
    <row r="3" spans="2:18" x14ac:dyDescent="0.2">
      <c r="H3" s="359"/>
      <c r="I3" s="359"/>
      <c r="J3" s="359"/>
      <c r="K3" s="359"/>
      <c r="L3" s="359"/>
    </row>
    <row r="4" spans="2:18" x14ac:dyDescent="0.2">
      <c r="H4" s="359"/>
      <c r="I4" s="359"/>
      <c r="J4" s="359"/>
      <c r="K4" s="359"/>
      <c r="L4" s="359"/>
    </row>
    <row r="5" spans="2:18" x14ac:dyDescent="0.2">
      <c r="H5" s="359"/>
      <c r="I5" s="359"/>
      <c r="J5" s="359"/>
      <c r="K5" s="359"/>
      <c r="L5" s="359"/>
    </row>
    <row r="6" spans="2:18" x14ac:dyDescent="0.2">
      <c r="H6" s="359"/>
      <c r="I6" s="359"/>
      <c r="J6" s="359"/>
      <c r="K6" s="359"/>
      <c r="L6" s="359"/>
    </row>
    <row r="7" spans="2:18" x14ac:dyDescent="0.2">
      <c r="H7" s="359"/>
      <c r="I7" s="359"/>
      <c r="J7" s="359"/>
      <c r="K7" s="359"/>
      <c r="L7" s="359"/>
    </row>
    <row r="8" spans="2:18" ht="15" x14ac:dyDescent="0.2">
      <c r="C8" s="358"/>
      <c r="H8" s="359"/>
      <c r="I8" s="1154" t="s">
        <v>560</v>
      </c>
      <c r="J8" s="1155"/>
      <c r="K8" s="1156"/>
      <c r="L8" s="360"/>
    </row>
    <row r="9" spans="2:18" ht="15" x14ac:dyDescent="0.2">
      <c r="C9" s="358"/>
      <c r="H9" s="359"/>
      <c r="I9" s="730"/>
      <c r="J9" s="731" t="s">
        <v>542</v>
      </c>
      <c r="K9" s="732"/>
      <c r="L9" s="359"/>
    </row>
    <row r="10" spans="2:18" ht="15" x14ac:dyDescent="0.2">
      <c r="C10" s="358"/>
      <c r="H10" s="359"/>
      <c r="I10" s="359"/>
      <c r="J10" s="359"/>
      <c r="K10" s="359"/>
      <c r="L10" s="359"/>
    </row>
    <row r="11" spans="2:18" ht="15" x14ac:dyDescent="0.2">
      <c r="C11" s="358"/>
      <c r="H11" s="359"/>
      <c r="I11" s="359"/>
      <c r="J11" s="360"/>
      <c r="K11" s="360"/>
      <c r="L11" s="360"/>
    </row>
    <row r="12" spans="2:18" ht="15" x14ac:dyDescent="0.2">
      <c r="C12" s="362"/>
      <c r="D12" s="361"/>
      <c r="E12" s="361"/>
      <c r="F12" s="361"/>
      <c r="G12" s="361"/>
      <c r="H12" s="361"/>
      <c r="I12" s="361"/>
      <c r="J12" s="361"/>
      <c r="K12" s="361"/>
      <c r="L12" s="361"/>
      <c r="M12" s="361"/>
      <c r="N12" s="361"/>
      <c r="O12" s="361"/>
      <c r="P12" s="361"/>
      <c r="Q12" s="361"/>
      <c r="R12" s="361"/>
    </row>
    <row r="13" spans="2:18" ht="15" x14ac:dyDescent="0.2">
      <c r="B13" s="361"/>
      <c r="C13" s="361"/>
      <c r="D13" s="361"/>
      <c r="E13" s="361"/>
      <c r="F13" s="361"/>
      <c r="G13" s="363"/>
      <c r="H13" s="361"/>
      <c r="I13" s="361"/>
      <c r="J13" s="361"/>
      <c r="K13" s="361"/>
      <c r="L13" s="361"/>
      <c r="M13" s="361"/>
      <c r="N13" s="361"/>
      <c r="O13" s="361"/>
      <c r="P13" s="361"/>
      <c r="Q13" s="361"/>
      <c r="R13" s="361"/>
    </row>
    <row r="14" spans="2:18" ht="15" x14ac:dyDescent="0.2">
      <c r="B14" s="361"/>
      <c r="C14" s="364"/>
      <c r="D14" s="364"/>
      <c r="E14" s="364"/>
      <c r="F14" s="364"/>
      <c r="G14" s="363"/>
      <c r="H14" s="365" t="s">
        <v>543</v>
      </c>
      <c r="I14" s="364"/>
      <c r="J14" s="364"/>
      <c r="K14" s="364"/>
      <c r="L14" s="364"/>
      <c r="M14" s="364"/>
      <c r="N14" s="364"/>
      <c r="O14" s="364"/>
      <c r="P14" s="364"/>
      <c r="Q14" s="364"/>
      <c r="R14" s="365" t="s">
        <v>543</v>
      </c>
    </row>
    <row r="15" spans="2:18" ht="18.75" x14ac:dyDescent="0.25">
      <c r="B15" s="361"/>
      <c r="C15" s="1163"/>
      <c r="D15" s="1162"/>
      <c r="E15" s="1162"/>
      <c r="F15" s="366"/>
      <c r="G15" s="363"/>
      <c r="H15" s="367"/>
      <c r="I15" s="366"/>
      <c r="J15" s="366"/>
      <c r="K15" s="366"/>
      <c r="L15" s="366"/>
      <c r="M15" s="1157" t="s">
        <v>552</v>
      </c>
      <c r="N15" s="894"/>
      <c r="O15" s="894"/>
      <c r="P15" s="366"/>
      <c r="Q15" s="369"/>
      <c r="R15" s="367" t="s">
        <v>565</v>
      </c>
    </row>
    <row r="16" spans="2:18" ht="18.75" x14ac:dyDescent="0.25">
      <c r="B16" s="361"/>
      <c r="C16" s="366"/>
      <c r="D16" s="366"/>
      <c r="E16" s="366"/>
      <c r="F16" s="366"/>
      <c r="G16" s="363"/>
      <c r="H16" s="366"/>
      <c r="I16" s="366"/>
      <c r="J16" s="366"/>
      <c r="K16" s="366"/>
      <c r="L16" s="366"/>
      <c r="M16" s="366"/>
      <c r="N16" s="370" t="s">
        <v>550</v>
      </c>
      <c r="O16" s="366"/>
      <c r="P16" s="366"/>
      <c r="Q16" s="366"/>
      <c r="R16" s="367"/>
    </row>
    <row r="17" spans="2:18" ht="18.75" x14ac:dyDescent="0.25">
      <c r="B17" s="361"/>
      <c r="C17" s="1157" t="s">
        <v>544</v>
      </c>
      <c r="D17" s="1160"/>
      <c r="E17" s="1160"/>
      <c r="F17" s="366"/>
      <c r="G17" s="363"/>
      <c r="H17" s="367" t="s">
        <v>561</v>
      </c>
      <c r="I17" s="366"/>
      <c r="J17" s="366"/>
      <c r="K17" s="366"/>
      <c r="L17" s="366"/>
      <c r="M17" s="366"/>
      <c r="N17" s="370" t="s">
        <v>551</v>
      </c>
      <c r="O17" s="366"/>
      <c r="P17" s="366"/>
      <c r="Q17" s="366"/>
      <c r="R17" s="367"/>
    </row>
    <row r="18" spans="2:18" ht="18" x14ac:dyDescent="0.25">
      <c r="B18" s="361"/>
      <c r="C18" s="366"/>
      <c r="D18" s="366"/>
      <c r="E18" s="366"/>
      <c r="F18" s="366"/>
      <c r="G18" s="363"/>
      <c r="H18" s="366"/>
      <c r="I18" s="366"/>
      <c r="J18" s="366"/>
      <c r="K18" s="366"/>
      <c r="L18" s="366"/>
      <c r="M18" s="366"/>
      <c r="N18" s="366"/>
      <c r="O18" s="366"/>
      <c r="P18" s="366"/>
      <c r="Q18" s="366"/>
      <c r="R18" s="366"/>
    </row>
    <row r="19" spans="2:18" ht="18.75" x14ac:dyDescent="0.25">
      <c r="B19" s="361"/>
      <c r="C19" s="1157" t="s">
        <v>559</v>
      </c>
      <c r="D19" s="1159"/>
      <c r="E19" s="1159"/>
      <c r="F19" s="1159"/>
      <c r="G19" s="363"/>
      <c r="H19" s="367" t="s">
        <v>562</v>
      </c>
      <c r="I19" s="366"/>
      <c r="J19" s="366"/>
      <c r="K19" s="366"/>
      <c r="L19" s="366"/>
      <c r="M19" s="1157" t="s">
        <v>548</v>
      </c>
      <c r="N19" s="1160"/>
      <c r="O19" s="1160"/>
      <c r="P19" s="894"/>
      <c r="Q19" s="366"/>
      <c r="R19" s="367" t="s">
        <v>566</v>
      </c>
    </row>
    <row r="20" spans="2:18" ht="18.75" x14ac:dyDescent="0.25">
      <c r="B20" s="361"/>
      <c r="C20" s="366"/>
      <c r="D20" s="370"/>
      <c r="E20" s="366"/>
      <c r="F20" s="366"/>
      <c r="G20" s="363"/>
      <c r="H20" s="367"/>
      <c r="I20" s="366"/>
      <c r="J20" s="366"/>
      <c r="K20" s="366"/>
      <c r="L20" s="366"/>
      <c r="M20" s="371"/>
      <c r="N20" s="366" t="s">
        <v>553</v>
      </c>
      <c r="O20" s="366"/>
      <c r="P20" s="366"/>
      <c r="Q20" s="366"/>
      <c r="R20" s="369"/>
    </row>
    <row r="21" spans="2:18" ht="18.75" x14ac:dyDescent="0.25">
      <c r="B21" s="361"/>
      <c r="C21" s="1157" t="s">
        <v>546</v>
      </c>
      <c r="D21" s="1159"/>
      <c r="E21" s="1159"/>
      <c r="F21" s="1159"/>
      <c r="G21" s="363"/>
      <c r="H21" s="367" t="s">
        <v>563</v>
      </c>
      <c r="I21" s="366"/>
      <c r="J21" s="366"/>
      <c r="K21" s="366"/>
      <c r="L21" s="366"/>
      <c r="M21" s="366"/>
      <c r="N21" s="366" t="s">
        <v>445</v>
      </c>
      <c r="O21" s="366"/>
      <c r="P21" s="366"/>
      <c r="Q21" s="366"/>
      <c r="R21" s="366"/>
    </row>
    <row r="22" spans="2:18" ht="18.75" x14ac:dyDescent="0.25">
      <c r="B22" s="361"/>
      <c r="C22" s="366"/>
      <c r="D22" s="370" t="s">
        <v>547</v>
      </c>
      <c r="E22" s="366"/>
      <c r="F22" s="366"/>
      <c r="G22" s="363"/>
      <c r="H22" s="367"/>
      <c r="I22" s="366"/>
      <c r="J22" s="366"/>
      <c r="K22" s="366"/>
      <c r="L22" s="366"/>
      <c r="M22" s="366"/>
      <c r="N22" s="370"/>
      <c r="O22" s="366"/>
      <c r="P22" s="366"/>
      <c r="Q22" s="366"/>
      <c r="R22" s="369"/>
    </row>
    <row r="23" spans="2:18" ht="18.75" x14ac:dyDescent="0.25">
      <c r="B23" s="361"/>
      <c r="C23" s="366"/>
      <c r="D23" s="370" t="s">
        <v>470</v>
      </c>
      <c r="E23" s="366"/>
      <c r="F23" s="366"/>
      <c r="G23" s="363"/>
      <c r="H23" s="367"/>
      <c r="I23" s="366"/>
      <c r="J23" s="366"/>
      <c r="K23" s="366"/>
      <c r="L23" s="366"/>
      <c r="M23" s="1157" t="s">
        <v>554</v>
      </c>
      <c r="N23" s="1158"/>
      <c r="O23" s="1158"/>
      <c r="P23" s="366"/>
      <c r="Q23" s="366"/>
      <c r="R23" s="367" t="s">
        <v>568</v>
      </c>
    </row>
    <row r="24" spans="2:18" ht="18.75" x14ac:dyDescent="0.25">
      <c r="B24" s="361"/>
      <c r="C24" s="366"/>
      <c r="D24" s="366"/>
      <c r="E24" s="366"/>
      <c r="F24" s="366"/>
      <c r="G24" s="363"/>
      <c r="H24" s="366"/>
      <c r="I24" s="366"/>
      <c r="J24" s="366"/>
      <c r="K24" s="366"/>
      <c r="L24" s="366"/>
      <c r="M24" s="366"/>
      <c r="N24" s="1161" t="s">
        <v>555</v>
      </c>
      <c r="O24" s="1162"/>
      <c r="P24" s="1162"/>
      <c r="Q24" s="366"/>
      <c r="R24" s="369"/>
    </row>
    <row r="25" spans="2:18" ht="18.75" x14ac:dyDescent="0.25">
      <c r="B25" s="361"/>
      <c r="C25" s="1160" t="s">
        <v>548</v>
      </c>
      <c r="D25" s="894"/>
      <c r="E25" s="894"/>
      <c r="F25" s="366"/>
      <c r="G25" s="363"/>
      <c r="H25" s="367" t="s">
        <v>564</v>
      </c>
      <c r="I25" s="366"/>
      <c r="J25" s="366"/>
      <c r="K25" s="366"/>
      <c r="L25" s="366"/>
      <c r="M25" s="366"/>
      <c r="N25" s="370" t="s">
        <v>556</v>
      </c>
      <c r="O25" s="366"/>
      <c r="P25" s="366"/>
      <c r="Q25" s="366"/>
      <c r="R25" s="369"/>
    </row>
    <row r="26" spans="2:18" ht="18.75" x14ac:dyDescent="0.25">
      <c r="B26" s="361"/>
      <c r="C26" s="366"/>
      <c r="D26" s="370" t="s">
        <v>549</v>
      </c>
      <c r="E26" s="366"/>
      <c r="F26" s="366"/>
      <c r="G26" s="367"/>
      <c r="H26" s="366"/>
      <c r="I26" s="366"/>
      <c r="J26" s="366"/>
      <c r="K26" s="366"/>
      <c r="L26" s="366"/>
      <c r="M26" s="366"/>
      <c r="N26" s="370"/>
      <c r="O26" s="366"/>
      <c r="P26" s="366"/>
      <c r="Q26" s="366"/>
      <c r="R26" s="367"/>
    </row>
    <row r="27" spans="2:18" ht="18.75" x14ac:dyDescent="0.25">
      <c r="B27" s="361"/>
      <c r="C27" s="366"/>
      <c r="D27" s="370" t="s">
        <v>443</v>
      </c>
      <c r="E27" s="366"/>
      <c r="F27" s="366"/>
      <c r="G27" s="367"/>
      <c r="H27" s="366"/>
      <c r="I27" s="366"/>
      <c r="J27" s="366"/>
      <c r="K27" s="366"/>
      <c r="L27" s="366"/>
      <c r="M27" s="368" t="s">
        <v>545</v>
      </c>
      <c r="N27" s="366"/>
      <c r="O27" s="366"/>
      <c r="P27" s="366"/>
      <c r="Q27" s="366"/>
      <c r="R27" s="367" t="s">
        <v>567</v>
      </c>
    </row>
    <row r="28" spans="2:18" ht="18.75" x14ac:dyDescent="0.25">
      <c r="B28" s="361"/>
      <c r="C28" s="366"/>
      <c r="D28" s="370"/>
      <c r="E28" s="366"/>
      <c r="F28" s="366"/>
      <c r="G28" s="367"/>
      <c r="H28" s="366"/>
      <c r="I28" s="366"/>
      <c r="J28" s="366"/>
      <c r="K28" s="366"/>
      <c r="L28" s="366"/>
      <c r="M28" s="371"/>
      <c r="N28" s="370" t="s">
        <v>558</v>
      </c>
      <c r="O28" s="366"/>
      <c r="P28" s="366"/>
      <c r="Q28" s="366"/>
      <c r="R28" s="369"/>
    </row>
  </sheetData>
  <sheetProtection algorithmName="SHA-512" hashValue="8rfyd5Sl10E0/z8kS5kkViUC8Lb4gkpBzbZZfCgN4WWHjsv8pGWguexgoPrZU205udToQDU1HI9Yo2QNSnNbww==" saltValue="hqzwoI7mgzVP92ADxRMbng==" spinCount="100000" sheet="1" scenarios="1" formatCells="0" formatColumns="0" formatRows="0" sort="0" autoFilter="0"/>
  <mergeCells count="10">
    <mergeCell ref="I8:K8"/>
    <mergeCell ref="M23:O23"/>
    <mergeCell ref="C19:F19"/>
    <mergeCell ref="C21:F21"/>
    <mergeCell ref="C25:E25"/>
    <mergeCell ref="M15:O15"/>
    <mergeCell ref="M19:P19"/>
    <mergeCell ref="N24:P24"/>
    <mergeCell ref="C15:E15"/>
    <mergeCell ref="C17:E17"/>
  </mergeCells>
  <hyperlinks>
    <hyperlink ref="I8" r:id="rId1" display="https://youtu.be/w8LB52VBeiU " xr:uid="{73A783FD-B584-466B-90D1-751A33382592}"/>
    <hyperlink ref="C19" r:id="rId2" xr:uid="{7B2268F9-41B1-4006-B782-A3257195109D}"/>
    <hyperlink ref="C21" r:id="rId3" xr:uid="{90366F2A-078C-40D8-8177-029E8AC304BB}"/>
    <hyperlink ref="C17:E17" r:id="rId4" display="Introduction" xr:uid="{48B64DA9-403A-41AF-B41E-B5CD7486662D}"/>
    <hyperlink ref="C25" r:id="rId5" xr:uid="{3831352E-D1AE-4B64-9689-F8CE126153D3}"/>
    <hyperlink ref="M15" r:id="rId6" xr:uid="{E21E3878-A287-44D3-B925-B75019B8B1A4}"/>
    <hyperlink ref="M19:O19" r:id="rId7" display="Spreadsheet Functions" xr:uid="{6DDBF8F1-C2E6-4AAE-8205-21B9D672E357}"/>
    <hyperlink ref="M23:O23" r:id="rId8" display="Certification Examples" xr:uid="{DCE67424-2EFB-4961-B642-148E7835C9E9}"/>
    <hyperlink ref="M27" r:id="rId9" xr:uid="{78BE239E-ED11-45B3-8368-05F382EAC7A6}"/>
    <hyperlink ref="I8:K8" r:id="rId10" display="Cover crop Tutorial" xr:uid="{E5E46394-F050-4C8B-B7E8-A9E95C01D9C8}"/>
    <hyperlink ref="C21:F21" r:id="rId11" display="Cover Crop Mixes" xr:uid="{BC12A475-BCB3-4B95-808E-90211665AE92}"/>
    <hyperlink ref="C19:F19" r:id="rId12" display="Table 1 - Cover crop data" xr:uid="{6A8AA6BC-0775-4710-9A96-183F958AD7DB}"/>
  </hyperlinks>
  <pageMargins left="0.7" right="0.7" top="0.75" bottom="0.75" header="0.3" footer="0.3"/>
  <pageSetup orientation="portrait" r:id="rId13"/>
  <drawing r:id="rId14"/>
  <legacyDrawing r:id="rId15"/>
  <mc:AlternateContent xmlns:mc="http://schemas.openxmlformats.org/markup-compatibility/2006">
    <mc:Choice Requires="x14">
      <controls>
        <mc:AlternateContent xmlns:mc="http://schemas.openxmlformats.org/markup-compatibility/2006">
          <mc:Choice Requires="x14">
            <control shapeId="16386" r:id="rId16" name="Button 2">
              <controlPr defaultSize="0" print="0" autoFill="0" autoPict="0" macro="[0]!Go_To_Cover_Crop_Worksheet">
                <anchor moveWithCells="1" sizeWithCells="1">
                  <from>
                    <xdr:col>7</xdr:col>
                    <xdr:colOff>457200</xdr:colOff>
                    <xdr:row>9</xdr:row>
                    <xdr:rowOff>114300</xdr:rowOff>
                  </from>
                  <to>
                    <xdr:col>11</xdr:col>
                    <xdr:colOff>238125</xdr:colOff>
                    <xdr:row>10</xdr:row>
                    <xdr:rowOff>142875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C22B1-D22B-402D-9901-A9367A32F106}">
  <sheetPr codeName="Sheet7"/>
  <dimension ref="A1:BM75"/>
  <sheetViews>
    <sheetView zoomScale="106" zoomScaleNormal="106" workbookViewId="0"/>
  </sheetViews>
  <sheetFormatPr defaultRowHeight="12.75" x14ac:dyDescent="0.2"/>
  <cols>
    <col min="1" max="1" width="12" customWidth="1"/>
    <col min="2" max="2" width="52.140625" customWidth="1"/>
    <col min="4" max="4" width="2" customWidth="1"/>
    <col min="5" max="5" width="29.5703125" customWidth="1"/>
    <col min="6" max="6" width="13.5703125" customWidth="1"/>
    <col min="7" max="8" width="2" customWidth="1"/>
    <col min="10" max="10" width="102.85546875" customWidth="1"/>
    <col min="11" max="11" width="4.85546875" customWidth="1"/>
    <col min="12" max="12" width="16.140625" style="15" customWidth="1"/>
    <col min="13" max="13" width="5.5703125" customWidth="1"/>
    <col min="14" max="14" width="45.5703125" customWidth="1"/>
    <col min="15" max="15" width="4.85546875" customWidth="1"/>
    <col min="16" max="16" width="16.28515625" customWidth="1"/>
    <col min="17" max="18" width="11" customWidth="1"/>
    <col min="19" max="19" width="5.140625" customWidth="1"/>
    <col min="20" max="20" width="37.28515625" customWidth="1"/>
    <col min="21" max="21" width="12.140625" customWidth="1"/>
    <col min="22" max="23" width="11" customWidth="1"/>
    <col min="24" max="26" width="10.42578125" customWidth="1"/>
    <col min="27" max="27" width="17" customWidth="1"/>
    <col min="28" max="28" width="8" customWidth="1"/>
    <col min="29" max="29" width="10.5703125" customWidth="1"/>
    <col min="30" max="30" width="18.85546875" customWidth="1"/>
    <col min="31" max="31" width="19.5703125" customWidth="1"/>
    <col min="32" max="32" width="21.28515625" customWidth="1"/>
    <col min="33" max="33" width="42.28515625" customWidth="1"/>
    <col min="34" max="34" width="18.140625" customWidth="1"/>
    <col min="35" max="35" width="28.85546875" customWidth="1"/>
    <col min="36" max="36" width="4.85546875" customWidth="1"/>
    <col min="37" max="37" width="59.28515625" customWidth="1"/>
    <col min="40" max="40" width="20.140625" customWidth="1"/>
    <col min="41" max="41" width="12.28515625" customWidth="1"/>
    <col min="42" max="42" width="13.7109375" customWidth="1"/>
    <col min="46" max="46" width="20.42578125" customWidth="1"/>
    <col min="47" max="47" width="6.28515625" customWidth="1"/>
    <col min="48" max="48" width="5.5703125" customWidth="1"/>
    <col min="49" max="49" width="5.7109375" customWidth="1"/>
    <col min="56" max="56" width="30.85546875" customWidth="1"/>
    <col min="57" max="57" width="11" customWidth="1"/>
    <col min="58" max="58" width="14.140625" customWidth="1"/>
  </cols>
  <sheetData>
    <row r="1" spans="1:65" ht="36.75" customHeight="1" x14ac:dyDescent="0.25">
      <c r="A1" s="351">
        <v>45797</v>
      </c>
      <c r="B1" s="240" t="s">
        <v>430</v>
      </c>
      <c r="C1" s="241"/>
      <c r="D1" s="241"/>
      <c r="E1" s="320" t="s">
        <v>468</v>
      </c>
      <c r="F1" s="241">
        <f>COUNTIF(F3:F9,TRUE)</f>
        <v>2</v>
      </c>
      <c r="G1" s="241"/>
      <c r="H1" s="241"/>
      <c r="I1" s="241"/>
      <c r="J1" s="242" t="s">
        <v>301</v>
      </c>
      <c r="K1" s="242" t="s">
        <v>852</v>
      </c>
      <c r="L1" s="242" t="s">
        <v>322</v>
      </c>
      <c r="N1" s="243" t="s">
        <v>323</v>
      </c>
      <c r="O1" s="242"/>
      <c r="P1" s="242" t="s">
        <v>3</v>
      </c>
      <c r="Q1" s="242"/>
      <c r="R1" s="242" t="s">
        <v>4</v>
      </c>
      <c r="S1" s="242"/>
      <c r="T1" s="243" t="s">
        <v>325</v>
      </c>
      <c r="U1" s="242"/>
      <c r="V1" s="242"/>
      <c r="W1" s="242" t="s">
        <v>324</v>
      </c>
      <c r="X1" s="242"/>
      <c r="Y1" s="242" t="s">
        <v>309</v>
      </c>
      <c r="Z1" s="242"/>
      <c r="AA1" s="242" t="s">
        <v>310</v>
      </c>
      <c r="AB1" s="242"/>
      <c r="AC1" s="242" t="s">
        <v>312</v>
      </c>
      <c r="AD1" s="242" t="s">
        <v>540</v>
      </c>
      <c r="AE1" s="242" t="s">
        <v>445</v>
      </c>
      <c r="AF1" s="242"/>
      <c r="AG1" s="242"/>
      <c r="AH1" s="242"/>
      <c r="AK1" s="12" t="s">
        <v>455</v>
      </c>
    </row>
    <row r="2" spans="1:65" ht="14.25" x14ac:dyDescent="0.2">
      <c r="A2">
        <v>2.92</v>
      </c>
      <c r="B2" s="754" t="s">
        <v>431</v>
      </c>
      <c r="F2" s="321"/>
      <c r="I2" s="12" t="s">
        <v>830</v>
      </c>
      <c r="J2" s="12"/>
      <c r="L2"/>
      <c r="N2" s="244"/>
      <c r="T2" s="245"/>
      <c r="Y2" s="246"/>
      <c r="AA2" s="247"/>
      <c r="AC2" s="247"/>
      <c r="AE2" s="81"/>
      <c r="AN2" s="16" t="s">
        <v>634</v>
      </c>
      <c r="AO2" s="438">
        <v>912</v>
      </c>
      <c r="AP2" s="5"/>
      <c r="AQ2" s="5"/>
    </row>
    <row r="3" spans="1:65" ht="14.25" x14ac:dyDescent="0.2">
      <c r="B3" s="754" t="s">
        <v>432</v>
      </c>
      <c r="E3" s="12" t="s">
        <v>469</v>
      </c>
      <c r="F3" s="321" t="b">
        <v>1</v>
      </c>
      <c r="J3" s="669" t="s">
        <v>885</v>
      </c>
      <c r="K3" s="295">
        <v>3</v>
      </c>
      <c r="L3" t="s">
        <v>183</v>
      </c>
      <c r="N3" s="244" t="s">
        <v>166</v>
      </c>
      <c r="P3" t="s">
        <v>188</v>
      </c>
      <c r="R3" t="s">
        <v>191</v>
      </c>
      <c r="T3" s="248" t="str">
        <f>'Table 1 Purpose rating'!A4</f>
        <v>Alfalfa</v>
      </c>
      <c r="W3" s="249" t="s">
        <v>47</v>
      </c>
      <c r="Y3" s="172" t="s">
        <v>328</v>
      </c>
      <c r="AA3" t="s">
        <v>327</v>
      </c>
      <c r="AC3" t="s">
        <v>403</v>
      </c>
      <c r="AD3" t="s">
        <v>526</v>
      </c>
      <c r="AE3" s="250" t="s">
        <v>467</v>
      </c>
      <c r="AF3" s="12" t="s">
        <v>449</v>
      </c>
      <c r="AG3" s="12" t="str">
        <f>AE3&amp;"        -   "&amp;AF3</f>
        <v>Seed Tag(s)        -   % Full seeding rate</v>
      </c>
      <c r="AH3" s="12" t="s">
        <v>491</v>
      </c>
      <c r="AI3" s="12" t="s">
        <v>496</v>
      </c>
      <c r="AK3" s="58" t="s">
        <v>114</v>
      </c>
      <c r="AM3" s="81"/>
      <c r="AN3" s="5"/>
      <c r="AO3" s="5"/>
      <c r="AP3" s="5"/>
      <c r="AQ3" s="5"/>
      <c r="BA3" s="12" t="s">
        <v>669</v>
      </c>
      <c r="BI3" s="12" t="s">
        <v>753</v>
      </c>
    </row>
    <row r="4" spans="1:65" ht="14.25" x14ac:dyDescent="0.2">
      <c r="B4" s="754" t="s">
        <v>433</v>
      </c>
      <c r="E4" s="12" t="s">
        <v>470</v>
      </c>
      <c r="F4" s="321" t="b">
        <v>0</v>
      </c>
      <c r="J4" s="670" t="s">
        <v>831</v>
      </c>
      <c r="K4" s="675">
        <v>37</v>
      </c>
      <c r="L4" t="s">
        <v>786</v>
      </c>
      <c r="N4" s="244" t="s">
        <v>167</v>
      </c>
      <c r="P4" t="s">
        <v>189</v>
      </c>
      <c r="R4" t="s">
        <v>192</v>
      </c>
      <c r="T4" s="248" t="str">
        <f>'Table 1 Purpose rating'!A5</f>
        <v>Barley</v>
      </c>
      <c r="W4" s="249" t="s">
        <v>61</v>
      </c>
      <c r="Y4" s="172" t="s">
        <v>329</v>
      </c>
      <c r="AA4" t="s">
        <v>328</v>
      </c>
      <c r="AC4" s="12" t="s">
        <v>404</v>
      </c>
      <c r="AD4" t="s">
        <v>527</v>
      </c>
      <c r="AE4" s="250" t="s">
        <v>450</v>
      </c>
      <c r="AF4" s="12" t="s">
        <v>446</v>
      </c>
      <c r="AG4" s="12" t="str">
        <f>AE4&amp;"   -   "&amp;AF4</f>
        <v>Field Method 1   -   % cover</v>
      </c>
      <c r="AH4" s="12" t="s">
        <v>491</v>
      </c>
      <c r="AI4" s="12" t="s">
        <v>446</v>
      </c>
      <c r="AK4" s="58" t="s">
        <v>68</v>
      </c>
      <c r="AM4" s="81"/>
      <c r="AN4" s="136" t="str">
        <f>"FOTG_data!AD10:AD"&amp;COUNTIF(AM6:AM25,1)+10</f>
        <v>FOTG_data!AD10:AD10</v>
      </c>
      <c r="AO4" s="439" t="s">
        <v>791</v>
      </c>
      <c r="AP4" s="439" t="s">
        <v>635</v>
      </c>
      <c r="AQ4" s="439" t="s">
        <v>636</v>
      </c>
      <c r="AT4" s="439" t="s">
        <v>656</v>
      </c>
      <c r="AX4" s="12" t="s">
        <v>657</v>
      </c>
      <c r="BI4" s="12" t="s">
        <v>669</v>
      </c>
      <c r="BJ4" s="566">
        <v>42887</v>
      </c>
      <c r="BK4" s="566">
        <v>42948</v>
      </c>
      <c r="BL4" s="566">
        <v>42979</v>
      </c>
      <c r="BM4" s="566">
        <v>43009</v>
      </c>
    </row>
    <row r="5" spans="1:65" ht="14.25" x14ac:dyDescent="0.2">
      <c r="B5" s="754"/>
      <c r="E5" s="12" t="s">
        <v>471</v>
      </c>
      <c r="F5" s="321" t="b">
        <v>0</v>
      </c>
      <c r="J5" s="671" t="s">
        <v>832</v>
      </c>
      <c r="K5" s="675">
        <v>37</v>
      </c>
      <c r="L5" t="s">
        <v>184</v>
      </c>
      <c r="N5" s="244" t="s">
        <v>169</v>
      </c>
      <c r="P5" t="s">
        <v>65</v>
      </c>
      <c r="T5" s="248" t="str">
        <f>'Table 1 Purpose rating'!A6</f>
        <v>Brassica hybrids</v>
      </c>
      <c r="W5" s="249" t="s">
        <v>182</v>
      </c>
      <c r="Y5" s="172" t="s">
        <v>330</v>
      </c>
      <c r="AA5" t="s">
        <v>329</v>
      </c>
      <c r="AC5" t="s">
        <v>405</v>
      </c>
      <c r="AD5" t="s">
        <v>528</v>
      </c>
      <c r="AE5" s="250" t="s">
        <v>451</v>
      </c>
      <c r="AF5" s="12" t="s">
        <v>447</v>
      </c>
      <c r="AG5" s="12" t="str">
        <f>AE5&amp;"   -   "&amp;AF5</f>
        <v>Field Method 2   -   Plants / sq ft.</v>
      </c>
      <c r="AH5" s="12" t="s">
        <v>491</v>
      </c>
      <c r="AI5" s="12" t="s">
        <v>495</v>
      </c>
      <c r="AK5" s="58" t="s">
        <v>54</v>
      </c>
      <c r="AM5" s="81"/>
      <c r="AN5" s="439"/>
      <c r="AO5" s="439"/>
      <c r="AP5" s="439"/>
      <c r="AQ5" s="439"/>
      <c r="BA5" s="461">
        <v>54</v>
      </c>
      <c r="BD5" s="555" t="s">
        <v>743</v>
      </c>
      <c r="BE5" s="522"/>
      <c r="BF5" s="438">
        <v>225</v>
      </c>
      <c r="BI5" s="567">
        <v>54</v>
      </c>
      <c r="BJ5" s="568">
        <v>36</v>
      </c>
      <c r="BK5" s="568">
        <v>15</v>
      </c>
      <c r="BL5" s="568">
        <v>6</v>
      </c>
      <c r="BM5" s="568">
        <v>0</v>
      </c>
    </row>
    <row r="6" spans="1:65" ht="14.25" x14ac:dyDescent="0.2">
      <c r="A6" s="351"/>
      <c r="B6" s="754"/>
      <c r="E6" s="12" t="s">
        <v>472</v>
      </c>
      <c r="F6" s="321" t="b">
        <v>0</v>
      </c>
      <c r="J6" s="670" t="s">
        <v>833</v>
      </c>
      <c r="K6" s="675">
        <v>37</v>
      </c>
      <c r="L6" t="s">
        <v>185</v>
      </c>
      <c r="N6" s="251"/>
      <c r="P6" t="s">
        <v>190</v>
      </c>
      <c r="T6" s="248" t="str">
        <f>'Table 1 Purpose rating'!A7</f>
        <v>Buckwheat /5</v>
      </c>
      <c r="W6" s="249" t="s">
        <v>77</v>
      </c>
      <c r="Y6" s="172" t="s">
        <v>331</v>
      </c>
      <c r="AA6" t="s">
        <v>330</v>
      </c>
      <c r="AC6" t="s">
        <v>406</v>
      </c>
      <c r="AD6" t="s">
        <v>529</v>
      </c>
      <c r="AE6" s="250" t="s">
        <v>452</v>
      </c>
      <c r="AF6" s="12" t="s">
        <v>492</v>
      </c>
      <c r="AG6" s="12"/>
      <c r="AH6" s="12" t="s">
        <v>491</v>
      </c>
      <c r="AI6" s="12" t="s">
        <v>494</v>
      </c>
      <c r="AK6" s="58" t="s">
        <v>316</v>
      </c>
      <c r="AM6" s="81"/>
      <c r="AN6" s="440" t="s">
        <v>61</v>
      </c>
      <c r="AO6" s="441">
        <v>72</v>
      </c>
      <c r="AP6" s="442">
        <v>0.1</v>
      </c>
      <c r="AQ6" s="443">
        <f>AO6*AP6/$AO$2</f>
        <v>7.8947368421052634E-3</v>
      </c>
      <c r="AT6" s="444" t="s">
        <v>640</v>
      </c>
      <c r="AU6" s="445"/>
      <c r="AV6" s="445"/>
      <c r="AW6" s="446"/>
      <c r="AX6" s="447">
        <v>1</v>
      </c>
      <c r="BA6" s="462">
        <v>56</v>
      </c>
      <c r="BD6" s="556"/>
      <c r="BE6" s="5"/>
      <c r="BF6" s="557"/>
      <c r="BI6" s="567"/>
      <c r="BJ6" s="568"/>
      <c r="BK6" s="568"/>
      <c r="BL6" s="568"/>
      <c r="BM6" s="568"/>
    </row>
    <row r="7" spans="1:65" ht="14.25" x14ac:dyDescent="0.2">
      <c r="A7" s="351">
        <v>45919</v>
      </c>
      <c r="B7" s="754" t="s">
        <v>906</v>
      </c>
      <c r="E7" s="12" t="s">
        <v>473</v>
      </c>
      <c r="F7" s="321" t="b">
        <v>1</v>
      </c>
      <c r="J7" s="671" t="s">
        <v>181</v>
      </c>
      <c r="K7" s="295">
        <v>3</v>
      </c>
      <c r="L7" t="s">
        <v>186</v>
      </c>
      <c r="N7" s="251"/>
      <c r="T7" s="248" t="str">
        <f>'Table 1 Purpose rating'!A8</f>
        <v>Cabbage, African</v>
      </c>
      <c r="W7" s="252" t="s">
        <v>195</v>
      </c>
      <c r="Y7" s="172" t="s">
        <v>332</v>
      </c>
      <c r="AA7" t="s">
        <v>331</v>
      </c>
      <c r="AC7" t="s">
        <v>407</v>
      </c>
      <c r="AD7" t="s">
        <v>530</v>
      </c>
      <c r="AE7" s="250" t="s">
        <v>456</v>
      </c>
      <c r="AF7" s="12" t="s">
        <v>493</v>
      </c>
      <c r="AG7" s="12"/>
      <c r="AH7" s="12" t="s">
        <v>491</v>
      </c>
      <c r="AI7" s="12" t="s">
        <v>494</v>
      </c>
      <c r="AK7" s="58" t="s">
        <v>317</v>
      </c>
      <c r="AM7" s="81"/>
      <c r="AN7" s="440" t="s">
        <v>13</v>
      </c>
      <c r="AO7" s="441">
        <v>56</v>
      </c>
      <c r="AP7" s="442">
        <v>0.2</v>
      </c>
      <c r="AQ7" s="443">
        <f t="shared" ref="AQ7:AQ25" si="0">AO7*AP7/$AO$2</f>
        <v>1.2280701754385967E-2</v>
      </c>
      <c r="AT7" s="444" t="s">
        <v>641</v>
      </c>
      <c r="AU7" s="445"/>
      <c r="AV7" s="445"/>
      <c r="AW7" s="446"/>
      <c r="AX7" s="447">
        <v>0.6</v>
      </c>
      <c r="BA7" s="462">
        <v>61</v>
      </c>
      <c r="BD7" s="556" t="s">
        <v>744</v>
      </c>
      <c r="BF7" s="531" t="str">
        <f>IF(Graze!$I12&gt;0,DATA!$BF$11,"")</f>
        <v/>
      </c>
      <c r="BI7" s="567">
        <v>56</v>
      </c>
      <c r="BJ7" s="568">
        <v>36</v>
      </c>
      <c r="BK7" s="568">
        <v>20</v>
      </c>
      <c r="BL7" s="568">
        <v>12</v>
      </c>
      <c r="BM7" s="568">
        <v>0</v>
      </c>
    </row>
    <row r="8" spans="1:65" ht="14.25" x14ac:dyDescent="0.2">
      <c r="B8" s="754" t="s">
        <v>907</v>
      </c>
      <c r="E8" s="12" t="s">
        <v>474</v>
      </c>
      <c r="F8" s="321" t="b">
        <v>0</v>
      </c>
      <c r="J8" s="670" t="s">
        <v>834</v>
      </c>
      <c r="K8" s="295">
        <v>5</v>
      </c>
      <c r="L8" t="s">
        <v>187</v>
      </c>
      <c r="N8" s="251"/>
      <c r="T8" s="248" t="str">
        <f>'Table 1 Purpose rating'!A9</f>
        <v>Camelina, Winter</v>
      </c>
      <c r="W8" s="249" t="s">
        <v>13</v>
      </c>
      <c r="Y8" s="172" t="s">
        <v>396</v>
      </c>
      <c r="AA8" t="s">
        <v>332</v>
      </c>
      <c r="AC8" t="s">
        <v>408</v>
      </c>
      <c r="AD8" t="s">
        <v>531</v>
      </c>
      <c r="AK8" s="58" t="s">
        <v>72</v>
      </c>
      <c r="AM8" s="81"/>
      <c r="AN8" s="440" t="s">
        <v>193</v>
      </c>
      <c r="AO8" s="441">
        <v>80</v>
      </c>
      <c r="AP8" s="442">
        <v>0.1</v>
      </c>
      <c r="AQ8" s="443">
        <f t="shared" si="0"/>
        <v>8.771929824561403E-3</v>
      </c>
      <c r="AT8" s="444" t="s">
        <v>642</v>
      </c>
      <c r="AU8" s="445"/>
      <c r="AV8" s="445"/>
      <c r="AW8" s="446"/>
      <c r="AX8" s="447">
        <v>1.35</v>
      </c>
      <c r="BA8" s="462">
        <v>62</v>
      </c>
      <c r="BD8" s="556"/>
      <c r="BE8" s="5"/>
      <c r="BF8" s="557"/>
      <c r="BI8" s="567"/>
      <c r="BJ8" s="568"/>
      <c r="BK8" s="568"/>
      <c r="BL8" s="568"/>
      <c r="BM8" s="568"/>
    </row>
    <row r="9" spans="1:65" ht="14.25" x14ac:dyDescent="0.2">
      <c r="B9" s="754"/>
      <c r="E9" s="12" t="s">
        <v>475</v>
      </c>
      <c r="F9" s="321" t="b">
        <v>0</v>
      </c>
      <c r="J9" s="671" t="s">
        <v>835</v>
      </c>
      <c r="K9" s="675">
        <v>45</v>
      </c>
      <c r="M9" s="1"/>
      <c r="N9" s="379" t="s">
        <v>628</v>
      </c>
      <c r="O9" s="303"/>
      <c r="P9" s="435" t="s">
        <v>625</v>
      </c>
      <c r="Q9" s="303" t="s">
        <v>624</v>
      </c>
      <c r="R9" s="380" t="s">
        <v>572</v>
      </c>
      <c r="T9" s="248" t="str">
        <f>'Table 1 Purpose rating'!A10</f>
        <v>Canola</v>
      </c>
      <c r="W9" s="249" t="s">
        <v>196</v>
      </c>
      <c r="Y9" s="172" t="s">
        <v>397</v>
      </c>
      <c r="AA9" t="s">
        <v>333</v>
      </c>
      <c r="AC9" s="12" t="s">
        <v>409</v>
      </c>
      <c r="AD9" t="s">
        <v>532</v>
      </c>
      <c r="AK9" s="58" t="s">
        <v>315</v>
      </c>
      <c r="AM9" s="81"/>
      <c r="AN9" s="440" t="s">
        <v>637</v>
      </c>
      <c r="AO9" s="441">
        <v>0</v>
      </c>
      <c r="AP9" s="442">
        <v>0</v>
      </c>
      <c r="AQ9" s="443">
        <f t="shared" si="0"/>
        <v>0</v>
      </c>
      <c r="AT9" s="444" t="s">
        <v>643</v>
      </c>
      <c r="AU9" s="445"/>
      <c r="AV9" s="445"/>
      <c r="AW9" s="446"/>
      <c r="AX9" s="447">
        <v>1</v>
      </c>
      <c r="BA9" s="462">
        <v>64</v>
      </c>
      <c r="BD9" s="558" t="s">
        <v>635</v>
      </c>
      <c r="BE9" s="5"/>
      <c r="BF9" s="559">
        <f>Graze!L9</f>
        <v>0.6</v>
      </c>
      <c r="BI9" s="567">
        <v>61</v>
      </c>
      <c r="BJ9" s="568">
        <v>36</v>
      </c>
      <c r="BK9" s="568">
        <v>12</v>
      </c>
      <c r="BL9" s="568">
        <v>8</v>
      </c>
      <c r="BM9" s="568">
        <v>0</v>
      </c>
    </row>
    <row r="10" spans="1:65" ht="15" x14ac:dyDescent="0.2">
      <c r="B10" s="754"/>
      <c r="F10" s="321"/>
      <c r="J10" s="670" t="s">
        <v>836</v>
      </c>
      <c r="K10" s="295">
        <v>1</v>
      </c>
      <c r="M10" s="1"/>
      <c r="N10" s="381" t="s">
        <v>626</v>
      </c>
      <c r="O10" s="253"/>
      <c r="P10" s="432"/>
      <c r="Q10" s="254"/>
      <c r="R10" s="436">
        <f>SUM(R13:R27)</f>
        <v>0</v>
      </c>
      <c r="T10" s="248" t="str">
        <f>'Table 1 Purpose rating'!A11</f>
        <v>Clover, Balansa</v>
      </c>
      <c r="W10" s="249" t="s">
        <v>197</v>
      </c>
      <c r="Y10" s="172" t="s">
        <v>398</v>
      </c>
      <c r="AA10" t="s">
        <v>334</v>
      </c>
      <c r="AD10" t="s">
        <v>533</v>
      </c>
      <c r="AK10" s="58" t="s">
        <v>87</v>
      </c>
      <c r="AM10" s="81"/>
      <c r="AN10" s="440" t="s">
        <v>97</v>
      </c>
      <c r="AO10" s="441">
        <v>64</v>
      </c>
      <c r="AP10" s="442">
        <v>0.1</v>
      </c>
      <c r="AQ10" s="443">
        <f t="shared" si="0"/>
        <v>7.0175438596491229E-3</v>
      </c>
      <c r="AT10" s="444" t="s">
        <v>644</v>
      </c>
      <c r="AU10" s="445"/>
      <c r="AV10" s="445"/>
      <c r="AW10" s="446"/>
      <c r="AX10" s="447">
        <v>1.1499999999999999</v>
      </c>
      <c r="BA10" s="462">
        <v>65</v>
      </c>
      <c r="BD10" s="556"/>
      <c r="BE10" s="5"/>
      <c r="BF10" s="557"/>
      <c r="BI10" s="567"/>
      <c r="BJ10" s="568"/>
      <c r="BK10" s="568"/>
      <c r="BL10" s="568"/>
      <c r="BM10" s="568"/>
    </row>
    <row r="11" spans="1:65" ht="15" x14ac:dyDescent="0.25">
      <c r="B11" s="754"/>
      <c r="J11" s="670" t="s">
        <v>837</v>
      </c>
      <c r="K11" s="295">
        <v>2</v>
      </c>
      <c r="M11" s="1"/>
      <c r="N11" s="391" t="s">
        <v>627</v>
      </c>
      <c r="O11" s="395"/>
      <c r="P11" s="434"/>
      <c r="R11" s="437">
        <f>ROUNDDOWN(R10*0.8,1)</f>
        <v>0</v>
      </c>
      <c r="S11" s="254"/>
      <c r="T11" s="248" t="str">
        <f>'Table 1 Purpose rating'!A12</f>
        <v>Clover, Crimson</v>
      </c>
      <c r="W11" s="249" t="s">
        <v>488</v>
      </c>
      <c r="Y11" s="172" t="s">
        <v>335</v>
      </c>
      <c r="AA11" t="s">
        <v>335</v>
      </c>
      <c r="AD11" t="s">
        <v>534</v>
      </c>
      <c r="AK11" s="58" t="s">
        <v>318</v>
      </c>
      <c r="AM11" s="81"/>
      <c r="AN11" s="440" t="s">
        <v>638</v>
      </c>
      <c r="AO11" s="441">
        <v>0</v>
      </c>
      <c r="AP11" s="442">
        <v>0</v>
      </c>
      <c r="AQ11" s="443">
        <f t="shared" si="0"/>
        <v>0</v>
      </c>
      <c r="AT11" s="444" t="s">
        <v>645</v>
      </c>
      <c r="AU11" s="445"/>
      <c r="AV11" s="445"/>
      <c r="AW11" s="446"/>
      <c r="AX11" s="447">
        <v>1.3</v>
      </c>
      <c r="BA11" s="462">
        <v>66</v>
      </c>
      <c r="BD11" s="560" t="s">
        <v>745</v>
      </c>
      <c r="BE11" s="5"/>
      <c r="BF11" s="438">
        <v>4</v>
      </c>
      <c r="BI11" s="567">
        <v>62</v>
      </c>
      <c r="BJ11" s="568">
        <v>36</v>
      </c>
      <c r="BK11" s="568">
        <v>13</v>
      </c>
      <c r="BL11" s="568">
        <v>9</v>
      </c>
      <c r="BM11" s="568">
        <v>0</v>
      </c>
    </row>
    <row r="12" spans="1:65" ht="14.25" x14ac:dyDescent="0.2">
      <c r="B12" s="754"/>
      <c r="J12" s="670" t="s">
        <v>838</v>
      </c>
      <c r="K12" s="675">
        <v>78</v>
      </c>
      <c r="M12" s="1"/>
      <c r="N12" s="388"/>
      <c r="P12" s="433"/>
      <c r="R12" s="389"/>
      <c r="S12" s="254"/>
      <c r="T12" s="248" t="str">
        <f>'Table 1 Purpose rating'!A13</f>
        <v xml:space="preserve">Clover, Red </v>
      </c>
      <c r="W12" s="252" t="s">
        <v>198</v>
      </c>
      <c r="Y12" s="172" t="s">
        <v>336</v>
      </c>
      <c r="AA12" t="s">
        <v>336</v>
      </c>
      <c r="AD12" s="12" t="s">
        <v>839</v>
      </c>
      <c r="AK12" s="58" t="s">
        <v>311</v>
      </c>
      <c r="AM12" s="81"/>
      <c r="AN12" s="440" t="s">
        <v>201</v>
      </c>
      <c r="AO12" s="441">
        <v>84</v>
      </c>
      <c r="AP12" s="442">
        <v>0.1</v>
      </c>
      <c r="AQ12" s="443">
        <f t="shared" si="0"/>
        <v>9.2105263157894746E-3</v>
      </c>
      <c r="AT12" s="444" t="s">
        <v>646</v>
      </c>
      <c r="AU12" s="445"/>
      <c r="AV12" s="445"/>
      <c r="AW12" s="446"/>
      <c r="AX12" s="447">
        <v>0.6</v>
      </c>
      <c r="BA12" s="462" t="s">
        <v>658</v>
      </c>
      <c r="BD12" s="556"/>
      <c r="BE12" s="5"/>
      <c r="BF12" s="557"/>
      <c r="BI12" s="567"/>
      <c r="BJ12" s="568"/>
      <c r="BK12" s="568"/>
      <c r="BL12" s="568"/>
      <c r="BM12" s="568"/>
    </row>
    <row r="13" spans="1:65" ht="14.25" x14ac:dyDescent="0.2">
      <c r="B13" s="754"/>
      <c r="J13" s="672"/>
      <c r="K13" s="295"/>
      <c r="M13" s="1"/>
      <c r="N13" s="387">
        <f>'Cover crop worksheet'!B33</f>
        <v>0</v>
      </c>
      <c r="P13" s="385" t="str">
        <f>IFERROR(VLOOKUP(N13,'Table 1 Purpose rating'!$A$4:$AF$55,21,FALSE),"")</f>
        <v/>
      </c>
      <c r="Q13" s="378" t="str">
        <f>'Cover crop worksheet'!K33</f>
        <v/>
      </c>
      <c r="R13" s="382" t="str">
        <f t="shared" ref="R13:R27" si="1">IFERROR(P13*Q13/43560,"")</f>
        <v/>
      </c>
      <c r="S13" s="254"/>
      <c r="T13" s="248" t="str">
        <f>'Table 1 Purpose rating'!A14</f>
        <v>Clover, Sweet</v>
      </c>
      <c r="W13" s="249" t="s">
        <v>90</v>
      </c>
      <c r="Y13" s="172" t="s">
        <v>337</v>
      </c>
      <c r="AA13" t="s">
        <v>337</v>
      </c>
      <c r="AD13" t="s">
        <v>535</v>
      </c>
      <c r="AN13" s="440" t="s">
        <v>639</v>
      </c>
      <c r="AO13" s="441">
        <v>56</v>
      </c>
      <c r="AP13" s="442">
        <v>0.2</v>
      </c>
      <c r="AQ13" s="443">
        <f t="shared" si="0"/>
        <v>1.2280701754385967E-2</v>
      </c>
      <c r="AT13" s="444" t="s">
        <v>647</v>
      </c>
      <c r="AU13" s="445"/>
      <c r="AV13" s="445"/>
      <c r="AW13" s="446"/>
      <c r="AX13" s="447">
        <v>0.1</v>
      </c>
      <c r="BA13" s="462" t="s">
        <v>659</v>
      </c>
      <c r="BD13" s="560" t="s">
        <v>746</v>
      </c>
      <c r="BE13" s="5"/>
      <c r="BF13" s="557">
        <f ca="1">YEAR(TODAY())</f>
        <v>2026</v>
      </c>
      <c r="BI13" s="567">
        <v>64</v>
      </c>
      <c r="BJ13" s="568">
        <v>36</v>
      </c>
      <c r="BK13" s="568">
        <v>14</v>
      </c>
      <c r="BL13" s="568">
        <v>10</v>
      </c>
      <c r="BM13" s="568">
        <v>0</v>
      </c>
    </row>
    <row r="14" spans="1:65" ht="14.25" x14ac:dyDescent="0.2">
      <c r="B14" s="754"/>
      <c r="K14" s="295"/>
      <c r="M14" s="1"/>
      <c r="N14" s="387">
        <f>'Cover crop worksheet'!B34</f>
        <v>0</v>
      </c>
      <c r="P14" s="385" t="str">
        <f>IFERROR(VLOOKUP(N14,'Table 1 Purpose rating'!$A$4:$AF$55,21,FALSE),"")</f>
        <v/>
      </c>
      <c r="Q14" s="378" t="str">
        <f>'Cover crop worksheet'!K34</f>
        <v/>
      </c>
      <c r="R14" s="382" t="str">
        <f t="shared" si="1"/>
        <v/>
      </c>
      <c r="S14" s="254"/>
      <c r="T14" s="248" t="str">
        <f>'Table 1 Purpose rating'!A15</f>
        <v>Collards or Kale</v>
      </c>
      <c r="W14" s="249" t="s">
        <v>882</v>
      </c>
      <c r="Y14" s="172" t="s">
        <v>338</v>
      </c>
      <c r="AA14" t="s">
        <v>338</v>
      </c>
      <c r="AD14" t="s">
        <v>536</v>
      </c>
      <c r="AG14" s="12" t="s">
        <v>633</v>
      </c>
      <c r="AN14" s="440" t="s">
        <v>11</v>
      </c>
      <c r="AO14" s="441">
        <v>75</v>
      </c>
      <c r="AP14" s="442">
        <v>0.1</v>
      </c>
      <c r="AQ14" s="443">
        <f t="shared" si="0"/>
        <v>8.2236842105263153E-3</v>
      </c>
      <c r="AT14" s="444" t="s">
        <v>648</v>
      </c>
      <c r="AU14" s="445"/>
      <c r="AV14" s="445"/>
      <c r="AW14" s="446"/>
      <c r="AX14" s="447">
        <v>0.15</v>
      </c>
      <c r="BA14" s="462" t="s">
        <v>660</v>
      </c>
      <c r="BD14" s="556"/>
      <c r="BE14" s="5"/>
      <c r="BF14" s="557">
        <f ca="1">BF13+1</f>
        <v>2027</v>
      </c>
      <c r="BI14" s="567"/>
      <c r="BJ14" s="568"/>
      <c r="BK14" s="568"/>
      <c r="BL14" s="568"/>
      <c r="BM14" s="568"/>
    </row>
    <row r="15" spans="1:65" ht="14.25" x14ac:dyDescent="0.2">
      <c r="B15" s="754"/>
      <c r="I15" s="12" t="s">
        <v>829</v>
      </c>
      <c r="J15" s="673"/>
      <c r="K15" s="295"/>
      <c r="M15" s="1"/>
      <c r="N15" s="387">
        <f>'Cover crop worksheet'!B35</f>
        <v>0</v>
      </c>
      <c r="P15" s="385" t="str">
        <f>IFERROR(VLOOKUP(N15,'Table 1 Purpose rating'!$A$4:$AF$55,21,FALSE),"")</f>
        <v/>
      </c>
      <c r="Q15" s="378" t="str">
        <f>'Cover crop worksheet'!K35</f>
        <v/>
      </c>
      <c r="R15" s="382" t="str">
        <f t="shared" si="1"/>
        <v/>
      </c>
      <c r="S15" s="254"/>
      <c r="T15" s="248" t="str">
        <f>'Table 1 Purpose rating'!A16</f>
        <v>Corn</v>
      </c>
      <c r="W15" s="249" t="s">
        <v>203</v>
      </c>
      <c r="Y15" s="172" t="s">
        <v>339</v>
      </c>
      <c r="AA15" t="s">
        <v>339</v>
      </c>
      <c r="AD15" t="s">
        <v>537</v>
      </c>
      <c r="AG15" t="s">
        <v>631</v>
      </c>
      <c r="AN15" s="440" t="s">
        <v>204</v>
      </c>
      <c r="AO15" s="441">
        <v>78</v>
      </c>
      <c r="AP15" s="442">
        <v>0.1</v>
      </c>
      <c r="AQ15" s="443">
        <f t="shared" si="0"/>
        <v>8.552631578947369E-3</v>
      </c>
      <c r="AT15" s="444" t="s">
        <v>649</v>
      </c>
      <c r="AU15" s="445"/>
      <c r="AV15" s="445"/>
      <c r="AW15" s="446"/>
      <c r="AX15" s="447">
        <v>1.25</v>
      </c>
      <c r="BA15" s="462" t="s">
        <v>661</v>
      </c>
      <c r="BD15" s="556"/>
      <c r="BE15" s="5"/>
      <c r="BF15" s="557">
        <f ca="1">BF14+1</f>
        <v>2028</v>
      </c>
      <c r="BI15" s="567">
        <v>65</v>
      </c>
      <c r="BJ15" s="568">
        <v>36</v>
      </c>
      <c r="BK15" s="568">
        <v>15</v>
      </c>
      <c r="BL15" s="568">
        <v>11</v>
      </c>
      <c r="BM15" s="568">
        <v>0</v>
      </c>
    </row>
    <row r="16" spans="1:65" ht="14.25" x14ac:dyDescent="0.2">
      <c r="B16" s="754"/>
      <c r="J16" s="670" t="s">
        <v>758</v>
      </c>
      <c r="K16" s="295"/>
      <c r="M16" s="1"/>
      <c r="N16" s="387">
        <f>'Cover crop worksheet'!B36</f>
        <v>0</v>
      </c>
      <c r="P16" s="385" t="str">
        <f>IFERROR(VLOOKUP(N16,'Table 1 Purpose rating'!$A$4:$AF$55,21,FALSE),"")</f>
        <v/>
      </c>
      <c r="Q16" s="378" t="str">
        <f>'Cover crop worksheet'!K36</f>
        <v/>
      </c>
      <c r="R16" s="382" t="str">
        <f t="shared" si="1"/>
        <v/>
      </c>
      <c r="S16" s="254"/>
      <c r="T16" s="248" t="str">
        <f>'Table 1 Purpose rating'!A17</f>
        <v>Cowpeas or Dry Beans</v>
      </c>
      <c r="W16" s="249" t="s">
        <v>489</v>
      </c>
      <c r="Y16" s="172" t="s">
        <v>341</v>
      </c>
      <c r="AA16" t="s">
        <v>340</v>
      </c>
      <c r="AD16" t="s">
        <v>525</v>
      </c>
      <c r="AG16" t="s">
        <v>632</v>
      </c>
      <c r="AN16" s="440" t="s">
        <v>205</v>
      </c>
      <c r="AO16" s="441">
        <v>102</v>
      </c>
      <c r="AP16" s="442">
        <v>0.1</v>
      </c>
      <c r="AQ16" s="443">
        <f t="shared" si="0"/>
        <v>1.1184210526315791E-2</v>
      </c>
      <c r="AT16" s="444" t="s">
        <v>650</v>
      </c>
      <c r="AU16" s="445"/>
      <c r="AV16" s="445"/>
      <c r="AW16" s="446"/>
      <c r="AX16" s="447">
        <v>0.8</v>
      </c>
      <c r="BA16" s="462" t="s">
        <v>662</v>
      </c>
      <c r="BD16" s="556"/>
      <c r="BE16" s="5"/>
      <c r="BF16" s="557">
        <f ca="1">BF15+1</f>
        <v>2029</v>
      </c>
      <c r="BI16" s="567"/>
      <c r="BJ16" s="568"/>
      <c r="BK16" s="568"/>
      <c r="BL16" s="568"/>
      <c r="BM16" s="568"/>
    </row>
    <row r="17" spans="2:65" ht="14.25" x14ac:dyDescent="0.2">
      <c r="B17" s="754"/>
      <c r="J17" s="670" t="s">
        <v>759</v>
      </c>
      <c r="K17" s="295"/>
      <c r="M17" s="1"/>
      <c r="N17" s="387">
        <f>'Cover crop worksheet'!B37</f>
        <v>0</v>
      </c>
      <c r="P17" s="385" t="str">
        <f>IFERROR(VLOOKUP(N17,'Table 1 Purpose rating'!$A$4:$AF$55,21,FALSE),"")</f>
        <v/>
      </c>
      <c r="Q17" s="378" t="str">
        <f>'Cover crop worksheet'!K37</f>
        <v/>
      </c>
      <c r="R17" s="382" t="str">
        <f t="shared" si="1"/>
        <v/>
      </c>
      <c r="S17" s="254"/>
      <c r="T17" s="248" t="str">
        <f>'Table 1 Purpose rating'!A18</f>
        <v>Fava beans</v>
      </c>
      <c r="W17" s="249" t="s">
        <v>202</v>
      </c>
      <c r="Y17" s="172" t="s">
        <v>342</v>
      </c>
      <c r="AA17" t="s">
        <v>341</v>
      </c>
      <c r="AD17" t="s">
        <v>538</v>
      </c>
      <c r="AN17" s="440"/>
      <c r="AO17" s="441"/>
      <c r="AP17" s="441"/>
      <c r="AQ17" s="443">
        <f t="shared" si="0"/>
        <v>0</v>
      </c>
      <c r="AT17" s="444" t="s">
        <v>651</v>
      </c>
      <c r="AU17" s="445"/>
      <c r="AV17" s="445"/>
      <c r="AW17" s="446"/>
      <c r="AX17" s="447">
        <v>0.2</v>
      </c>
      <c r="BA17" s="462" t="s">
        <v>663</v>
      </c>
      <c r="BD17" s="556"/>
      <c r="BE17" s="5"/>
      <c r="BF17" s="557">
        <f ca="1">BF16+1</f>
        <v>2030</v>
      </c>
      <c r="BI17" s="567">
        <v>66</v>
      </c>
      <c r="BJ17" s="568">
        <v>36</v>
      </c>
      <c r="BK17" s="568">
        <v>16</v>
      </c>
      <c r="BL17" s="568">
        <v>12</v>
      </c>
      <c r="BM17" s="568">
        <v>0</v>
      </c>
    </row>
    <row r="18" spans="2:65" ht="14.25" x14ac:dyDescent="0.2">
      <c r="B18" s="754"/>
      <c r="J18" s="670" t="s">
        <v>761</v>
      </c>
      <c r="K18" s="295"/>
      <c r="M18" s="1"/>
      <c r="N18" s="387">
        <f>'Cover crop worksheet'!B38</f>
        <v>0</v>
      </c>
      <c r="P18" s="385" t="str">
        <f>IFERROR(VLOOKUP(N18,'Table 1 Purpose rating'!$A$4:$AF$55,21,FALSE),"")</f>
        <v/>
      </c>
      <c r="Q18" s="378" t="str">
        <f>'Cover crop worksheet'!K38</f>
        <v/>
      </c>
      <c r="R18" s="382" t="str">
        <f t="shared" si="1"/>
        <v/>
      </c>
      <c r="S18" s="254"/>
      <c r="T18" s="248" t="str">
        <f>'Table 1 Purpose rating'!A19</f>
        <v>Flax</v>
      </c>
      <c r="W18" s="249" t="s">
        <v>194</v>
      </c>
      <c r="Y18" s="172" t="s">
        <v>343</v>
      </c>
      <c r="AA18" t="s">
        <v>342</v>
      </c>
      <c r="AD18" t="s">
        <v>539</v>
      </c>
      <c r="AN18" s="440"/>
      <c r="AO18" s="441"/>
      <c r="AP18" s="441"/>
      <c r="AQ18" s="443">
        <f t="shared" si="0"/>
        <v>0</v>
      </c>
      <c r="AT18" s="444" t="s">
        <v>652</v>
      </c>
      <c r="AU18" s="445"/>
      <c r="AV18" s="445"/>
      <c r="AW18" s="446"/>
      <c r="AX18" s="447">
        <v>0.15</v>
      </c>
      <c r="BA18" s="462" t="s">
        <v>664</v>
      </c>
      <c r="BD18" s="556"/>
      <c r="BE18" s="5"/>
      <c r="BF18" s="557"/>
      <c r="BI18" s="567"/>
      <c r="BJ18" s="568"/>
      <c r="BK18" s="568"/>
      <c r="BL18" s="568"/>
      <c r="BM18" s="568"/>
    </row>
    <row r="19" spans="2:65" ht="14.25" x14ac:dyDescent="0.2">
      <c r="B19" s="754"/>
      <c r="J19" s="674" t="s">
        <v>760</v>
      </c>
      <c r="K19" s="295"/>
      <c r="M19" s="1"/>
      <c r="N19" s="387">
        <f>'Cover crop worksheet'!B39</f>
        <v>0</v>
      </c>
      <c r="P19" s="385" t="str">
        <f>IFERROR(VLOOKUP(N19,'Table 1 Purpose rating'!$A$4:$AF$55,21,FALSE),"")</f>
        <v/>
      </c>
      <c r="Q19" s="378" t="str">
        <f>'Cover crop worksheet'!K39</f>
        <v/>
      </c>
      <c r="R19" s="382" t="str">
        <f t="shared" si="1"/>
        <v/>
      </c>
      <c r="T19" s="248" t="str">
        <f>'Table 1 Purpose rating'!A20</f>
        <v>Lentils</v>
      </c>
      <c r="W19" s="252" t="s">
        <v>92</v>
      </c>
      <c r="Y19" s="172" t="s">
        <v>344</v>
      </c>
      <c r="AA19" t="s">
        <v>343</v>
      </c>
      <c r="AN19" s="440"/>
      <c r="AO19" s="441"/>
      <c r="AP19" s="441"/>
      <c r="AQ19" s="443">
        <f t="shared" si="0"/>
        <v>0</v>
      </c>
      <c r="AT19" s="444" t="s">
        <v>653</v>
      </c>
      <c r="AU19" s="445"/>
      <c r="AV19" s="445"/>
      <c r="AW19" s="446"/>
      <c r="AX19" s="447">
        <v>0.3</v>
      </c>
      <c r="BA19" s="462" t="s">
        <v>665</v>
      </c>
      <c r="BD19" s="560" t="s">
        <v>634</v>
      </c>
      <c r="BE19" s="5"/>
      <c r="BF19" s="438">
        <v>912</v>
      </c>
      <c r="BI19" s="567" t="s">
        <v>658</v>
      </c>
      <c r="BJ19" s="568">
        <v>36</v>
      </c>
      <c r="BK19" s="568">
        <v>20</v>
      </c>
      <c r="BL19" s="568">
        <v>12</v>
      </c>
      <c r="BM19" s="568">
        <v>0</v>
      </c>
    </row>
    <row r="20" spans="2:65" ht="14.25" x14ac:dyDescent="0.2">
      <c r="B20" s="754"/>
      <c r="M20" s="1"/>
      <c r="N20" s="387">
        <f>'Cover crop worksheet'!B40</f>
        <v>0</v>
      </c>
      <c r="P20" s="385" t="str">
        <f>IFERROR(VLOOKUP(N20,'Table 1 Purpose rating'!$A$4:$AF$55,21,FALSE),"")</f>
        <v/>
      </c>
      <c r="Q20" s="378" t="str">
        <f>'Cover crop worksheet'!K40</f>
        <v/>
      </c>
      <c r="R20" s="382" t="str">
        <f t="shared" si="1"/>
        <v/>
      </c>
      <c r="T20" s="248" t="str">
        <f>'Table 1 Purpose rating'!A21</f>
        <v>Millet, hay</v>
      </c>
      <c r="W20" s="255" t="s">
        <v>199</v>
      </c>
      <c r="Y20" s="172" t="s">
        <v>345</v>
      </c>
      <c r="AA20" t="s">
        <v>344</v>
      </c>
      <c r="AN20" s="440"/>
      <c r="AO20" s="441"/>
      <c r="AP20" s="441"/>
      <c r="AQ20" s="443">
        <f t="shared" si="0"/>
        <v>0</v>
      </c>
      <c r="AT20" s="444" t="s">
        <v>654</v>
      </c>
      <c r="AU20" s="445"/>
      <c r="AV20" s="445"/>
      <c r="AW20" s="446"/>
      <c r="AX20" s="447">
        <v>0.6</v>
      </c>
      <c r="BA20" s="462" t="s">
        <v>666</v>
      </c>
      <c r="BD20" s="388"/>
      <c r="BE20" s="5"/>
      <c r="BF20" s="389"/>
      <c r="BI20" s="567"/>
      <c r="BJ20" s="568"/>
      <c r="BK20" s="568"/>
      <c r="BL20" s="568"/>
      <c r="BM20" s="568"/>
    </row>
    <row r="21" spans="2:65" x14ac:dyDescent="0.2">
      <c r="M21" s="1"/>
      <c r="N21" s="387">
        <f>'Cover crop worksheet'!B41</f>
        <v>0</v>
      </c>
      <c r="P21" s="385" t="str">
        <f>IFERROR(VLOOKUP(N21,'Table 1 Purpose rating'!$A$4:$AF$55,21,FALSE),"")</f>
        <v/>
      </c>
      <c r="Q21" s="378" t="str">
        <f>'Cover crop worksheet'!K41</f>
        <v/>
      </c>
      <c r="R21" s="382" t="str">
        <f t="shared" si="1"/>
        <v/>
      </c>
      <c r="T21" s="248" t="str">
        <f>'Table 1 Purpose rating'!A22</f>
        <v>Millet, proso</v>
      </c>
      <c r="W21" s="249" t="s">
        <v>193</v>
      </c>
      <c r="Y21" s="172" t="s">
        <v>346</v>
      </c>
      <c r="AA21" t="s">
        <v>345</v>
      </c>
      <c r="AN21" s="440"/>
      <c r="AO21" s="441"/>
      <c r="AP21" s="441"/>
      <c r="AQ21" s="443">
        <f t="shared" si="0"/>
        <v>0</v>
      </c>
      <c r="AT21" s="444" t="s">
        <v>655</v>
      </c>
      <c r="AU21" s="445"/>
      <c r="AV21" s="445"/>
      <c r="AW21" s="446"/>
      <c r="AX21" s="447">
        <v>0.8</v>
      </c>
      <c r="BA21" s="462" t="s">
        <v>667</v>
      </c>
      <c r="BD21" s="556" t="s">
        <v>747</v>
      </c>
      <c r="BE21" s="439" t="s">
        <v>748</v>
      </c>
      <c r="BF21" s="561" t="s">
        <v>749</v>
      </c>
      <c r="BI21" s="567" t="s">
        <v>659</v>
      </c>
      <c r="BJ21" s="568">
        <v>38</v>
      </c>
      <c r="BK21" s="568">
        <v>24</v>
      </c>
      <c r="BL21" s="568">
        <v>14</v>
      </c>
      <c r="BM21" s="568">
        <v>4</v>
      </c>
    </row>
    <row r="22" spans="2:65" x14ac:dyDescent="0.2">
      <c r="J22" s="12" t="s">
        <v>853</v>
      </c>
      <c r="M22" s="1"/>
      <c r="N22" s="387">
        <f>'Cover crop worksheet'!B42</f>
        <v>0</v>
      </c>
      <c r="P22" s="385" t="str">
        <f>IFERROR(VLOOKUP(N22,'Table 1 Purpose rating'!$A$4:$AF$55,21,FALSE),"")</f>
        <v/>
      </c>
      <c r="Q22" s="378" t="str">
        <f>'Cover crop worksheet'!K42</f>
        <v/>
      </c>
      <c r="R22" s="382" t="str">
        <f t="shared" si="1"/>
        <v/>
      </c>
      <c r="S22" s="253"/>
      <c r="T22" s="248" t="str">
        <f>'Table 1 Purpose rating'!A23</f>
        <v>Mustard</v>
      </c>
      <c r="W22" s="249" t="s">
        <v>95</v>
      </c>
      <c r="Y22" s="172" t="s">
        <v>347</v>
      </c>
      <c r="AA22" t="s">
        <v>346</v>
      </c>
      <c r="AN22" s="440"/>
      <c r="AO22" s="441"/>
      <c r="AP22" s="441"/>
      <c r="AQ22" s="443">
        <f t="shared" si="0"/>
        <v>0</v>
      </c>
      <c r="AT22" s="448"/>
      <c r="AU22" s="445"/>
      <c r="AV22" s="445"/>
      <c r="AW22" s="446"/>
      <c r="AX22" s="447"/>
      <c r="BA22" s="462" t="s">
        <v>668</v>
      </c>
      <c r="BD22" s="562" t="s">
        <v>750</v>
      </c>
      <c r="BE22" s="563">
        <v>140</v>
      </c>
      <c r="BF22" s="563">
        <v>250</v>
      </c>
      <c r="BI22" s="567"/>
      <c r="BJ22" s="568"/>
      <c r="BK22" s="568"/>
      <c r="BL22" s="568"/>
      <c r="BM22" s="568"/>
    </row>
    <row r="23" spans="2:65" x14ac:dyDescent="0.2">
      <c r="J23">
        <f>'Cover crop worksheet'!J7</f>
        <v>0</v>
      </c>
      <c r="K23">
        <f>IFERROR(VLOOKUP(J23,J3:K13,2,FALSE),0)</f>
        <v>0</v>
      </c>
      <c r="M23" s="1"/>
      <c r="N23" s="387">
        <f>'Cover crop worksheet'!B43</f>
        <v>0</v>
      </c>
      <c r="P23" s="385" t="str">
        <f>IFERROR(VLOOKUP(N23,'Table 1 Purpose rating'!$A$4:$AF$55,21,FALSE),"")</f>
        <v/>
      </c>
      <c r="Q23" s="378" t="str">
        <f>'Cover crop worksheet'!K43</f>
        <v/>
      </c>
      <c r="R23" s="382" t="str">
        <f t="shared" si="1"/>
        <v/>
      </c>
      <c r="S23" s="253"/>
      <c r="T23" s="248" t="str">
        <f>'Table 1 Purpose rating'!A24</f>
        <v>Oats</v>
      </c>
      <c r="W23" s="249" t="s">
        <v>97</v>
      </c>
      <c r="Y23" s="172" t="s">
        <v>348</v>
      </c>
      <c r="AA23" t="s">
        <v>347</v>
      </c>
      <c r="AN23" s="440"/>
      <c r="AO23" s="441"/>
      <c r="AP23" s="441"/>
      <c r="AQ23" s="443">
        <f t="shared" si="0"/>
        <v>0</v>
      </c>
      <c r="AT23" s="444"/>
      <c r="AU23" s="445"/>
      <c r="AV23" s="445"/>
      <c r="AW23" s="446"/>
      <c r="AX23" s="447"/>
      <c r="BA23" s="463"/>
      <c r="BD23" s="562" t="s">
        <v>751</v>
      </c>
      <c r="BE23" s="563">
        <v>1275</v>
      </c>
      <c r="BF23" s="563">
        <v>200</v>
      </c>
      <c r="BI23" s="567" t="s">
        <v>660</v>
      </c>
      <c r="BJ23" s="568">
        <v>38</v>
      </c>
      <c r="BK23" s="568">
        <v>24</v>
      </c>
      <c r="BL23" s="568">
        <v>14</v>
      </c>
      <c r="BM23" s="568">
        <v>4</v>
      </c>
    </row>
    <row r="24" spans="2:65" x14ac:dyDescent="0.2">
      <c r="M24" s="1"/>
      <c r="N24" s="387">
        <f>'Cover crop worksheet'!B44</f>
        <v>0</v>
      </c>
      <c r="P24" s="385" t="str">
        <f>IFERROR(VLOOKUP(N24,'Table 1 Purpose rating'!$A$4:$AF$55,21,FALSE),"")</f>
        <v/>
      </c>
      <c r="Q24" s="378" t="str">
        <f>'Cover crop worksheet'!K44</f>
        <v/>
      </c>
      <c r="R24" s="382" t="str">
        <f t="shared" si="1"/>
        <v/>
      </c>
      <c r="S24" s="253"/>
      <c r="T24" s="248" t="str">
        <f>'Table 1 Purpose rating'!A25</f>
        <v>Peas</v>
      </c>
      <c r="W24" s="249" t="s">
        <v>200</v>
      </c>
      <c r="Y24" s="172" t="s">
        <v>350</v>
      </c>
      <c r="AA24" t="s">
        <v>348</v>
      </c>
      <c r="AN24" s="440"/>
      <c r="AO24" s="441"/>
      <c r="AP24" s="441"/>
      <c r="AQ24" s="443">
        <f t="shared" si="0"/>
        <v>0</v>
      </c>
      <c r="AT24" s="444"/>
      <c r="AU24" s="445"/>
      <c r="AV24" s="445"/>
      <c r="AW24" s="446"/>
      <c r="AX24" s="447"/>
      <c r="BD24" s="562" t="s">
        <v>752</v>
      </c>
      <c r="BE24" s="563">
        <f>(BE22+BE23)/2</f>
        <v>707.5</v>
      </c>
      <c r="BF24" s="563">
        <f>(BF22+BF23)/2</f>
        <v>225</v>
      </c>
      <c r="BI24" s="567"/>
      <c r="BJ24" s="568"/>
      <c r="BK24" s="568"/>
      <c r="BL24" s="568"/>
      <c r="BM24" s="568"/>
    </row>
    <row r="25" spans="2:65" x14ac:dyDescent="0.2">
      <c r="M25" s="1"/>
      <c r="N25" s="387">
        <f>'Cover crop worksheet'!B45</f>
        <v>0</v>
      </c>
      <c r="P25" s="385" t="str">
        <f>IFERROR(VLOOKUP(N25,'Table 1 Purpose rating'!$A$4:$AF$55,21,FALSE),"")</f>
        <v/>
      </c>
      <c r="Q25" s="378" t="str">
        <f>'Cover crop worksheet'!K45</f>
        <v/>
      </c>
      <c r="R25" s="382" t="str">
        <f t="shared" si="1"/>
        <v/>
      </c>
      <c r="S25" s="253"/>
      <c r="T25" s="248" t="str">
        <f>'Table 1 Purpose rating'!A26</f>
        <v>Phacelia</v>
      </c>
      <c r="W25" s="249" t="s">
        <v>101</v>
      </c>
      <c r="Y25" s="172" t="s">
        <v>352</v>
      </c>
      <c r="AA25" t="s">
        <v>349</v>
      </c>
      <c r="AN25" s="440"/>
      <c r="AO25" s="441"/>
      <c r="AP25" s="441"/>
      <c r="AQ25" s="443">
        <f t="shared" si="0"/>
        <v>0</v>
      </c>
      <c r="AT25" s="444"/>
      <c r="AU25" s="445"/>
      <c r="AV25" s="445"/>
      <c r="AW25" s="446"/>
      <c r="AX25" s="447"/>
      <c r="BD25" s="388"/>
      <c r="BF25" s="389"/>
      <c r="BI25" s="567" t="s">
        <v>773</v>
      </c>
      <c r="BJ25" s="568">
        <v>36</v>
      </c>
      <c r="BK25" s="568">
        <v>18</v>
      </c>
      <c r="BL25" s="568">
        <v>12</v>
      </c>
      <c r="BM25" s="568">
        <v>0</v>
      </c>
    </row>
    <row r="26" spans="2:65" x14ac:dyDescent="0.2">
      <c r="M26" s="1"/>
      <c r="N26" s="387">
        <f>'Cover crop worksheet'!B46</f>
        <v>0</v>
      </c>
      <c r="P26" s="385" t="str">
        <f>IFERROR(VLOOKUP(N26,'Table 1 Purpose rating'!$A$4:$AF$55,21,FALSE),"")</f>
        <v/>
      </c>
      <c r="Q26" s="378" t="str">
        <f>'Cover crop worksheet'!K46</f>
        <v/>
      </c>
      <c r="R26" s="382" t="str">
        <f t="shared" si="1"/>
        <v/>
      </c>
      <c r="S26" s="253"/>
      <c r="T26" s="248" t="str">
        <f>'Table 1 Purpose rating'!A27</f>
        <v>Radishes</v>
      </c>
      <c r="W26" s="249" t="s">
        <v>201</v>
      </c>
      <c r="Y26" s="172" t="s">
        <v>353</v>
      </c>
      <c r="AA26" t="s">
        <v>350</v>
      </c>
      <c r="AT26" s="449"/>
      <c r="AU26" s="450"/>
      <c r="AV26" s="450"/>
      <c r="AW26" s="451"/>
      <c r="AX26" s="452"/>
      <c r="BD26" s="388"/>
      <c r="BF26" s="389"/>
      <c r="BI26" s="567"/>
      <c r="BJ26" s="568"/>
      <c r="BK26" s="568"/>
      <c r="BL26" s="568"/>
      <c r="BM26" s="568"/>
    </row>
    <row r="27" spans="2:65" x14ac:dyDescent="0.2">
      <c r="M27" s="1"/>
      <c r="N27" s="390">
        <f>'Cover crop worksheet'!B47</f>
        <v>0</v>
      </c>
      <c r="O27" s="241"/>
      <c r="P27" s="386" t="str">
        <f>IFERROR(VLOOKUP(N27,'Table 1 Purpose rating'!$A$4:$AF$55,21,FALSE),"")</f>
        <v/>
      </c>
      <c r="Q27" s="383" t="str">
        <f>'Cover crop worksheet'!K47</f>
        <v/>
      </c>
      <c r="R27" s="384" t="str">
        <f t="shared" si="1"/>
        <v/>
      </c>
      <c r="S27" s="253"/>
      <c r="T27" s="248" t="str">
        <f>'Table 1 Purpose rating'!A28</f>
        <v>Rapeseed</v>
      </c>
      <c r="W27" s="249" t="s">
        <v>103</v>
      </c>
      <c r="Y27" s="172" t="s">
        <v>354</v>
      </c>
      <c r="AA27" t="s">
        <v>351</v>
      </c>
      <c r="AT27" s="453" t="str">
        <f>IF(AY44="","",AT44)</f>
        <v/>
      </c>
      <c r="AU27" s="454"/>
      <c r="AV27" s="454"/>
      <c r="AW27" s="455"/>
      <c r="AX27" s="456">
        <f>AY44</f>
        <v>0</v>
      </c>
      <c r="BD27" s="388"/>
      <c r="BF27" s="389"/>
      <c r="BI27" s="567" t="s">
        <v>661</v>
      </c>
      <c r="BJ27" s="568">
        <v>36</v>
      </c>
      <c r="BK27" s="568">
        <v>16</v>
      </c>
      <c r="BL27" s="568">
        <v>12</v>
      </c>
      <c r="BM27" s="568">
        <v>0</v>
      </c>
    </row>
    <row r="28" spans="2:65" x14ac:dyDescent="0.2">
      <c r="S28" s="253"/>
      <c r="T28" s="248" t="str">
        <f>'Table 1 Purpose rating'!A29</f>
        <v>Rye, Cereal /5 planted after Oct. 1</v>
      </c>
      <c r="W28" s="249" t="s">
        <v>11</v>
      </c>
      <c r="Y28" s="172" t="s">
        <v>355</v>
      </c>
      <c r="AA28" t="s">
        <v>352</v>
      </c>
      <c r="AT28" s="453" t="str">
        <f>IF(AY51="","",AT51)</f>
        <v/>
      </c>
      <c r="AU28" s="454"/>
      <c r="AV28" s="454"/>
      <c r="AW28" s="455"/>
      <c r="AX28" s="456">
        <f>AY51</f>
        <v>0</v>
      </c>
      <c r="BD28" s="388"/>
      <c r="BF28" s="389"/>
      <c r="BI28" s="567"/>
      <c r="BJ28" s="568"/>
      <c r="BK28" s="568"/>
      <c r="BL28" s="568"/>
      <c r="BM28" s="568"/>
    </row>
    <row r="29" spans="2:65" ht="13.5" thickBot="1" x14ac:dyDescent="0.25">
      <c r="S29" s="253"/>
      <c r="T29" s="248" t="str">
        <f>'Table 1 Purpose rating'!A30</f>
        <v>Rye, Cereal /5 planted on or before Oct. 1</v>
      </c>
      <c r="W29" s="249" t="s">
        <v>204</v>
      </c>
      <c r="Y29" s="172" t="s">
        <v>356</v>
      </c>
      <c r="AA29" t="s">
        <v>353</v>
      </c>
      <c r="AT29" s="453" t="str">
        <f>IF(AY58="","",AT58)</f>
        <v/>
      </c>
      <c r="AU29" s="454"/>
      <c r="AV29" s="454"/>
      <c r="AW29" s="455"/>
      <c r="AX29" s="456">
        <f>AY58</f>
        <v>0</v>
      </c>
      <c r="BD29" s="564"/>
      <c r="BE29" s="241"/>
      <c r="BF29" s="565"/>
      <c r="BI29" s="567" t="s">
        <v>662</v>
      </c>
      <c r="BJ29" s="568">
        <v>36</v>
      </c>
      <c r="BK29" s="568">
        <v>16</v>
      </c>
      <c r="BL29" s="568">
        <v>12</v>
      </c>
      <c r="BM29" s="568">
        <v>0</v>
      </c>
    </row>
    <row r="30" spans="2:65" x14ac:dyDescent="0.2">
      <c r="L30" s="598"/>
      <c r="M30" s="599"/>
      <c r="N30" s="599"/>
      <c r="O30" s="599"/>
      <c r="P30" s="739"/>
      <c r="Q30" s="600"/>
      <c r="S30" s="253"/>
      <c r="T30" s="248" t="str">
        <f>'Table 1 Purpose rating'!A31</f>
        <v>Ryegrass, Annual</v>
      </c>
      <c r="W30" s="249" t="s">
        <v>107</v>
      </c>
      <c r="Y30" s="172" t="s">
        <v>358</v>
      </c>
      <c r="AA30" t="s">
        <v>354</v>
      </c>
      <c r="AT30" s="453" t="str">
        <f>IF(AY65="","",AT65)</f>
        <v/>
      </c>
      <c r="AU30" s="454"/>
      <c r="AV30" s="454"/>
      <c r="AW30" s="455"/>
      <c r="AX30" s="456">
        <f>AY65</f>
        <v>0</v>
      </c>
      <c r="BI30" s="567"/>
      <c r="BJ30" s="568"/>
      <c r="BK30" s="568"/>
      <c r="BL30" s="568"/>
      <c r="BM30" s="568"/>
    </row>
    <row r="31" spans="2:65" x14ac:dyDescent="0.2">
      <c r="I31" s="173"/>
      <c r="J31" s="173"/>
      <c r="K31" s="173"/>
      <c r="L31" s="601"/>
      <c r="N31" s="613" t="s">
        <v>787</v>
      </c>
      <c r="P31" s="12"/>
      <c r="Q31" s="602"/>
      <c r="S31" s="253"/>
      <c r="T31" s="248" t="str">
        <f>'Table 1 Purpose rating'!A32</f>
        <v>Safflowers</v>
      </c>
      <c r="W31" s="249" t="s">
        <v>109</v>
      </c>
      <c r="Y31" s="172" t="s">
        <v>359</v>
      </c>
      <c r="AA31" t="s">
        <v>355</v>
      </c>
      <c r="AT31" s="453" t="str">
        <f>IF(AY72="","",AT72)</f>
        <v/>
      </c>
      <c r="AU31" s="454"/>
      <c r="AV31" s="454"/>
      <c r="AW31" s="455"/>
      <c r="AX31" s="456">
        <f>AY72</f>
        <v>0</v>
      </c>
      <c r="BI31" s="567" t="s">
        <v>663</v>
      </c>
      <c r="BJ31" s="568">
        <v>34</v>
      </c>
      <c r="BK31" s="568">
        <v>18</v>
      </c>
      <c r="BL31" s="568">
        <v>12</v>
      </c>
      <c r="BM31" s="568">
        <v>0</v>
      </c>
    </row>
    <row r="32" spans="2:65" x14ac:dyDescent="0.2">
      <c r="I32" s="173"/>
      <c r="J32" s="173"/>
      <c r="K32" s="173"/>
      <c r="L32" s="601"/>
      <c r="Q32" s="602"/>
      <c r="S32" s="253"/>
      <c r="T32" s="248" t="str">
        <f>'Table 1 Purpose rating'!A33</f>
        <v>Sorghum, Forage and Sudan Hybrids</v>
      </c>
      <c r="W32" s="249" t="s">
        <v>883</v>
      </c>
      <c r="Y32" s="172" t="s">
        <v>360</v>
      </c>
      <c r="AA32" t="s">
        <v>356</v>
      </c>
      <c r="AT32" s="453" t="str">
        <f>IF(AY79="","",AT79)</f>
        <v/>
      </c>
      <c r="AU32" s="454"/>
      <c r="AV32" s="454"/>
      <c r="AW32" s="455"/>
      <c r="AX32" s="456">
        <f>AY79</f>
        <v>0</v>
      </c>
      <c r="BI32" s="567"/>
      <c r="BJ32" s="568"/>
      <c r="BK32" s="568"/>
      <c r="BL32" s="568"/>
      <c r="BM32" s="568"/>
    </row>
    <row r="33" spans="2:65" x14ac:dyDescent="0.2">
      <c r="B33" s="256"/>
      <c r="I33" s="173"/>
      <c r="J33" s="173"/>
      <c r="K33" s="173"/>
      <c r="L33" s="612" t="s">
        <v>790</v>
      </c>
      <c r="N33" s="568" t="str">
        <f>IF(AND(N56&gt;0,N57=N56),N5,IF(O37="Y",N3,IF(P37="Y",N4,"")))</f>
        <v/>
      </c>
      <c r="O33" s="300"/>
      <c r="P33" s="614"/>
      <c r="Q33" s="602"/>
      <c r="S33" s="253"/>
      <c r="T33" s="248" t="str">
        <f>'Table 1 Purpose rating'!A34</f>
        <v xml:space="preserve">Sorghum, Grain </v>
      </c>
      <c r="W33" s="249" t="s">
        <v>205</v>
      </c>
      <c r="Y33" s="172" t="s">
        <v>361</v>
      </c>
      <c r="AA33" t="s">
        <v>357</v>
      </c>
      <c r="AT33" s="453" t="str">
        <f>IF(AY86="","",AT86)</f>
        <v/>
      </c>
      <c r="AU33" s="454"/>
      <c r="AV33" s="454"/>
      <c r="AW33" s="455"/>
      <c r="AX33" s="456">
        <f>AY86</f>
        <v>0</v>
      </c>
      <c r="BI33" s="567" t="s">
        <v>664</v>
      </c>
      <c r="BJ33" s="568">
        <v>38</v>
      </c>
      <c r="BK33" s="568">
        <v>18</v>
      </c>
      <c r="BL33" s="568">
        <v>12</v>
      </c>
      <c r="BM33" s="568">
        <v>0</v>
      </c>
    </row>
    <row r="34" spans="2:65" x14ac:dyDescent="0.2">
      <c r="B34" s="256"/>
      <c r="I34" s="173"/>
      <c r="J34" s="173"/>
      <c r="K34" s="173"/>
      <c r="L34" s="601"/>
      <c r="Q34" s="602"/>
      <c r="S34" s="253"/>
      <c r="T34" s="248" t="str">
        <f>'Table 1 Purpose rating'!A35</f>
        <v>Soybeans</v>
      </c>
      <c r="Y34" s="172" t="s">
        <v>362</v>
      </c>
      <c r="AA34" t="s">
        <v>358</v>
      </c>
      <c r="AT34" s="453" t="str">
        <f>IF(AY93="","",AT93)</f>
        <v/>
      </c>
      <c r="AU34" s="454"/>
      <c r="AV34" s="454"/>
      <c r="AW34" s="455"/>
      <c r="AX34" s="456">
        <f>AY93</f>
        <v>0</v>
      </c>
      <c r="BI34" s="567"/>
      <c r="BJ34" s="568"/>
      <c r="BK34" s="568"/>
      <c r="BL34" s="568"/>
      <c r="BM34" s="568"/>
    </row>
    <row r="35" spans="2:65" x14ac:dyDescent="0.2">
      <c r="B35" s="256"/>
      <c r="I35" s="173"/>
      <c r="J35" s="173"/>
      <c r="K35" s="173"/>
      <c r="L35" s="601"/>
      <c r="O35" s="12" t="s">
        <v>894</v>
      </c>
      <c r="P35" s="12" t="s">
        <v>895</v>
      </c>
      <c r="Q35" s="746" t="s">
        <v>49</v>
      </c>
      <c r="S35" s="253"/>
      <c r="T35" s="248" t="str">
        <f>'Table 1 Purpose rating'!A36</f>
        <v>Sudangrass</v>
      </c>
      <c r="Y35" s="172" t="s">
        <v>363</v>
      </c>
      <c r="AA35" t="s">
        <v>359</v>
      </c>
      <c r="AT35" s="457" t="str">
        <f>IF(AY100="","",AT100)</f>
        <v/>
      </c>
      <c r="AU35" s="458"/>
      <c r="AV35" s="458"/>
      <c r="AW35" s="459"/>
      <c r="AX35" s="460">
        <f>AY100</f>
        <v>0</v>
      </c>
      <c r="BI35" s="567" t="s">
        <v>774</v>
      </c>
      <c r="BJ35" s="568">
        <v>34</v>
      </c>
      <c r="BK35" s="568">
        <v>14</v>
      </c>
      <c r="BL35" s="568">
        <v>10</v>
      </c>
      <c r="BM35" s="568">
        <v>0</v>
      </c>
    </row>
    <row r="36" spans="2:65" x14ac:dyDescent="0.2">
      <c r="B36" s="256"/>
      <c r="I36" s="173"/>
      <c r="J36" s="173"/>
      <c r="K36" s="173"/>
      <c r="L36" s="603"/>
      <c r="M36" s="594" t="s">
        <v>789</v>
      </c>
      <c r="N36" s="595"/>
      <c r="O36" s="595" t="s">
        <v>751</v>
      </c>
      <c r="P36" s="594" t="s">
        <v>750</v>
      </c>
      <c r="Q36" s="604" t="s">
        <v>788</v>
      </c>
      <c r="S36" s="253"/>
      <c r="T36" s="248" t="str">
        <f>'Table 1 Purpose rating'!A37</f>
        <v>Sugar beets</v>
      </c>
      <c r="Y36" s="172" t="s">
        <v>364</v>
      </c>
      <c r="AA36" t="s">
        <v>360</v>
      </c>
      <c r="BI36" s="567"/>
      <c r="BJ36" s="568"/>
      <c r="BK36" s="568"/>
      <c r="BL36" s="568"/>
      <c r="BM36" s="568"/>
    </row>
    <row r="37" spans="2:65" x14ac:dyDescent="0.2">
      <c r="B37" s="12"/>
      <c r="L37" s="605" t="s">
        <v>792</v>
      </c>
      <c r="M37" s="596" t="s">
        <v>751</v>
      </c>
      <c r="N37" s="596" t="s">
        <v>788</v>
      </c>
      <c r="O37" s="597">
        <f>IF(SUM(O38:O52)&gt;0,"Y",0)</f>
        <v>0</v>
      </c>
      <c r="P37" s="597">
        <f>IF(SUM(P38:P52)&gt;0,"Y",0)</f>
        <v>0</v>
      </c>
      <c r="Q37" s="606">
        <f>IF(SUM(Q38:Q52)&gt;0,"Y",0)</f>
        <v>0</v>
      </c>
      <c r="S37" s="253"/>
      <c r="T37" s="248" t="str">
        <f>'Table 1 Purpose rating'!A38</f>
        <v>Sunflowers</v>
      </c>
      <c r="Y37" s="172" t="s">
        <v>365</v>
      </c>
      <c r="AA37" t="s">
        <v>361</v>
      </c>
      <c r="BI37" s="567" t="s">
        <v>665</v>
      </c>
      <c r="BJ37" s="568">
        <v>34</v>
      </c>
      <c r="BK37" s="568">
        <v>14</v>
      </c>
      <c r="BL37" s="568">
        <v>10</v>
      </c>
      <c r="BM37" s="568">
        <v>0</v>
      </c>
    </row>
    <row r="38" spans="2:65" ht="12.75" customHeight="1" x14ac:dyDescent="0.2">
      <c r="B38" s="1167" t="str">
        <f>_xlfn.IFNA(VLOOKUP('Cover crop worksheet'!J10,B61:L73,1,FALSE),"")</f>
        <v/>
      </c>
      <c r="C38" s="1167"/>
      <c r="D38" s="1167"/>
      <c r="E38" s="1167"/>
      <c r="L38" s="607">
        <f>'Cover crop worksheet'!B33</f>
        <v>0</v>
      </c>
      <c r="M38" s="73" t="str">
        <f>IFERROR(LEFT(VLOOKUP(L38,'Table 1 Purpose rating'!A$4:AE$55,16,FALSE)),"")</f>
        <v/>
      </c>
      <c r="N38" s="73" t="str">
        <f>IFERROR(VLOOKUP(L38,'Table 1 Purpose rating'!A$4:AE$55,17,FALSE),"")</f>
        <v/>
      </c>
      <c r="O38" s="73">
        <f>IFERROR(COUNTIF(M$38:M$52,$O$35),"")</f>
        <v>0</v>
      </c>
      <c r="P38" s="73">
        <f>IFERROR(COUNTIF(M$38:M$52,$P$35),"")</f>
        <v>0</v>
      </c>
      <c r="Q38" s="608">
        <f>IFERROR(COUNTIF(N$38:N$52,$Q$35),"")</f>
        <v>0</v>
      </c>
      <c r="S38" s="253"/>
      <c r="T38" s="248" t="str">
        <f>'Table 1 Purpose rating'!A39</f>
        <v>Sunn hemp</v>
      </c>
      <c r="Y38" s="172" t="s">
        <v>366</v>
      </c>
      <c r="AA38" t="s">
        <v>362</v>
      </c>
      <c r="BI38" s="567"/>
      <c r="BJ38" s="568"/>
      <c r="BK38" s="568"/>
      <c r="BL38" s="568"/>
      <c r="BM38" s="568"/>
    </row>
    <row r="39" spans="2:65" x14ac:dyDescent="0.2">
      <c r="B39" s="1168"/>
      <c r="C39" s="1168"/>
      <c r="D39" s="1168"/>
      <c r="E39" s="1168"/>
      <c r="L39" s="607">
        <f>'Cover crop worksheet'!B34</f>
        <v>0</v>
      </c>
      <c r="M39" s="73" t="str">
        <f>IFERROR(LEFT(VLOOKUP(L39,'Table 1 Purpose rating'!A$4:AE$55,16,FALSE)),"")</f>
        <v/>
      </c>
      <c r="N39" s="73" t="str">
        <f>IFERROR(VLOOKUP(L39,'Table 1 Purpose rating'!A$4:AE$55,17,FALSE),"")</f>
        <v/>
      </c>
      <c r="O39" s="73">
        <f t="shared" ref="O39:O52" si="2">IFERROR(COUNTIF(M$38:M$52,$O$35),"")</f>
        <v>0</v>
      </c>
      <c r="P39" s="73">
        <f t="shared" ref="P39:P52" si="3">IFERROR(COUNTIF(M$38:M$52,$P$35),"")</f>
        <v>0</v>
      </c>
      <c r="Q39" s="608">
        <f t="shared" ref="Q39:Q52" si="4">IFERROR(COUNTIF(N$38:N$52,$Q$35),"")</f>
        <v>0</v>
      </c>
      <c r="S39" s="253"/>
      <c r="T39" s="248" t="str">
        <f>'Table 1 Purpose rating'!A40</f>
        <v>Teff grass</v>
      </c>
      <c r="Y39" s="172" t="s">
        <v>367</v>
      </c>
      <c r="AA39" t="s">
        <v>363</v>
      </c>
      <c r="BI39" s="567" t="s">
        <v>666</v>
      </c>
      <c r="BJ39" s="568">
        <v>34</v>
      </c>
      <c r="BK39" s="568">
        <v>15</v>
      </c>
      <c r="BL39" s="568">
        <v>11</v>
      </c>
      <c r="BM39" s="568">
        <v>0</v>
      </c>
    </row>
    <row r="40" spans="2:65" x14ac:dyDescent="0.2">
      <c r="B40" s="1169" t="str" cm="1">
        <f t="array" aca="1" ref="B40" ca="1">_xlfn.IFNA(INDIRECT("'Prepared Mixes'!b"&amp;VLOOKUP('Cover crop worksheet'!$J$10,DATA!$B$61:$L$75,10,FALSE)),"")</f>
        <v/>
      </c>
      <c r="C40" s="1170"/>
      <c r="D40" s="1170"/>
      <c r="E40" s="1171"/>
      <c r="F40" s="1164" t="str" cm="1">
        <f t="array" aca="1" ref="F40" ca="1">_xlfn.IFNA(INDIRECT("'Prepared Mixes'!f"&amp;VLOOKUP('Cover crop worksheet'!$J$10,DATA!$B$61:$L$75,10,FALSE)),"")</f>
        <v/>
      </c>
      <c r="G40" s="1165"/>
      <c r="H40" s="1166"/>
      <c r="I40" s="257" t="str" cm="1">
        <f t="array" aca="1" ref="I40" ca="1">_xlfn.IFNA(INDIRECT("'Prepared Mixes'!i"&amp;VLOOKUP('Cover crop worksheet'!$J$10,B61:L75,10,FALSE)),"")</f>
        <v/>
      </c>
      <c r="L40" s="607">
        <f>'Cover crop worksheet'!B35</f>
        <v>0</v>
      </c>
      <c r="M40" s="73" t="str">
        <f>IFERROR(LEFT(VLOOKUP(L40,'Table 1 Purpose rating'!A$4:AE$55,16,FALSE)),"")</f>
        <v/>
      </c>
      <c r="N40" s="73" t="str">
        <f>IFERROR(VLOOKUP(L40,'Table 1 Purpose rating'!A$4:AE$55,17,FALSE),"")</f>
        <v/>
      </c>
      <c r="O40" s="73">
        <f t="shared" si="2"/>
        <v>0</v>
      </c>
      <c r="P40" s="73">
        <f t="shared" si="3"/>
        <v>0</v>
      </c>
      <c r="Q40" s="608">
        <f t="shared" si="4"/>
        <v>0</v>
      </c>
      <c r="S40" s="253"/>
      <c r="T40" s="248" t="str">
        <f>'Table 1 Purpose rating'!A41</f>
        <v>Triticale planted after Oct. 1</v>
      </c>
      <c r="Y40" s="172" t="s">
        <v>368</v>
      </c>
      <c r="AA40" t="s">
        <v>364</v>
      </c>
      <c r="BI40" s="568"/>
      <c r="BJ40" s="568"/>
      <c r="BK40" s="568"/>
      <c r="BL40" s="568"/>
      <c r="BM40" s="568"/>
    </row>
    <row r="41" spans="2:65" ht="15" customHeight="1" x14ac:dyDescent="0.2">
      <c r="B41" s="1169" t="str" cm="1">
        <f t="array" aca="1" ref="B41" ca="1">_xlfn.IFNA(INDIRECT("'Prepared Mixes'!b"&amp;VLOOKUP('Cover crop worksheet'!$J$10,DATA!$B$61:$L$75,10,FALSE)+ROW()-40),"")</f>
        <v/>
      </c>
      <c r="C41" s="1170"/>
      <c r="D41" s="1170"/>
      <c r="E41" s="1171"/>
      <c r="F41" s="1164" t="str" cm="1">
        <f t="array" aca="1" ref="F41" ca="1">_xlfn.IFNA(INDIRECT("'Prepared Mixes'!f"&amp;VLOOKUP('Cover crop worksheet'!$J$10,DATA!$B$61:$L$75,10,FALSE)+ROW()-40),"")</f>
        <v/>
      </c>
      <c r="G41" s="1165"/>
      <c r="H41" s="1166"/>
      <c r="I41" s="257" t="str" cm="1">
        <f t="array" aca="1" ref="I41" ca="1">_xlfn.IFNA(INDIRECT("'Prepared Mixes'!i"&amp;VLOOKUP('Cover crop worksheet'!$J$10,DATA!$B$61:$L$75,10,FALSE)+ROW()-40),"")</f>
        <v/>
      </c>
      <c r="L41" s="607">
        <f>'Cover crop worksheet'!B36</f>
        <v>0</v>
      </c>
      <c r="M41" s="73" t="str">
        <f>IFERROR(LEFT(VLOOKUP(L41,'Table 1 Purpose rating'!A$4:AE$55,16,FALSE)),"")</f>
        <v/>
      </c>
      <c r="N41" s="73" t="str">
        <f>IFERROR(VLOOKUP(L41,'Table 1 Purpose rating'!A$4:AE$55,17,FALSE),"")</f>
        <v/>
      </c>
      <c r="O41" s="73">
        <f t="shared" si="2"/>
        <v>0</v>
      </c>
      <c r="P41" s="73">
        <f t="shared" si="3"/>
        <v>0</v>
      </c>
      <c r="Q41" s="608">
        <f t="shared" si="4"/>
        <v>0</v>
      </c>
      <c r="S41" s="253"/>
      <c r="T41" s="248" t="str">
        <f>'Table 1 Purpose rating'!A42</f>
        <v>Triticale planted on or before Oct. 1</v>
      </c>
      <c r="Y41" s="172" t="s">
        <v>369</v>
      </c>
      <c r="AA41" t="s">
        <v>365</v>
      </c>
      <c r="BI41" s="568" t="s">
        <v>667</v>
      </c>
      <c r="BJ41" s="568">
        <v>36</v>
      </c>
      <c r="BK41" s="568">
        <v>16</v>
      </c>
      <c r="BL41" s="568">
        <v>12</v>
      </c>
      <c r="BM41" s="568">
        <v>0</v>
      </c>
    </row>
    <row r="42" spans="2:65" x14ac:dyDescent="0.2">
      <c r="B42" s="1169" t="str" cm="1">
        <f t="array" aca="1" ref="B42" ca="1">_xlfn.IFNA(INDIRECT("'Prepared Mixes'!b"&amp;VLOOKUP('Cover crop worksheet'!$J$10,DATA!$B$61:$L$75,10,FALSE)+ROW()-40),"")</f>
        <v/>
      </c>
      <c r="C42" s="1170"/>
      <c r="D42" s="1170"/>
      <c r="E42" s="1171"/>
      <c r="F42" s="1164" t="str" cm="1">
        <f t="array" aca="1" ref="F42" ca="1">_xlfn.IFNA(INDIRECT("'Prepared Mixes'!f"&amp;VLOOKUP('Cover crop worksheet'!$J$10,DATA!$B$61:$L$75,10,FALSE)+ROW()-40),"")</f>
        <v/>
      </c>
      <c r="G42" s="1165"/>
      <c r="H42" s="1166"/>
      <c r="I42" s="257" t="str" cm="1">
        <f t="array" aca="1" ref="I42" ca="1">_xlfn.IFNA(INDIRECT("'Prepared Mixes'!i"&amp;VLOOKUP('Cover crop worksheet'!$J$10,DATA!$B$61:$L$75,10,FALSE)+ROW()-40),"")</f>
        <v/>
      </c>
      <c r="L42" s="607">
        <f>'Cover crop worksheet'!B37</f>
        <v>0</v>
      </c>
      <c r="M42" s="73" t="str">
        <f>IFERROR(LEFT(VLOOKUP(L42,'Table 1 Purpose rating'!A$4:AE$55,16,FALSE)),"")</f>
        <v/>
      </c>
      <c r="N42" s="73" t="str">
        <f>IFERROR(VLOOKUP(L42,'Table 1 Purpose rating'!A$4:AE$55,17,FALSE),"")</f>
        <v/>
      </c>
      <c r="O42" s="73">
        <f t="shared" si="2"/>
        <v>0</v>
      </c>
      <c r="P42" s="73">
        <f t="shared" si="3"/>
        <v>0</v>
      </c>
      <c r="Q42" s="608">
        <f t="shared" si="4"/>
        <v>0</v>
      </c>
      <c r="S42" s="253"/>
      <c r="T42" s="248" t="str">
        <f>'Table 1 Purpose rating'!A43</f>
        <v>Turnips</v>
      </c>
      <c r="Y42" s="172" t="s">
        <v>370</v>
      </c>
      <c r="AA42" t="s">
        <v>366</v>
      </c>
      <c r="AO42" s="12"/>
      <c r="AP42" s="15"/>
      <c r="BI42" s="568"/>
      <c r="BJ42" s="568"/>
      <c r="BK42" s="568"/>
      <c r="BL42" s="568"/>
      <c r="BM42" s="568"/>
    </row>
    <row r="43" spans="2:65" x14ac:dyDescent="0.2">
      <c r="B43" s="1169" t="str" cm="1">
        <f t="array" aca="1" ref="B43" ca="1">_xlfn.IFNA(INDIRECT("'Prepared Mixes'!b"&amp;VLOOKUP('Cover crop worksheet'!$J$10,DATA!$B$61:$L$75,10,FALSE)+ROW()-40),"")</f>
        <v/>
      </c>
      <c r="C43" s="1170"/>
      <c r="D43" s="1170"/>
      <c r="E43" s="1171"/>
      <c r="F43" s="1164" t="str" cm="1">
        <f t="array" aca="1" ref="F43" ca="1">_xlfn.IFNA(INDIRECT("'Prepared Mixes'!f"&amp;VLOOKUP('Cover crop worksheet'!$J$10,DATA!$B$61:$L$75,10,FALSE)+ROW()-40),"")</f>
        <v/>
      </c>
      <c r="G43" s="1165"/>
      <c r="H43" s="1166"/>
      <c r="I43" s="257" t="str" cm="1">
        <f t="array" aca="1" ref="I43" ca="1">_xlfn.IFNA(INDIRECT("'Prepared Mixes'!i"&amp;VLOOKUP('Cover crop worksheet'!$J$10,DATA!$B$61:$L$75,10,FALSE)+ROW()-40),"")</f>
        <v/>
      </c>
      <c r="L43" s="607">
        <f>'Cover crop worksheet'!B38</f>
        <v>0</v>
      </c>
      <c r="M43" s="73" t="str">
        <f>IFERROR(LEFT(VLOOKUP(L43,'Table 1 Purpose rating'!A$4:AE$55,16,FALSE)),"")</f>
        <v/>
      </c>
      <c r="N43" s="73" t="str">
        <f>IFERROR(VLOOKUP(L43,'Table 1 Purpose rating'!A$4:AE$55,17,FALSE),"")</f>
        <v/>
      </c>
      <c r="O43" s="73">
        <f t="shared" si="2"/>
        <v>0</v>
      </c>
      <c r="P43" s="73">
        <f t="shared" si="3"/>
        <v>0</v>
      </c>
      <c r="Q43" s="608">
        <f t="shared" si="4"/>
        <v>0</v>
      </c>
      <c r="S43" s="253"/>
      <c r="T43" s="248" t="str">
        <f>'Table 1 Purpose rating'!A44</f>
        <v>Vetch, Chickling</v>
      </c>
      <c r="Y43" s="172" t="s">
        <v>371</v>
      </c>
      <c r="AA43" t="s">
        <v>367</v>
      </c>
      <c r="BI43" s="568" t="s">
        <v>668</v>
      </c>
      <c r="BJ43" s="568">
        <v>36</v>
      </c>
      <c r="BK43" s="568">
        <v>16</v>
      </c>
      <c r="BL43" s="568">
        <v>12</v>
      </c>
      <c r="BM43" s="568">
        <v>0</v>
      </c>
    </row>
    <row r="44" spans="2:65" x14ac:dyDescent="0.2">
      <c r="B44" s="1169" t="str" cm="1">
        <f t="array" aca="1" ref="B44" ca="1">_xlfn.IFNA(INDIRECT("'Prepared Mixes'!b"&amp;VLOOKUP('Cover crop worksheet'!$J$10,DATA!$B$61:$L$75,10,FALSE)+ROW()-40),"")</f>
        <v/>
      </c>
      <c r="C44" s="1170"/>
      <c r="D44" s="1170"/>
      <c r="E44" s="1171"/>
      <c r="F44" s="1164" t="str" cm="1">
        <f t="array" aca="1" ref="F44" ca="1">_xlfn.IFNA(INDIRECT("'Prepared Mixes'!f"&amp;VLOOKUP('Cover crop worksheet'!$J$10,DATA!$B$61:$L$75,10,FALSE)+ROW()-40),"")</f>
        <v/>
      </c>
      <c r="G44" s="1165"/>
      <c r="H44" s="1166"/>
      <c r="I44" s="257" t="str" cm="1">
        <f t="array" aca="1" ref="I44" ca="1">_xlfn.IFNA(INDIRECT("'Prepared Mixes'!i"&amp;VLOOKUP('Cover crop worksheet'!$J$10,DATA!$B$61:$L$75,10,FALSE)+ROW()-40),"")</f>
        <v/>
      </c>
      <c r="L44" s="607">
        <f>'Cover crop worksheet'!B39</f>
        <v>0</v>
      </c>
      <c r="M44" s="73" t="str">
        <f>IFERROR(LEFT(VLOOKUP(L44,'Table 1 Purpose rating'!A$4:AE$55,16,FALSE)),"")</f>
        <v/>
      </c>
      <c r="N44" s="73" t="str">
        <f>IFERROR(VLOOKUP(L44,'Table 1 Purpose rating'!A$4:AE$55,17,FALSE),"")</f>
        <v/>
      </c>
      <c r="O44" s="73">
        <f t="shared" si="2"/>
        <v>0</v>
      </c>
      <c r="P44" s="73">
        <f t="shared" si="3"/>
        <v>0</v>
      </c>
      <c r="Q44" s="608">
        <f t="shared" si="4"/>
        <v>0</v>
      </c>
      <c r="S44" s="253"/>
      <c r="T44" s="248" t="str">
        <f>'Table 1 Purpose rating'!A45</f>
        <v>Vetch, Common</v>
      </c>
      <c r="Y44" s="172" t="s">
        <v>399</v>
      </c>
      <c r="AA44" t="s">
        <v>368</v>
      </c>
    </row>
    <row r="45" spans="2:65" ht="11.25" customHeight="1" x14ac:dyDescent="0.2">
      <c r="B45" s="1169" t="str" cm="1">
        <f t="array" aca="1" ref="B45" ca="1">_xlfn.IFNA(INDIRECT("'Prepared Mixes'!b"&amp;VLOOKUP('Cover crop worksheet'!$J$10,DATA!$B$61:$L$75,10,FALSE)+ROW()-40),"")</f>
        <v/>
      </c>
      <c r="C45" s="1170"/>
      <c r="D45" s="1170"/>
      <c r="E45" s="1171"/>
      <c r="F45" s="1164" t="str" cm="1">
        <f t="array" aca="1" ref="F45" ca="1">_xlfn.IFNA(INDIRECT("'Prepared Mixes'!f"&amp;VLOOKUP('Cover crop worksheet'!$J$10,DATA!$B$61:$L$75,10,FALSE)+ROW()-40),"")</f>
        <v/>
      </c>
      <c r="G45" s="1165"/>
      <c r="H45" s="1166"/>
      <c r="I45" s="257" t="str" cm="1">
        <f t="array" aca="1" ref="I45" ca="1">_xlfn.IFNA(INDIRECT("'Prepared Mixes'!i"&amp;VLOOKUP('Cover crop worksheet'!$J$10,DATA!$B$61:$L$75,10,FALSE)+ROW()-40),"")</f>
        <v/>
      </c>
      <c r="L45" s="607">
        <f>'Cover crop worksheet'!B40</f>
        <v>0</v>
      </c>
      <c r="M45" s="73" t="str">
        <f>IFERROR(LEFT(VLOOKUP(L45,'Table 1 Purpose rating'!A$4:AE$55,16,FALSE)),"")</f>
        <v/>
      </c>
      <c r="N45" s="73" t="str">
        <f>IFERROR(VLOOKUP(L45,'Table 1 Purpose rating'!A$4:AE$55,17,FALSE),"")</f>
        <v/>
      </c>
      <c r="O45" s="73">
        <f t="shared" si="2"/>
        <v>0</v>
      </c>
      <c r="P45" s="73">
        <f t="shared" si="3"/>
        <v>0</v>
      </c>
      <c r="Q45" s="608">
        <f t="shared" si="4"/>
        <v>0</v>
      </c>
      <c r="S45" s="253"/>
      <c r="T45" s="248" t="str">
        <f>'Table 1 Purpose rating'!A46</f>
        <v>Vetch, Hairy</v>
      </c>
      <c r="Y45" s="172" t="s">
        <v>372</v>
      </c>
      <c r="AA45" t="s">
        <v>369</v>
      </c>
    </row>
    <row r="46" spans="2:65" x14ac:dyDescent="0.2">
      <c r="B46" s="1169" t="str" cm="1">
        <f t="array" aca="1" ref="B46" ca="1">_xlfn.IFNA(INDIRECT("'Prepared Mixes'!b"&amp;VLOOKUP('Cover crop worksheet'!$J$10,DATA!$B$61:$L$75,10,FALSE)+ROW()-40),"")</f>
        <v/>
      </c>
      <c r="C46" s="1170"/>
      <c r="D46" s="1170"/>
      <c r="E46" s="1171"/>
      <c r="F46" s="1164" t="str" cm="1">
        <f t="array" aca="1" ref="F46" ca="1">_xlfn.IFNA(INDIRECT("'Prepared Mixes'!f"&amp;VLOOKUP('Cover crop worksheet'!$J$10,DATA!$B$61:$L$75,10,FALSE)+ROW()-40),"")</f>
        <v/>
      </c>
      <c r="G46" s="1165"/>
      <c r="H46" s="1166"/>
      <c r="I46" s="257" t="str" cm="1">
        <f t="array" aca="1" ref="I46" ca="1">_xlfn.IFNA(INDIRECT("'Prepared Mixes'!i"&amp;VLOOKUP('Cover crop worksheet'!$J$10,DATA!$B$61:$L$75,10,FALSE)+ROW()-40),"")</f>
        <v/>
      </c>
      <c r="L46" s="607">
        <f>'Cover crop worksheet'!B41</f>
        <v>0</v>
      </c>
      <c r="M46" s="73" t="str">
        <f>IFERROR(LEFT(VLOOKUP(L46,'Table 1 Purpose rating'!A$4:AE$55,16,FALSE)),"")</f>
        <v/>
      </c>
      <c r="N46" s="73" t="str">
        <f>IFERROR(VLOOKUP(L46,'Table 1 Purpose rating'!A$4:AE$55,17,FALSE),"")</f>
        <v/>
      </c>
      <c r="O46" s="73">
        <f t="shared" si="2"/>
        <v>0</v>
      </c>
      <c r="P46" s="73">
        <f t="shared" si="3"/>
        <v>0</v>
      </c>
      <c r="Q46" s="608">
        <f t="shared" si="4"/>
        <v>0</v>
      </c>
      <c r="T46" s="248" t="str">
        <f>'Table 1 Purpose rating'!A47</f>
        <v>Wheat, Spring</v>
      </c>
      <c r="Y46" s="172" t="s">
        <v>373</v>
      </c>
      <c r="AA46" t="s">
        <v>370</v>
      </c>
    </row>
    <row r="47" spans="2:65" x14ac:dyDescent="0.2">
      <c r="B47" s="1169" t="str" cm="1">
        <f t="array" aca="1" ref="B47" ca="1">_xlfn.IFNA(INDIRECT("'Prepared Mixes'!b"&amp;VLOOKUP('Cover crop worksheet'!$J$10,DATA!$B$61:$L$75,10,FALSE)+ROW()-40),"")</f>
        <v/>
      </c>
      <c r="C47" s="1170"/>
      <c r="D47" s="1170"/>
      <c r="E47" s="1171"/>
      <c r="F47" s="1164" t="str" cm="1">
        <f t="array" aca="1" ref="F47" ca="1">_xlfn.IFNA(INDIRECT("'Prepared Mixes'!f"&amp;VLOOKUP('Cover crop worksheet'!$J$10,DATA!$B$61:$L$75,10,FALSE)+ROW()-40),"")</f>
        <v/>
      </c>
      <c r="G47" s="1165"/>
      <c r="H47" s="1166"/>
      <c r="I47" s="257" t="str" cm="1">
        <f t="array" aca="1" ref="I47" ca="1">_xlfn.IFNA(INDIRECT("'Prepared Mixes'!i"&amp;VLOOKUP('Cover crop worksheet'!$J$10,DATA!$B$61:$L$75,10,FALSE)+ROW()-40),"")</f>
        <v/>
      </c>
      <c r="L47" s="607">
        <f>'Cover crop worksheet'!B42</f>
        <v>0</v>
      </c>
      <c r="M47" s="73" t="str">
        <f>IFERROR(LEFT(VLOOKUP(L47,'Table 1 Purpose rating'!A$4:AE$55,16,FALSE)),"")</f>
        <v/>
      </c>
      <c r="N47" s="73" t="str">
        <f>IFERROR(VLOOKUP(L47,'Table 1 Purpose rating'!A$4:AE$55,17,FALSE),"")</f>
        <v/>
      </c>
      <c r="O47" s="73">
        <f t="shared" si="2"/>
        <v>0</v>
      </c>
      <c r="P47" s="73">
        <f t="shared" si="3"/>
        <v>0</v>
      </c>
      <c r="Q47" s="608">
        <f t="shared" si="4"/>
        <v>0</v>
      </c>
      <c r="T47" s="248" t="str">
        <f>'Table 1 Purpose rating'!A48</f>
        <v>Wheat, Winter planted after Oct. 1</v>
      </c>
      <c r="Y47" s="172" t="s">
        <v>374</v>
      </c>
      <c r="AA47" t="s">
        <v>371</v>
      </c>
    </row>
    <row r="48" spans="2:65" x14ac:dyDescent="0.2">
      <c r="B48" s="1169" t="str" cm="1">
        <f t="array" aca="1" ref="B48" ca="1">_xlfn.IFNA(INDIRECT("'Prepared Mixes'!b"&amp;VLOOKUP('Cover crop worksheet'!$J$10,DATA!$B$61:$L$75,10,FALSE)+ROW()-40),"")</f>
        <v/>
      </c>
      <c r="C48" s="1170"/>
      <c r="D48" s="1170"/>
      <c r="E48" s="1171"/>
      <c r="F48" s="1164" t="str" cm="1">
        <f t="array" aca="1" ref="F48" ca="1">_xlfn.IFNA(INDIRECT("'Prepared Mixes'!f"&amp;VLOOKUP('Cover crop worksheet'!$J$10,DATA!$B$61:$L$75,10,FALSE)+ROW()-40),"")</f>
        <v/>
      </c>
      <c r="G48" s="1165"/>
      <c r="H48" s="1166"/>
      <c r="I48" s="257" t="str" cm="1">
        <f t="array" aca="1" ref="I48" ca="1">_xlfn.IFNA(INDIRECT("'Prepared Mixes'!i"&amp;VLOOKUP('Cover crop worksheet'!$J$10,DATA!$B$61:$L$75,10,FALSE)+ROW()-40),"")</f>
        <v/>
      </c>
      <c r="L48" s="607">
        <f>'Cover crop worksheet'!B43</f>
        <v>0</v>
      </c>
      <c r="M48" s="73" t="str">
        <f>IFERROR(LEFT(VLOOKUP(L48,'Table 1 Purpose rating'!A$4:AE$55,16,FALSE)),"")</f>
        <v/>
      </c>
      <c r="N48" s="73" t="str">
        <f>IFERROR(VLOOKUP(L48,'Table 1 Purpose rating'!A$4:AE$55,17,FALSE),"")</f>
        <v/>
      </c>
      <c r="O48" s="73">
        <f t="shared" si="2"/>
        <v>0</v>
      </c>
      <c r="P48" s="73">
        <f t="shared" si="3"/>
        <v>0</v>
      </c>
      <c r="Q48" s="608">
        <f t="shared" si="4"/>
        <v>0</v>
      </c>
      <c r="T48" s="248" t="str">
        <f>'Table 1 Purpose rating'!A49</f>
        <v>Wheat, Winter planted on or before Oct. 1</v>
      </c>
      <c r="Y48" s="172" t="s">
        <v>400</v>
      </c>
      <c r="AA48" t="s">
        <v>372</v>
      </c>
    </row>
    <row r="49" spans="1:27" x14ac:dyDescent="0.2">
      <c r="B49" s="1169" t="str" cm="1">
        <f t="array" aca="1" ref="B49" ca="1">_xlfn.IFNA(INDIRECT("'Prepared Mixes'!b"&amp;VLOOKUP('Cover crop worksheet'!$J$10,DATA!$B$61:$L$75,10,FALSE)+ROW()-40),"")</f>
        <v/>
      </c>
      <c r="C49" s="1170"/>
      <c r="D49" s="1170"/>
      <c r="E49" s="1171"/>
      <c r="F49" s="1164" t="str" cm="1">
        <f t="array" aca="1" ref="F49" ca="1">_xlfn.IFNA(INDIRECT("'Prepared Mixes'!f"&amp;VLOOKUP('Cover crop worksheet'!$J$10,DATA!$B$61:$L$75,10,FALSE)+ROW()-40),"")</f>
        <v/>
      </c>
      <c r="G49" s="1165"/>
      <c r="H49" s="1166"/>
      <c r="I49" s="257" t="str" cm="1">
        <f t="array" aca="1" ref="I49" ca="1">_xlfn.IFNA(INDIRECT("'Prepared Mixes'!i"&amp;VLOOKUP('Cover crop worksheet'!$J$10,DATA!$B$61:$L$75,10,FALSE)+ROW()-40),"")</f>
        <v/>
      </c>
      <c r="L49" s="607">
        <f>'Cover crop worksheet'!B44</f>
        <v>0</v>
      </c>
      <c r="M49" s="73" t="str">
        <f>IFERROR(LEFT(VLOOKUP(L49,'Table 1 Purpose rating'!A$4:AE$55,16,FALSE)),"")</f>
        <v/>
      </c>
      <c r="N49" s="73" t="str">
        <f>IFERROR(VLOOKUP(L49,'Table 1 Purpose rating'!A$4:AE$55,17,FALSE),"")</f>
        <v/>
      </c>
      <c r="O49" s="73">
        <f t="shared" si="2"/>
        <v>0</v>
      </c>
      <c r="P49" s="73">
        <f t="shared" si="3"/>
        <v>0</v>
      </c>
      <c r="Q49" s="608">
        <f t="shared" si="4"/>
        <v>0</v>
      </c>
      <c r="T49" s="248">
        <f>'Table 1 Purpose rating'!A50</f>
        <v>0</v>
      </c>
      <c r="Y49" s="172" t="s">
        <v>375</v>
      </c>
      <c r="AA49" t="s">
        <v>373</v>
      </c>
    </row>
    <row r="50" spans="1:27" x14ac:dyDescent="0.2">
      <c r="B50" s="1169" t="str" cm="1">
        <f t="array" aca="1" ref="B50" ca="1">_xlfn.IFNA(INDIRECT("'Prepared Mixes'!b"&amp;VLOOKUP('Cover crop worksheet'!$J$10,DATA!$B$61:$L$75,10,FALSE)+ROW()-40),"")</f>
        <v/>
      </c>
      <c r="C50" s="1170"/>
      <c r="D50" s="1170"/>
      <c r="E50" s="1171"/>
      <c r="F50" s="1164" t="str" cm="1">
        <f t="array" aca="1" ref="F50" ca="1">_xlfn.IFNA(INDIRECT("'Prepared Mixes'!f"&amp;VLOOKUP('Cover crop worksheet'!$J$10,DATA!$B$61:$L$75,10,FALSE)+ROW()-40),"")</f>
        <v/>
      </c>
      <c r="G50" s="1165"/>
      <c r="H50" s="1166"/>
      <c r="I50" s="257" t="str" cm="1">
        <f t="array" aca="1" ref="I50" ca="1">_xlfn.IFNA(INDIRECT("'Prepared Mixes'!i"&amp;VLOOKUP('Cover crop worksheet'!$J$10,DATA!$B$61:$L$75,10,FALSE)+ROW()-40),"")</f>
        <v/>
      </c>
      <c r="L50" s="607">
        <f>'Cover crop worksheet'!B45</f>
        <v>0</v>
      </c>
      <c r="M50" s="73" t="str">
        <f>IFERROR(LEFT(VLOOKUP(L50,'Table 1 Purpose rating'!A$4:AE$55,16,FALSE)),"")</f>
        <v/>
      </c>
      <c r="N50" s="73" t="str">
        <f>IFERROR(VLOOKUP(L50,'Table 1 Purpose rating'!A$4:AE$55,17,FALSE),"")</f>
        <v/>
      </c>
      <c r="O50" s="73">
        <f t="shared" si="2"/>
        <v>0</v>
      </c>
      <c r="P50" s="73">
        <f t="shared" si="3"/>
        <v>0</v>
      </c>
      <c r="Q50" s="608">
        <f t="shared" si="4"/>
        <v>0</v>
      </c>
      <c r="T50" s="248">
        <f>'Table 1 Purpose rating'!A51</f>
        <v>0</v>
      </c>
      <c r="Y50" s="172" t="s">
        <v>376</v>
      </c>
      <c r="AA50" t="s">
        <v>374</v>
      </c>
    </row>
    <row r="51" spans="1:27" x14ac:dyDescent="0.2">
      <c r="B51" s="1169" t="str" cm="1">
        <f t="array" aca="1" ref="B51" ca="1">_xlfn.IFNA(INDIRECT("'Prepared Mixes'!b"&amp;VLOOKUP('Cover crop worksheet'!$J$10,DATA!$B$61:$L$75,10,FALSE)+ROW()-40),"")</f>
        <v/>
      </c>
      <c r="C51" s="1170"/>
      <c r="D51" s="1170"/>
      <c r="E51" s="1171"/>
      <c r="F51" s="1164" t="str" cm="1">
        <f t="array" aca="1" ref="F51" ca="1">_xlfn.IFNA(INDIRECT("'Prepared Mixes'!f"&amp;VLOOKUP('Cover crop worksheet'!$J$10,DATA!$B$61:$L$75,10,FALSE)+ROW()-40),"")</f>
        <v/>
      </c>
      <c r="G51" s="1165"/>
      <c r="H51" s="1166"/>
      <c r="I51" s="257" t="str" cm="1">
        <f t="array" aca="1" ref="I51" ca="1">_xlfn.IFNA(INDIRECT("'Prepared Mixes'!i"&amp;VLOOKUP('Cover crop worksheet'!$J$10,DATA!$B$61:$L$75,10,FALSE)+ROW()-40),"")</f>
        <v/>
      </c>
      <c r="L51" s="607">
        <f>'Cover crop worksheet'!B46</f>
        <v>0</v>
      </c>
      <c r="M51" s="73" t="str">
        <f>IFERROR(LEFT(VLOOKUP(L51,'Table 1 Purpose rating'!A$4:AE$55,16,FALSE)),"")</f>
        <v/>
      </c>
      <c r="N51" s="73" t="str">
        <f>IFERROR(VLOOKUP(L51,'Table 1 Purpose rating'!A$4:AE$55,17,FALSE),"")</f>
        <v/>
      </c>
      <c r="O51" s="73">
        <f t="shared" si="2"/>
        <v>0</v>
      </c>
      <c r="P51" s="73">
        <f t="shared" si="3"/>
        <v>0</v>
      </c>
      <c r="Q51" s="608">
        <f t="shared" si="4"/>
        <v>0</v>
      </c>
      <c r="T51" s="248">
        <f>'Table 1 Purpose rating'!A52</f>
        <v>0</v>
      </c>
      <c r="Y51" s="172" t="s">
        <v>377</v>
      </c>
      <c r="AA51" t="s">
        <v>375</v>
      </c>
    </row>
    <row r="52" spans="1:27" ht="12.75" customHeight="1" thickBot="1" x14ac:dyDescent="0.25">
      <c r="B52" s="1169" t="str" cm="1">
        <f t="array" aca="1" ref="B52" ca="1">_xlfn.IFNA(INDIRECT("'Prepared Mixes'!b"&amp;VLOOKUP('Cover crop worksheet'!$J$10,DATA!$B$61:$L$75,10,FALSE)+ROW()-40),"")</f>
        <v/>
      </c>
      <c r="C52" s="1170"/>
      <c r="D52" s="1170"/>
      <c r="E52" s="1171"/>
      <c r="F52" s="1164" t="str" cm="1">
        <f t="array" aca="1" ref="F52" ca="1">_xlfn.IFNA(INDIRECT("'Prepared Mixes'!f"&amp;VLOOKUP('Cover crop worksheet'!$J$10,DATA!$B$61:$L$75,10,FALSE)+ROW()-40),"")</f>
        <v/>
      </c>
      <c r="G52" s="1165"/>
      <c r="H52" s="1166"/>
      <c r="I52" s="257" t="str" cm="1">
        <f t="array" aca="1" ref="I52" ca="1">_xlfn.IFNA(INDIRECT("'Prepared Mixes'!i"&amp;VLOOKUP('Cover crop worksheet'!$J$10,DATA!$B$61:$L$75,10,FALSE)+ROW()-40),"")</f>
        <v/>
      </c>
      <c r="L52" s="665">
        <f>'Cover crop worksheet'!B47</f>
        <v>0</v>
      </c>
      <c r="M52" s="666" t="str">
        <f>IFERROR(LEFT(VLOOKUP(L52,'Table 1 Purpose rating'!A$4:AE$55,16,FALSE)),"")</f>
        <v/>
      </c>
      <c r="N52" s="666" t="str">
        <f>IFERROR(VLOOKUP(L52,'Table 1 Purpose rating'!A$4:AE$55,17,FALSE),"")</f>
        <v/>
      </c>
      <c r="O52" s="666">
        <f t="shared" si="2"/>
        <v>0</v>
      </c>
      <c r="P52" s="666">
        <f t="shared" si="3"/>
        <v>0</v>
      </c>
      <c r="Q52" s="667">
        <f t="shared" si="4"/>
        <v>0</v>
      </c>
      <c r="T52" s="248">
        <f>'Table 1 Purpose rating'!A53</f>
        <v>0</v>
      </c>
      <c r="Y52" s="172" t="s">
        <v>378</v>
      </c>
      <c r="AA52" t="s">
        <v>376</v>
      </c>
    </row>
    <row r="53" spans="1:27" x14ac:dyDescent="0.2">
      <c r="B53" s="1169" t="str" cm="1">
        <f t="array" aca="1" ref="B53" ca="1">_xlfn.IFNA(INDIRECT("'Prepared Mixes'!b"&amp;VLOOKUP('Cover crop worksheet'!$J$10,DATA!$B$61:$L$75,10,FALSE)+ROW()-40),"")</f>
        <v/>
      </c>
      <c r="C53" s="1170"/>
      <c r="D53" s="1170"/>
      <c r="E53" s="1171"/>
      <c r="F53" s="1164" t="str" cm="1">
        <f t="array" aca="1" ref="F53" ca="1">_xlfn.IFNA(INDIRECT("'Prepared Mixes'!f"&amp;VLOOKUP('Cover crop worksheet'!$J$10,DATA!$B$61:$L$75,10,FALSE)+ROW()-40),"")</f>
        <v/>
      </c>
      <c r="G53" s="1165"/>
      <c r="H53" s="1166"/>
      <c r="I53" s="257" t="str" cm="1">
        <f t="array" aca="1" ref="I53" ca="1">_xlfn.IFNA(INDIRECT("'Prepared Mixes'!i"&amp;VLOOKUP('Cover crop worksheet'!$J$10,DATA!$B$61:$L$75,10,FALSE)+ROW()-40),"")</f>
        <v/>
      </c>
      <c r="T53" s="248">
        <f>'Table 1 Purpose rating'!A54</f>
        <v>0</v>
      </c>
      <c r="Y53" s="172" t="s">
        <v>379</v>
      </c>
      <c r="AA53" t="s">
        <v>377</v>
      </c>
    </row>
    <row r="54" spans="1:27" ht="12.75" customHeight="1" x14ac:dyDescent="0.2">
      <c r="B54" s="1169" t="str" cm="1">
        <f t="array" aca="1" ref="B54" ca="1">_xlfn.IFNA(INDIRECT("'Prepared Mixes'!b"&amp;VLOOKUP('Cover crop worksheet'!$J$10,DATA!$B$61:$L$75,10,FALSE)+ROW()-40),"")</f>
        <v/>
      </c>
      <c r="C54" s="1170"/>
      <c r="D54" s="1170"/>
      <c r="E54" s="1171"/>
      <c r="F54" s="1164" t="str" cm="1">
        <f t="array" aca="1" ref="F54" ca="1">_xlfn.IFNA(INDIRECT("'Prepared Mixes'!f"&amp;VLOOKUP('Cover crop worksheet'!$J$10,DATA!$B$61:$L$75,10,FALSE)+ROW()-40),"")</f>
        <v/>
      </c>
      <c r="G54" s="1165"/>
      <c r="H54" s="1166"/>
      <c r="I54" s="257" t="str" cm="1">
        <f t="array" aca="1" ref="I54" ca="1">_xlfn.IFNA(INDIRECT("'Prepared Mixes'!i"&amp;VLOOKUP('Cover crop worksheet'!$J$10,DATA!$B$61:$L$75,10,FALSE)+ROW()-40),"")</f>
        <v/>
      </c>
      <c r="L54" s="741" t="s">
        <v>896</v>
      </c>
      <c r="M54" s="303" t="s">
        <v>24</v>
      </c>
      <c r="N54" s="659">
        <f>COUNTIF(N38:N52,M54)</f>
        <v>0</v>
      </c>
      <c r="T54" s="373">
        <f>'Table 1 Purpose rating'!A55</f>
        <v>0</v>
      </c>
      <c r="Y54" s="172" t="s">
        <v>380</v>
      </c>
      <c r="AA54" t="s">
        <v>378</v>
      </c>
    </row>
    <row r="55" spans="1:27" x14ac:dyDescent="0.2">
      <c r="L55" s="742" t="s">
        <v>896</v>
      </c>
      <c r="M55" s="12" t="s">
        <v>783</v>
      </c>
      <c r="N55" s="389">
        <f>COUNTIF(N38:N52,M55)</f>
        <v>0</v>
      </c>
      <c r="T55" s="15"/>
      <c r="Y55" s="172" t="s">
        <v>381</v>
      </c>
      <c r="AA55" s="12" t="s">
        <v>379</v>
      </c>
    </row>
    <row r="56" spans="1:27" x14ac:dyDescent="0.2">
      <c r="L56" s="743" t="s">
        <v>896</v>
      </c>
      <c r="M56" s="320" t="s">
        <v>49</v>
      </c>
      <c r="N56" s="565">
        <f>COUNTIF(N38:N52,M56)</f>
        <v>0</v>
      </c>
      <c r="T56" s="15"/>
      <c r="Y56" s="172" t="s">
        <v>382</v>
      </c>
      <c r="AA56" t="s">
        <v>380</v>
      </c>
    </row>
    <row r="57" spans="1:27" x14ac:dyDescent="0.2">
      <c r="L57" s="740" t="s">
        <v>180</v>
      </c>
      <c r="N57">
        <f>SUM(N54:N56)</f>
        <v>0</v>
      </c>
      <c r="T57" s="15"/>
      <c r="Y57" s="172" t="s">
        <v>383</v>
      </c>
      <c r="AA57" t="s">
        <v>381</v>
      </c>
    </row>
    <row r="58" spans="1:27" x14ac:dyDescent="0.2">
      <c r="T58" s="15"/>
      <c r="Y58" s="172" t="s">
        <v>384</v>
      </c>
      <c r="AA58" t="s">
        <v>382</v>
      </c>
    </row>
    <row r="59" spans="1:27" ht="33.75" x14ac:dyDescent="0.5">
      <c r="B59" s="12" t="s">
        <v>302</v>
      </c>
      <c r="E59" s="12" t="s">
        <v>757</v>
      </c>
      <c r="K59" s="747" t="s">
        <v>897</v>
      </c>
      <c r="L59" s="748" t="s">
        <v>898</v>
      </c>
      <c r="Y59" s="172" t="s">
        <v>386</v>
      </c>
      <c r="AA59" t="s">
        <v>383</v>
      </c>
    </row>
    <row r="60" spans="1:27" x14ac:dyDescent="0.2">
      <c r="B60" s="12"/>
      <c r="I60" t="str">
        <f>_xlfn.IFNA(VLOOKUP('Cover crop worksheet'!J10,B61:L70,9,FALSE),"")</f>
        <v/>
      </c>
      <c r="Y60" s="172" t="s">
        <v>387</v>
      </c>
      <c r="AA60" t="s">
        <v>384</v>
      </c>
    </row>
    <row r="61" spans="1:27" x14ac:dyDescent="0.2">
      <c r="A61">
        <v>1</v>
      </c>
      <c r="B61" s="658" t="s">
        <v>290</v>
      </c>
      <c r="C61" s="247"/>
      <c r="D61" s="247"/>
      <c r="E61" s="303" t="s">
        <v>763</v>
      </c>
      <c r="F61" s="247"/>
      <c r="G61" s="247"/>
      <c r="H61" s="247"/>
      <c r="I61" s="247">
        <v>1</v>
      </c>
      <c r="J61" s="247" t="str">
        <f>"B"&amp;K$61&amp;":I"&amp;L$61</f>
        <v>B9:I23</v>
      </c>
      <c r="K61" s="247">
        <v>9</v>
      </c>
      <c r="L61" s="659">
        <v>23</v>
      </c>
      <c r="Y61" s="172" t="s">
        <v>388</v>
      </c>
      <c r="AA61" t="s">
        <v>385</v>
      </c>
    </row>
    <row r="62" spans="1:27" x14ac:dyDescent="0.2">
      <c r="A62">
        <v>2</v>
      </c>
      <c r="B62" s="660" t="s">
        <v>291</v>
      </c>
      <c r="E62" s="12" t="s">
        <v>762</v>
      </c>
      <c r="I62">
        <v>2</v>
      </c>
      <c r="J62" t="str">
        <f t="shared" ref="J62:J73" si="5">"B"&amp;K62&amp;":I"&amp;L62</f>
        <v>B30:I44</v>
      </c>
      <c r="K62">
        <f t="shared" ref="K62:K75" si="6">K61+21</f>
        <v>30</v>
      </c>
      <c r="L62" s="389">
        <f t="shared" ref="L62:L75" si="7">L61+21</f>
        <v>44</v>
      </c>
      <c r="Y62" s="172" t="s">
        <v>389</v>
      </c>
      <c r="AA62" t="s">
        <v>386</v>
      </c>
    </row>
    <row r="63" spans="1:27" x14ac:dyDescent="0.2">
      <c r="A63">
        <v>3</v>
      </c>
      <c r="B63" s="660" t="s">
        <v>292</v>
      </c>
      <c r="I63">
        <v>3</v>
      </c>
      <c r="J63" t="str">
        <f t="shared" si="5"/>
        <v>B51:I65</v>
      </c>
      <c r="K63">
        <f t="shared" si="6"/>
        <v>51</v>
      </c>
      <c r="L63" s="389">
        <f t="shared" si="7"/>
        <v>65</v>
      </c>
      <c r="Y63" s="172" t="s">
        <v>401</v>
      </c>
      <c r="AA63" t="s">
        <v>387</v>
      </c>
    </row>
    <row r="64" spans="1:27" x14ac:dyDescent="0.2">
      <c r="A64">
        <v>4</v>
      </c>
      <c r="B64" s="660" t="s">
        <v>293</v>
      </c>
      <c r="I64">
        <v>4</v>
      </c>
      <c r="J64" t="str">
        <f t="shared" si="5"/>
        <v>B72:I86</v>
      </c>
      <c r="K64">
        <f t="shared" si="6"/>
        <v>72</v>
      </c>
      <c r="L64" s="389">
        <f t="shared" si="7"/>
        <v>86</v>
      </c>
      <c r="Y64" s="172" t="s">
        <v>391</v>
      </c>
      <c r="AA64" t="s">
        <v>388</v>
      </c>
    </row>
    <row r="65" spans="1:27" x14ac:dyDescent="0.2">
      <c r="A65">
        <v>5</v>
      </c>
      <c r="B65" s="660" t="s">
        <v>294</v>
      </c>
      <c r="I65">
        <v>5</v>
      </c>
      <c r="J65" t="str">
        <f t="shared" si="5"/>
        <v>B93:I107</v>
      </c>
      <c r="K65">
        <f t="shared" si="6"/>
        <v>93</v>
      </c>
      <c r="L65" s="389">
        <f t="shared" si="7"/>
        <v>107</v>
      </c>
      <c r="Y65" s="172" t="s">
        <v>402</v>
      </c>
      <c r="AA65" t="s">
        <v>389</v>
      </c>
    </row>
    <row r="66" spans="1:27" x14ac:dyDescent="0.2">
      <c r="A66">
        <v>6</v>
      </c>
      <c r="B66" s="660" t="s">
        <v>295</v>
      </c>
      <c r="I66">
        <v>6</v>
      </c>
      <c r="J66" t="str">
        <f t="shared" si="5"/>
        <v>B114:I128</v>
      </c>
      <c r="K66">
        <f t="shared" si="6"/>
        <v>114</v>
      </c>
      <c r="L66" s="389">
        <f t="shared" si="7"/>
        <v>128</v>
      </c>
      <c r="M66" s="73"/>
      <c r="N66" s="73"/>
      <c r="O66" s="73"/>
      <c r="P66" s="73"/>
      <c r="Q66" s="668"/>
      <c r="Y66" s="172" t="s">
        <v>393</v>
      </c>
      <c r="AA66" t="s">
        <v>390</v>
      </c>
    </row>
    <row r="67" spans="1:27" x14ac:dyDescent="0.2">
      <c r="A67">
        <v>7</v>
      </c>
      <c r="B67" s="660" t="s">
        <v>296</v>
      </c>
      <c r="I67">
        <v>7</v>
      </c>
      <c r="J67" t="str">
        <f t="shared" si="5"/>
        <v>B135:I149</v>
      </c>
      <c r="K67">
        <f t="shared" si="6"/>
        <v>135</v>
      </c>
      <c r="L67" s="389">
        <f t="shared" si="7"/>
        <v>149</v>
      </c>
      <c r="Y67" s="172" t="s">
        <v>394</v>
      </c>
      <c r="AA67" t="s">
        <v>391</v>
      </c>
    </row>
    <row r="68" spans="1:27" x14ac:dyDescent="0.2">
      <c r="A68">
        <v>8</v>
      </c>
      <c r="B68" s="660" t="s">
        <v>297</v>
      </c>
      <c r="I68">
        <v>8</v>
      </c>
      <c r="J68" t="str">
        <f t="shared" si="5"/>
        <v>B156:I170</v>
      </c>
      <c r="K68">
        <f t="shared" si="6"/>
        <v>156</v>
      </c>
      <c r="L68" s="389">
        <f t="shared" si="7"/>
        <v>170</v>
      </c>
      <c r="Y68" s="172" t="s">
        <v>395</v>
      </c>
      <c r="AA68" t="s">
        <v>392</v>
      </c>
    </row>
    <row r="69" spans="1:27" x14ac:dyDescent="0.2">
      <c r="A69">
        <v>9</v>
      </c>
      <c r="B69" s="660" t="s">
        <v>298</v>
      </c>
      <c r="I69">
        <v>9</v>
      </c>
      <c r="J69" t="str">
        <f t="shared" si="5"/>
        <v>B177:I191</v>
      </c>
      <c r="K69">
        <f t="shared" si="6"/>
        <v>177</v>
      </c>
      <c r="L69" s="389">
        <f t="shared" si="7"/>
        <v>191</v>
      </c>
      <c r="M69" s="1"/>
      <c r="N69" s="171"/>
      <c r="P69" s="2"/>
      <c r="AA69" t="s">
        <v>393</v>
      </c>
    </row>
    <row r="70" spans="1:27" x14ac:dyDescent="0.2">
      <c r="A70" s="173">
        <v>10</v>
      </c>
      <c r="B70" s="661" t="s">
        <v>314</v>
      </c>
      <c r="I70" s="173">
        <v>10</v>
      </c>
      <c r="J70" s="173" t="str">
        <f t="shared" si="5"/>
        <v>B198:I212</v>
      </c>
      <c r="K70" s="173">
        <f t="shared" si="6"/>
        <v>198</v>
      </c>
      <c r="L70" s="662">
        <f t="shared" si="7"/>
        <v>212</v>
      </c>
      <c r="M70" s="1"/>
      <c r="N70" s="171"/>
      <c r="P70" s="2"/>
      <c r="AA70" t="s">
        <v>394</v>
      </c>
    </row>
    <row r="71" spans="1:27" x14ac:dyDescent="0.2">
      <c r="A71">
        <v>11</v>
      </c>
      <c r="B71" s="661" t="s">
        <v>892</v>
      </c>
      <c r="I71" s="173">
        <v>11</v>
      </c>
      <c r="J71" s="173" t="str">
        <f t="shared" si="5"/>
        <v>B219:I233</v>
      </c>
      <c r="K71" s="173">
        <f t="shared" si="6"/>
        <v>219</v>
      </c>
      <c r="L71" s="662">
        <f t="shared" si="7"/>
        <v>233</v>
      </c>
      <c r="M71" s="1"/>
      <c r="N71" s="171"/>
      <c r="P71" s="2"/>
      <c r="AA71" t="s">
        <v>395</v>
      </c>
    </row>
    <row r="72" spans="1:27" x14ac:dyDescent="0.2">
      <c r="A72">
        <v>12</v>
      </c>
      <c r="B72" s="661" t="s">
        <v>893</v>
      </c>
      <c r="I72" s="173">
        <v>12</v>
      </c>
      <c r="J72" s="173" t="str">
        <f t="shared" si="5"/>
        <v>B240:I254</v>
      </c>
      <c r="K72" s="173">
        <f t="shared" si="6"/>
        <v>240</v>
      </c>
      <c r="L72" s="662">
        <f t="shared" si="7"/>
        <v>254</v>
      </c>
      <c r="M72" s="1"/>
      <c r="N72" s="171"/>
      <c r="P72" s="2"/>
    </row>
    <row r="73" spans="1:27" x14ac:dyDescent="0.2">
      <c r="A73">
        <v>13</v>
      </c>
      <c r="B73" s="660" t="str">
        <f>'Prepared Mixes'!B258</f>
        <v>13 Local Mix</v>
      </c>
      <c r="I73" s="173">
        <v>13</v>
      </c>
      <c r="J73" s="173" t="str">
        <f t="shared" si="5"/>
        <v>B261:I275</v>
      </c>
      <c r="K73" s="173">
        <f t="shared" si="6"/>
        <v>261</v>
      </c>
      <c r="L73" s="662">
        <f t="shared" si="7"/>
        <v>275</v>
      </c>
      <c r="M73" s="1"/>
      <c r="N73" s="171"/>
      <c r="P73" s="2"/>
    </row>
    <row r="74" spans="1:27" x14ac:dyDescent="0.2">
      <c r="A74">
        <v>14</v>
      </c>
      <c r="B74" s="256" t="str">
        <f>'Prepared Mixes'!B279</f>
        <v>14 Local Mix</v>
      </c>
      <c r="I74" s="173">
        <v>14</v>
      </c>
      <c r="J74" s="173" t="str">
        <f t="shared" ref="J74:J75" si="8">"B"&amp;K74&amp;":I"&amp;L74</f>
        <v>B282:I296</v>
      </c>
      <c r="K74" s="173">
        <f t="shared" si="6"/>
        <v>282</v>
      </c>
      <c r="L74" s="662">
        <f t="shared" si="7"/>
        <v>296</v>
      </c>
    </row>
    <row r="75" spans="1:27" x14ac:dyDescent="0.2">
      <c r="A75">
        <v>15</v>
      </c>
      <c r="B75" s="745" t="str">
        <f>'Prepared Mixes'!B300</f>
        <v>15 Local Mix</v>
      </c>
      <c r="C75" s="241"/>
      <c r="D75" s="241"/>
      <c r="E75" s="241"/>
      <c r="F75" s="241"/>
      <c r="G75" s="241"/>
      <c r="H75" s="241"/>
      <c r="I75" s="663">
        <v>15</v>
      </c>
      <c r="J75" s="663" t="str">
        <f t="shared" si="8"/>
        <v>B303:I317</v>
      </c>
      <c r="K75" s="663">
        <f t="shared" si="6"/>
        <v>303</v>
      </c>
      <c r="L75" s="664">
        <f t="shared" si="7"/>
        <v>317</v>
      </c>
    </row>
  </sheetData>
  <sheetProtection algorithmName="SHA-512" hashValue="pr2LjZLQyuYE7EnbYRj19/yqeo2zD5sm1ihWzMzGztU5fO3eWc6eIF/xRLkCAdtrlCaKkQWskEp8hosl+pHU6A==" saltValue="CUaT2ceQUebU0pMAaCPDww==" spinCount="100000" sheet="1" scenarios="1" formatCells="0" formatColumns="0" formatRows="0" sort="0" autoFilter="0"/>
  <sortState xmlns:xlrd2="http://schemas.microsoft.com/office/spreadsheetml/2017/richdata2" ref="W3:W33">
    <sortCondition ref="W3:W33"/>
  </sortState>
  <mergeCells count="31">
    <mergeCell ref="B54:E54"/>
    <mergeCell ref="B45:E45"/>
    <mergeCell ref="B46:E46"/>
    <mergeCell ref="B47:E47"/>
    <mergeCell ref="B48:E48"/>
    <mergeCell ref="B49:E49"/>
    <mergeCell ref="B50:E50"/>
    <mergeCell ref="B51:E51"/>
    <mergeCell ref="B52:E52"/>
    <mergeCell ref="B53:E53"/>
    <mergeCell ref="F45:H45"/>
    <mergeCell ref="B41:E41"/>
    <mergeCell ref="B42:E42"/>
    <mergeCell ref="B43:E43"/>
    <mergeCell ref="B44:E44"/>
    <mergeCell ref="F46:H46"/>
    <mergeCell ref="F53:H53"/>
    <mergeCell ref="F54:H54"/>
    <mergeCell ref="B38:E39"/>
    <mergeCell ref="B40:E40"/>
    <mergeCell ref="F40:H40"/>
    <mergeCell ref="F47:H47"/>
    <mergeCell ref="F48:H48"/>
    <mergeCell ref="F49:H49"/>
    <mergeCell ref="F50:H50"/>
    <mergeCell ref="F51:H51"/>
    <mergeCell ref="F52:H52"/>
    <mergeCell ref="F41:H41"/>
    <mergeCell ref="F42:H42"/>
    <mergeCell ref="F43:H43"/>
    <mergeCell ref="F44:H44"/>
  </mergeCells>
  <phoneticPr fontId="23" type="noConversion"/>
  <conditionalFormatting sqref="AK3:AK12">
    <cfRule type="expression" dxfId="0" priority="1">
      <formula>MOD(ROW(),2)=1</formula>
    </cfRule>
  </conditionalFormatting>
  <pageMargins left="0.75" right="0.75" top="1" bottom="1" header="0.5" footer="0.5"/>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C92F5-9DA3-416A-A388-D684AF4DABB1}">
  <sheetPr codeName="Sheet115"/>
  <dimension ref="A1:C31"/>
  <sheetViews>
    <sheetView showGridLines="0" workbookViewId="0">
      <pane ySplit="1" topLeftCell="A16" activePane="bottomLeft" state="frozen"/>
      <selection activeCell="C1" sqref="C1:J1"/>
      <selection pane="bottomLeft" activeCell="A22" sqref="A22"/>
    </sheetView>
  </sheetViews>
  <sheetFormatPr defaultRowHeight="15" x14ac:dyDescent="0.25"/>
  <cols>
    <col min="1" max="1" width="10.42578125" style="398" customWidth="1"/>
    <col min="2" max="2" width="10.7109375" style="398" customWidth="1"/>
    <col min="3" max="3" width="67.28515625" style="398" customWidth="1"/>
    <col min="4" max="16384" width="9.140625" style="398"/>
  </cols>
  <sheetData>
    <row r="1" spans="1:3" ht="15.75" thickBot="1" x14ac:dyDescent="0.3">
      <c r="A1" s="430" t="s">
        <v>613</v>
      </c>
      <c r="B1" s="430" t="s">
        <v>612</v>
      </c>
      <c r="C1" s="429" t="s">
        <v>611</v>
      </c>
    </row>
    <row r="2" spans="1:3" ht="24" customHeight="1" thickTop="1" x14ac:dyDescent="0.25">
      <c r="A2" s="697">
        <v>44175</v>
      </c>
      <c r="B2" s="723">
        <v>2</v>
      </c>
      <c r="C2" s="724" t="s">
        <v>621</v>
      </c>
    </row>
    <row r="3" spans="1:3" ht="24" customHeight="1" x14ac:dyDescent="0.25">
      <c r="A3" s="697">
        <v>44245</v>
      </c>
      <c r="B3" s="723">
        <v>2.1</v>
      </c>
      <c r="C3" s="724" t="s">
        <v>623</v>
      </c>
    </row>
    <row r="4" spans="1:3" ht="24" customHeight="1" x14ac:dyDescent="0.25">
      <c r="A4" s="697">
        <v>44714</v>
      </c>
      <c r="B4" s="720">
        <v>2.2000000000000002</v>
      </c>
      <c r="C4" s="724" t="s">
        <v>623</v>
      </c>
    </row>
    <row r="5" spans="1:3" ht="24" customHeight="1" x14ac:dyDescent="0.25">
      <c r="A5" s="697">
        <v>44848</v>
      </c>
      <c r="B5" s="720">
        <v>2.2999999999999998</v>
      </c>
      <c r="C5" s="724" t="s">
        <v>622</v>
      </c>
    </row>
    <row r="6" spans="1:3" ht="45" x14ac:dyDescent="0.25">
      <c r="A6" s="719">
        <v>44991</v>
      </c>
      <c r="B6" s="720">
        <v>2.4</v>
      </c>
      <c r="C6" s="725" t="s">
        <v>630</v>
      </c>
    </row>
    <row r="7" spans="1:3" ht="45" x14ac:dyDescent="0.25">
      <c r="A7" s="720"/>
      <c r="B7" s="720"/>
      <c r="C7" s="725" t="s">
        <v>629</v>
      </c>
    </row>
    <row r="8" spans="1:3" x14ac:dyDescent="0.25">
      <c r="A8" s="720"/>
      <c r="B8" s="720"/>
      <c r="C8" s="724"/>
    </row>
    <row r="9" spans="1:3" x14ac:dyDescent="0.25">
      <c r="A9" s="719">
        <v>45209</v>
      </c>
      <c r="B9" s="720"/>
      <c r="C9" s="726" t="s">
        <v>769</v>
      </c>
    </row>
    <row r="10" spans="1:3" ht="45" x14ac:dyDescent="0.25">
      <c r="A10" s="720"/>
      <c r="B10" s="720">
        <v>2.41</v>
      </c>
      <c r="C10" s="726" t="s">
        <v>767</v>
      </c>
    </row>
    <row r="11" spans="1:3" x14ac:dyDescent="0.25">
      <c r="A11" s="720"/>
      <c r="B11" s="720"/>
      <c r="C11" s="726" t="s">
        <v>770</v>
      </c>
    </row>
    <row r="12" spans="1:3" ht="27" customHeight="1" x14ac:dyDescent="0.25">
      <c r="A12" s="720"/>
      <c r="B12" s="720"/>
      <c r="C12" s="726" t="s">
        <v>768</v>
      </c>
    </row>
    <row r="13" spans="1:3" x14ac:dyDescent="0.25">
      <c r="A13" s="720"/>
      <c r="B13" s="720"/>
      <c r="C13" s="724"/>
    </row>
    <row r="14" spans="1:3" ht="75" x14ac:dyDescent="0.25">
      <c r="A14" s="719">
        <v>45269</v>
      </c>
      <c r="B14" s="720">
        <v>2.5</v>
      </c>
      <c r="C14" s="750" t="s">
        <v>900</v>
      </c>
    </row>
    <row r="15" spans="1:3" x14ac:dyDescent="0.25">
      <c r="A15" s="721"/>
      <c r="B15" s="721"/>
      <c r="C15" s="727"/>
    </row>
    <row r="16" spans="1:3" ht="30" x14ac:dyDescent="0.25">
      <c r="A16" s="722">
        <v>45327</v>
      </c>
      <c r="B16" s="721">
        <v>2.6</v>
      </c>
      <c r="C16" s="749" t="s">
        <v>899</v>
      </c>
    </row>
    <row r="17" spans="1:3" x14ac:dyDescent="0.25">
      <c r="A17" s="721"/>
      <c r="B17" s="721"/>
      <c r="C17" s="727"/>
    </row>
    <row r="18" spans="1:3" ht="78" customHeight="1" x14ac:dyDescent="0.25">
      <c r="A18" s="722">
        <v>45377</v>
      </c>
      <c r="B18" s="721">
        <v>2.7</v>
      </c>
      <c r="C18" s="728" t="s">
        <v>779</v>
      </c>
    </row>
    <row r="19" spans="1:3" ht="219" customHeight="1" x14ac:dyDescent="0.25">
      <c r="A19" s="722">
        <v>45702</v>
      </c>
      <c r="B19" s="721">
        <v>2.8</v>
      </c>
      <c r="C19" s="751" t="s">
        <v>903</v>
      </c>
    </row>
    <row r="20" spans="1:3" x14ac:dyDescent="0.25">
      <c r="A20" s="722">
        <v>45741</v>
      </c>
      <c r="B20" s="721">
        <v>2.9</v>
      </c>
      <c r="C20" s="752" t="s">
        <v>904</v>
      </c>
    </row>
    <row r="21" spans="1:3" x14ac:dyDescent="0.25">
      <c r="A21" s="722">
        <v>45797</v>
      </c>
      <c r="B21" s="721">
        <v>2.91</v>
      </c>
      <c r="C21" s="753" t="s">
        <v>905</v>
      </c>
    </row>
    <row r="22" spans="1:3" x14ac:dyDescent="0.25">
      <c r="A22" s="698"/>
      <c r="B22" s="721"/>
      <c r="C22" s="727"/>
    </row>
    <row r="23" spans="1:3" x14ac:dyDescent="0.25">
      <c r="A23" s="698"/>
      <c r="B23" s="698"/>
      <c r="C23" s="727"/>
    </row>
    <row r="24" spans="1:3" x14ac:dyDescent="0.25">
      <c r="A24" s="698"/>
      <c r="B24" s="698"/>
      <c r="C24" s="699"/>
    </row>
    <row r="25" spans="1:3" x14ac:dyDescent="0.25">
      <c r="A25" s="698"/>
      <c r="B25" s="698"/>
      <c r="C25" s="699"/>
    </row>
    <row r="26" spans="1:3" x14ac:dyDescent="0.25">
      <c r="A26" s="698"/>
      <c r="B26" s="698"/>
      <c r="C26" s="699"/>
    </row>
    <row r="27" spans="1:3" x14ac:dyDescent="0.25">
      <c r="A27" s="698"/>
      <c r="B27" s="698"/>
      <c r="C27" s="699"/>
    </row>
    <row r="28" spans="1:3" x14ac:dyDescent="0.25">
      <c r="C28" s="428"/>
    </row>
    <row r="29" spans="1:3" x14ac:dyDescent="0.25">
      <c r="C29" s="428"/>
    </row>
    <row r="30" spans="1:3" x14ac:dyDescent="0.25">
      <c r="C30" s="428"/>
    </row>
    <row r="31" spans="1:3" x14ac:dyDescent="0.25">
      <c r="C31" s="428"/>
    </row>
  </sheetData>
  <sheetProtection algorithmName="SHA-512" hashValue="21vhBQmMqdRjKq04WcFMFPbKjuusVZaalyAVup0kvIBfTfex+L3MYS66meWLFpeRwx6dVtaitH7xXQb9T4tk/A==" saltValue="RvqLR1/89ju45NJFEpwPjw==" spinCount="100000" sheet="1" scenarios="1" formatCells="0" formatColumns="0" formatRows="0" sort="0" autoFilter="0"/>
  <phoneticPr fontId="156"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3c0f6fd-68da-4dca-96e1-bd72fb859533" xsi:nil="true"/>
    <hyperlink xmlns="47ca554a-6a59-441a-a84c-625ca94c37e8">
      <Url xsi:nil="true"/>
      <Description xsi:nil="true"/>
    </hyperlink>
    <lcf76f155ced4ddcb4097134ff3c332f xmlns="47ca554a-6a59-441a-a84c-625ca94c37e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F763115A2D86647A2A7FDE4F3FA2D6B" ma:contentTypeVersion="13" ma:contentTypeDescription="Create a new document." ma:contentTypeScope="" ma:versionID="c7625d4e87a73aefe0320a9ec4ee7728">
  <xsd:schema xmlns:xsd="http://www.w3.org/2001/XMLSchema" xmlns:xs="http://www.w3.org/2001/XMLSchema" xmlns:p="http://schemas.microsoft.com/office/2006/metadata/properties" xmlns:ns2="47ca554a-6a59-441a-a84c-625ca94c37e8" xmlns:ns3="33c0f6fd-68da-4dca-96e1-bd72fb859533" targetNamespace="http://schemas.microsoft.com/office/2006/metadata/properties" ma:root="true" ma:fieldsID="67d378592b55147b142d7da571f8ece8" ns2:_="" ns3:_="">
    <xsd:import namespace="47ca554a-6a59-441a-a84c-625ca94c37e8"/>
    <xsd:import namespace="33c0f6fd-68da-4dca-96e1-bd72fb8595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hyperlin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ca554a-6a59-441a-a84c-625ca94c37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8ff62593-b918-4deb-ac08-0d74ac0cc7e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hyperlink" ma:index="20" nillable="true" ma:displayName="hyperlink" ma:format="Hyperlink" ma:internalName="hyperlink">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3c0f6fd-68da-4dca-96e1-bd72fb859533"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a4bfe0f-b748-4e62-b58b-817a0f76ddec}" ma:internalName="TaxCatchAll" ma:showField="CatchAllData" ma:web="33c0f6fd-68da-4dca-96e1-bd72fb85953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596E35-6E0C-4305-A5A8-6DE0D266A0F9}">
  <ds:schemaRefs>
    <ds:schemaRef ds:uri="http://schemas.microsoft.com/sharepoint/v3/contenttype/forms"/>
  </ds:schemaRefs>
</ds:datastoreItem>
</file>

<file path=customXml/itemProps2.xml><?xml version="1.0" encoding="utf-8"?>
<ds:datastoreItem xmlns:ds="http://schemas.openxmlformats.org/officeDocument/2006/customXml" ds:itemID="{01FA2055-E561-48AC-932A-3484075F7FA8}">
  <ds:schemaRefs>
    <ds:schemaRef ds:uri="http://schemas.microsoft.com/office/infopath/2007/PartnerControls"/>
    <ds:schemaRef ds:uri="http://schemas.microsoft.com/office/2006/documentManagement/types"/>
    <ds:schemaRef ds:uri="http://schemas.microsoft.com/office/2006/metadata/properties"/>
    <ds:schemaRef ds:uri="http://purl.org/dc/elements/1.1/"/>
    <ds:schemaRef ds:uri="6bc8c963-b6a5-4beb-b2ac-5c820945a663"/>
    <ds:schemaRef ds:uri="http://www.w3.org/XML/1998/namespace"/>
    <ds:schemaRef ds:uri="http://schemas.openxmlformats.org/package/2006/metadata/core-properties"/>
    <ds:schemaRef ds:uri="http://purl.org/dc/dcmitype/"/>
    <ds:schemaRef ds:uri="http://purl.org/dc/terms/"/>
  </ds:schemaRefs>
</ds:datastoreItem>
</file>

<file path=customXml/itemProps3.xml><?xml version="1.0" encoding="utf-8"?>
<ds:datastoreItem xmlns:ds="http://schemas.openxmlformats.org/officeDocument/2006/customXml" ds:itemID="{F8BA4EC0-F810-46BC-8AF7-2875A653C8D9}"/>
</file>

<file path=docMetadata/LabelInfo.xml><?xml version="1.0" encoding="utf-8"?>
<clbl:labelList xmlns:clbl="http://schemas.microsoft.com/office/2020/mipLabelMetadata">
  <clbl:label id="{ed5b36e7-01ee-4ebc-867e-e03cfa0d4697}" enabled="0" method="" siteId="{ed5b36e7-01ee-4ebc-867e-e03cfa0d469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50</vt:i4>
      </vt:variant>
    </vt:vector>
  </HeadingPairs>
  <TitlesOfParts>
    <vt:vector size="64" baseType="lpstr">
      <vt:lpstr>Print</vt:lpstr>
      <vt:lpstr>Cover crop worksheet</vt:lpstr>
      <vt:lpstr>Prepared Mixes</vt:lpstr>
      <vt:lpstr>Cost estimates</vt:lpstr>
      <vt:lpstr>Vendor</vt:lpstr>
      <vt:lpstr>Table 1 Purpose rating</vt:lpstr>
      <vt:lpstr>Table 1 Urban</vt:lpstr>
      <vt:lpstr>Recommended Cover Crop Mixes</vt:lpstr>
      <vt:lpstr>Graze</vt:lpstr>
      <vt:lpstr>Seed Tag Examples</vt:lpstr>
      <vt:lpstr>Contingency Plan</vt:lpstr>
      <vt:lpstr>Video Tutorial</vt:lpstr>
      <vt:lpstr>DATA</vt:lpstr>
      <vt:lpstr>Notes</vt:lpstr>
      <vt:lpstr>A_Bulk</vt:lpstr>
      <vt:lpstr>A_data</vt:lpstr>
      <vt:lpstr>A_species</vt:lpstr>
      <vt:lpstr>Acres</vt:lpstr>
      <vt:lpstr>AcresA</vt:lpstr>
      <vt:lpstr>AF</vt:lpstr>
      <vt:lpstr>Animal</vt:lpstr>
      <vt:lpstr>Graze!AnimalUnit</vt:lpstr>
      <vt:lpstr>AnimalUnit</vt:lpstr>
      <vt:lpstr>AUnitTable</vt:lpstr>
      <vt:lpstr>Build_by_purpose</vt:lpstr>
      <vt:lpstr>CC</vt:lpstr>
      <vt:lpstr>CCHeight</vt:lpstr>
      <vt:lpstr>cert</vt:lpstr>
      <vt:lpstr>Certification</vt:lpstr>
      <vt:lpstr>Cover_Crops</vt:lpstr>
      <vt:lpstr>Crop</vt:lpstr>
      <vt:lpstr>CropsAUMs</vt:lpstr>
      <vt:lpstr>CStP</vt:lpstr>
      <vt:lpstr>DATA!Fertilizer</vt:lpstr>
      <vt:lpstr>Length</vt:lpstr>
      <vt:lpstr>LengthA</vt:lpstr>
      <vt:lpstr>MLRA</vt:lpstr>
      <vt:lpstr>No</vt:lpstr>
      <vt:lpstr>P_inch_first</vt:lpstr>
      <vt:lpstr>P_Mix</vt:lpstr>
      <vt:lpstr>P_percent</vt:lpstr>
      <vt:lpstr>P_species</vt:lpstr>
      <vt:lpstr>P_variety</vt:lpstr>
      <vt:lpstr>'Contingency Plan'!Print_Area</vt:lpstr>
      <vt:lpstr>'Cost estimates'!Print_Area</vt:lpstr>
      <vt:lpstr>'Cover crop worksheet'!Print_Area</vt:lpstr>
      <vt:lpstr>Graze!Print_Area</vt:lpstr>
      <vt:lpstr>Notes!Print_Area</vt:lpstr>
      <vt:lpstr>'Prepared Mixes'!Print_Area</vt:lpstr>
      <vt:lpstr>'Recommended Cover Crop Mixes'!Print_Area</vt:lpstr>
      <vt:lpstr>'Table 1 Purpose rating'!Print_Area</vt:lpstr>
      <vt:lpstr>'Table 1 Urban'!Print_Area</vt:lpstr>
      <vt:lpstr>Vendor!Print_Area</vt:lpstr>
      <vt:lpstr>DATA!Print_Titles</vt:lpstr>
      <vt:lpstr>'Recommended Cover Crop Mixes'!Print_Titles</vt:lpstr>
      <vt:lpstr>'Table 1 Purpose rating'!Print_Titles</vt:lpstr>
      <vt:lpstr>'Table 1 Urban'!Print_Titles</vt:lpstr>
      <vt:lpstr>DATA!SeedingWindow</vt:lpstr>
      <vt:lpstr>'Cover crop worksheet'!SpeciesTable</vt:lpstr>
      <vt:lpstr>SpeciesTable</vt:lpstr>
      <vt:lpstr>DATA!Termination</vt:lpstr>
      <vt:lpstr>Width</vt:lpstr>
      <vt:lpstr>WidthA</vt:lpstr>
      <vt:lpstr>Yes</vt:lpstr>
    </vt:vector>
  </TitlesOfParts>
  <Manager/>
  <Company>USDA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mark.washechek@usda.gov</dc:creator>
  <cp:keywords/>
  <dc:description/>
  <cp:lastModifiedBy>Washechek, Mark - FPAC-NRCS, SD</cp:lastModifiedBy>
  <cp:revision/>
  <cp:lastPrinted>2026-04-20T15:01:54Z</cp:lastPrinted>
  <dcterms:created xsi:type="dcterms:W3CDTF">2003-11-13T20:21:45Z</dcterms:created>
  <dcterms:modified xsi:type="dcterms:W3CDTF">2026-04-20T15:02:55Z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0x0101003F763115A2D86647A2A7FDE4F3FA2D6B</vt:lpwstr>
  </property>
  <property fmtid="{D5CDD505-2E9C-101B-9397-08002B2CF9AE}" pid="3" name="MediaServiceImageTags">
    <vt:lpwstr/>
  </property>
</Properties>
</file>