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drawings/drawing2.xml" ContentType="application/vnd.openxmlformats-officedocument.drawingml.chartshapes+xml"/>
  <Override PartName="/xl/drawings/drawing3.xml" ContentType="application/vnd.openxmlformats-officedocument.drawingml.chartshapes+xml"/>
  <Override PartName="/xl/workbook.xml" ContentType="application/vnd.ms-excel.sheet.macroEnabled.main+xml"/>
  <Override PartName="/xl/worksheets/sheet6.xml" ContentType="application/vnd.openxmlformats-officedocument.spreadsheetml.worksheet+xml"/>
  <Override PartName="/xl/drawings/drawing9.xml" ContentType="application/vnd.openxmlformats-officedocument.drawing+xml"/>
  <Override PartName="/xl/drawings/drawing8.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harts/chart3.xml" ContentType="application/vnd.openxmlformats-officedocument.drawingml.chart+xml"/>
  <Override PartName="/xl/drawings/drawing12.xml" ContentType="application/vnd.openxmlformats-officedocument.drawing+xml"/>
  <Override PartName="/xl/drawings/drawing7.xml" ContentType="application/vnd.openxmlformats-officedocument.drawing+xml"/>
  <Override PartName="/xl/drawings/drawing6.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worksheets/sheet5.xml" ContentType="application/vnd.openxmlformats-officedocument.spreadsheetml.worksheet+xml"/>
  <Override PartName="/xl/charts/chart2.xml" ContentType="application/vnd.openxmlformats-officedocument.drawingml.chart+xml"/>
  <Override PartName="/xl/worksheets/sheet4.xml" ContentType="application/vnd.openxmlformats-officedocument.spreadsheetml.worksheet+xml"/>
  <Override PartName="/xl/drawings/drawing4.xml" ContentType="application/vnd.openxmlformats-officedocument.drawing+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worksheets/sheet11.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worksheets/sheet14.xml" ContentType="application/vnd.openxmlformats-officedocument.spreadsheetml.worksheet+xml"/>
  <Override PartName="/xl/worksheets/sheet13.xml" ContentType="application/vnd.openxmlformats-officedocument.spreadsheetml.worksheet+xml"/>
  <Override PartName="/xl/worksheets/sheet12.xml" ContentType="application/vnd.openxmlformats-officedocument.spreadsheetml.worksheet+xml"/>
  <Override PartName="/xl/styles.xml" ContentType="application/vnd.openxmlformats-officedocument.spreadsheetml.styles+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Override PartName="/xl/worksheets/sheet10.xml" ContentType="application/vnd.openxmlformats-officedocument.spreadsheetml.worksheet+xml"/>
  <Override PartName="/xl/drawings/drawing1.xml" ContentType="application/vnd.openxmlformats-officedocument.drawing+xml"/>
  <Override PartName="/xl/activeX/activeX2.xml" ContentType="application/vnd.ms-office.activeX+xml"/>
  <Override PartName="/xl/activeX/activeX11.xml" ContentType="application/vnd.ms-office.activeX+xml"/>
  <Override PartName="/docProps/core.xml" ContentType="application/vnd.openxmlformats-package.core-properties+xml"/>
  <Override PartName="/xl/activeX/activeX3.xml" ContentType="application/vnd.ms-office.activeX+xml"/>
  <Override PartName="/xl/activeX/activeX4.bin" ContentType="application/vnd.ms-office.activeX"/>
  <Override PartName="/xl/activeX/activeX4.xml" ContentType="application/vnd.ms-office.activeX+xml"/>
  <Override PartName="/xl/calcChain.xml" ContentType="application/vnd.openxmlformats-officedocument.spreadsheetml.calcChain+xml"/>
  <Override PartName="/xl/activeX/activeX3.bin" ContentType="application/vnd.ms-office.activeX"/>
  <Override PartName="/docProps/app.xml" ContentType="application/vnd.openxmlformats-officedocument.extended-properties+xml"/>
  <Override PartName="/xl/activeX/activeX2.bin" ContentType="application/vnd.ms-office.activeX"/>
  <Override PartName="/xl/comments2.xml" ContentType="application/vnd.openxmlformats-officedocument.spreadsheetml.comments+xml"/>
  <Override PartName="/xl/activeX/activeX1.xml" ContentType="application/vnd.ms-office.activeX+xml"/>
  <Override PartName="/xl/activeX/activeX1.bin" ContentType="application/vnd.ms-office.activeX"/>
  <Override PartName="/xl/activeX/activeX5.bin" ContentType="application/vnd.ms-office.activeX"/>
  <Override PartName="/xl/activeX/activeX8.bin" ContentType="application/vnd.ms-office.activeX"/>
  <Override PartName="/xl/activeX/activeX9.xml" ContentType="application/vnd.ms-office.activeX+xml"/>
  <Override PartName="/xl/activeX/activeX9.bin" ContentType="application/vnd.ms-office.activeX"/>
  <Override PartName="/xl/activeX/activeX8.xml" ContentType="application/vnd.ms-office.activeX+xml"/>
  <Override PartName="/xl/ctrlProps/ctrlProp1.xml" ContentType="application/vnd.ms-excel.controlproperties+xml"/>
  <Override PartName="/xl/activeX/activeX7.xml" ContentType="application/vnd.ms-office.activeX+xml"/>
  <Override PartName="/xl/activeX/activeX7.bin" ContentType="application/vnd.ms-office.activeX"/>
  <Override PartName="/xl/comments1.xml" ContentType="application/vnd.openxmlformats-officedocument.spreadsheetml.comments+xml"/>
  <Override PartName="/xl/activeX/activeX16.bin" ContentType="application/vnd.ms-office.activeX"/>
  <Override PartName="/xl/activeX/activeX16.xml" ContentType="application/vnd.ms-office.activeX+xml"/>
  <Override PartName="/xl/activeX/activeX13.bin" ContentType="application/vnd.ms-office.activeX"/>
  <Override PartName="/xl/activeX/activeX13.xml" ContentType="application/vnd.ms-office.activeX+xml"/>
  <Override PartName="/xl/activeX/activeX12.bin" ContentType="application/vnd.ms-office.activeX"/>
  <Override PartName="/xl/activeX/activeX12.xml" ContentType="application/vnd.ms-office.activeX+xml"/>
  <Override PartName="/xl/activeX/activeX10.bin" ContentType="application/vnd.ms-office.activeX"/>
  <Override PartName="/xl/activeX/activeX14.xml" ContentType="application/vnd.ms-office.activeX+xml"/>
  <Override PartName="/xl/activeX/activeX14.bin" ContentType="application/vnd.ms-office.activeX"/>
  <Override PartName="/xl/activeX/activeX10.xml" ContentType="application/vnd.ms-office.activeX+xml"/>
  <Override PartName="/xl/activeX/activeX15.xml" ContentType="application/vnd.ms-office.activeX+xml"/>
  <Override PartName="/xl/activeX/activeX15.bin" ContentType="application/vnd.ms-office.activeX"/>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18.xml" ContentType="application/vnd.ms-excel.controlproperties+xml"/>
  <Override PartName="/xl/ctrlProps/ctrlProp17.xml" ContentType="application/vnd.ms-excel.controlproperties+xml"/>
  <Override PartName="/xl/ctrlProps/ctrlProp16.xml" ContentType="application/vnd.ms-excel.controlproperties+xml"/>
  <Override PartName="/xl/ctrlProps/ctrlProp15.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activeX/activeX11.bin" ContentType="application/vnd.ms-office.activeX"/>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activeX/activeX6.bin" ContentType="application/vnd.ms-office.activeX"/>
  <Override PartName="/xl/ctrlProps/ctrlProp6.xml" ContentType="application/vnd.ms-excel.controlproperties+xml"/>
  <Override PartName="/xl/ctrlProps/ctrlProp5.xml" ContentType="application/vnd.ms-excel.controlproperties+xml"/>
  <Override PartName="/xl/activeX/activeX6.xml" ContentType="application/vnd.ms-office.activeX+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activeX/activeX5.xml" ContentType="application/vnd.ms-office.activeX+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5" rupBuild="18625" codeName="{EAAD5824-E589-9196-6FC8-2F1B51211585}"/>
  <workbookPr codeName="ThisWorkbook"/>
  <mc:AlternateContent xmlns:mc="http://schemas.openxmlformats.org/markup-compatibility/2006">
    <mc:Choice Requires="x15">
      <x15ac:absPath xmlns:x15ac="http://schemas.microsoft.com/office/spreadsheetml/2010/11/ac" url="\\usda.net\NRCS\HOME\ILCH4\NRCS\Bryon.Kirwan\Documents\Livestock\"/>
    </mc:Choice>
  </mc:AlternateContent>
  <bookViews>
    <workbookView xWindow="-15" yWindow="375" windowWidth="11925" windowHeight="6105" tabRatio="924" activeTab="10" xr2:uid="{00000000-000D-0000-FFFF-FFFF00000000}"/>
  </bookViews>
  <sheets>
    <sheet name="LivestockForageBalance" sheetId="1" r:id="rId1"/>
    <sheet name="TimeControlWorksheet" sheetId="5" r:id="rId2"/>
    <sheet name="Summary" sheetId="8" r:id="rId3"/>
    <sheet name="Instructions" sheetId="9" r:id="rId4"/>
    <sheet name="Field Worksheet" sheetId="10" state="hidden" r:id="rId5"/>
    <sheet name="Explanation sheet for L.O. " sheetId="11" r:id="rId6"/>
    <sheet name="Module1" sheetId="2" state="veryHidden" r:id=""/>
    <sheet name="Module2" sheetId="3" state="veryHidden" r:id=""/>
    <sheet name="Module3" sheetId="4" state="veryHidden" r:id=""/>
    <sheet name="Calculations" sheetId="12" state="hidden" r:id="rId7"/>
    <sheet name="ForageGrowthCurves" sheetId="13" r:id="rId8"/>
    <sheet name="Hay Loss Storage" sheetId="22" r:id="rId9"/>
    <sheet name="PastureGrazingEfficiency" sheetId="16" state="hidden" r:id="rId10"/>
    <sheet name="HayList" sheetId="15" state="hidden" r:id="rId11"/>
    <sheet name="FSGTables" sheetId="17" state="hidden" r:id="rId12"/>
    <sheet name="PrintableLivestockInventory" sheetId="18" state="hidden" r:id="rId13"/>
    <sheet name="PrintableGrazingInventory" sheetId="19" state="hidden" r:id="rId14"/>
    <sheet name="PrintableSummaryBalance" sheetId="20" state="hidden" r:id="rId15"/>
    <sheet name="PrintableHayInventory" sheetId="21" state="hidden" r:id="rId16"/>
  </sheets>
  <definedNames>
    <definedName name="_Key1" hidden="1">LivestockForageBalance!$G$267:$G$308</definedName>
    <definedName name="_Order1" hidden="1">255</definedName>
    <definedName name="_Sort" hidden="1">LivestockForageBalance!$G$245:$R$310</definedName>
    <definedName name="Acres1">LivestockForageBalance!$I$103</definedName>
    <definedName name="Acres10">LivestockForageBalance!$I$121</definedName>
    <definedName name="Acres11">LivestockForageBalance!$I$123</definedName>
    <definedName name="Acres12">LivestockForageBalance!$I$125</definedName>
    <definedName name="Acres13">LivestockForageBalance!$I$127</definedName>
    <definedName name="Acres14">LivestockForageBalance!$I$129</definedName>
    <definedName name="Acres15">LivestockForageBalance!$I$131</definedName>
    <definedName name="Acres16">LivestockForageBalance!$I$133</definedName>
    <definedName name="Acres17">LivestockForageBalance!$I$135</definedName>
    <definedName name="Acres18">LivestockForageBalance!$I$137</definedName>
    <definedName name="Acres19">LivestockForageBalance!$I$139</definedName>
    <definedName name="Acres2">LivestockForageBalance!$I$105</definedName>
    <definedName name="Acres20">LivestockForageBalance!$I$141</definedName>
    <definedName name="Acres21">LivestockForageBalance!$I$143</definedName>
    <definedName name="Acres22">LivestockForageBalance!$I$145</definedName>
    <definedName name="Acres23">LivestockForageBalance!$I$147</definedName>
    <definedName name="Acres24">LivestockForageBalance!$I$149</definedName>
    <definedName name="Acres3">LivestockForageBalance!$I$107</definedName>
    <definedName name="Acres4">LivestockForageBalance!$I$109</definedName>
    <definedName name="Acres5">LivestockForageBalance!$I$111</definedName>
    <definedName name="Acres6">LivestockForageBalance!$I$113</definedName>
    <definedName name="Acres7">LivestockForageBalance!$I$115</definedName>
    <definedName name="Acres8">LivestockForageBalance!$I$117</definedName>
    <definedName name="Acres9">LivestockForageBalance!$I$119</definedName>
    <definedName name="AdvDisAdv">Instructions!$C$56</definedName>
    <definedName name="AltAcres1">LivestockForageBalance!$I$199</definedName>
    <definedName name="AltAcres2">LivestockForageBalance!$I$200</definedName>
    <definedName name="AltAcres3">LivestockForageBalance!$I$201</definedName>
    <definedName name="AltAcres4">LivestockForageBalance!$I$202</definedName>
    <definedName name="AltAcres5">LivestockForageBalance!$I$203</definedName>
    <definedName name="AltAcres6">LivestockForageBalance!$I$204</definedName>
    <definedName name="AltEff1">LivestockForageBalance!$L$199</definedName>
    <definedName name="AltEff2">LivestockForageBalance!$L$200</definedName>
    <definedName name="AltEff3">LivestockForageBalance!$L$201</definedName>
    <definedName name="AltEff4">LivestockForageBalance!$L$202</definedName>
    <definedName name="AltEff5">LivestockForageBalance!$L$203</definedName>
    <definedName name="AltEff6">LivestockForageBalance!$L$204</definedName>
    <definedName name="AltField1">LivestockForageBalance!$G$199</definedName>
    <definedName name="AltField2">LivestockForageBalance!$G$200</definedName>
    <definedName name="AltField3">LivestockForageBalance!$G$201</definedName>
    <definedName name="AltField4">LivestockForageBalance!$G$202</definedName>
    <definedName name="AltField5">LivestockForageBalance!$G$203</definedName>
    <definedName name="AltField6">LivestockForageBalance!$G$204</definedName>
    <definedName name="AltKind1">LivestockForageBalance!$H$199</definedName>
    <definedName name="AltKind2">LivestockForageBalance!$H$200</definedName>
    <definedName name="AltKind3">LivestockForageBalance!$H$201</definedName>
    <definedName name="AltKind4">LivestockForageBalance!$H$202</definedName>
    <definedName name="AltKind5">LivestockForageBalance!$H$203</definedName>
    <definedName name="AltKind6">LivestockForageBalance!$H$204</definedName>
    <definedName name="AltPast1">LivestockForageBalance!$199:$199</definedName>
    <definedName name="AltPast2">LivestockForageBalance!$200:$200</definedName>
    <definedName name="AltPast3">LivestockForageBalance!$201:$201</definedName>
    <definedName name="AltPast4">LivestockForageBalance!$202:$202</definedName>
    <definedName name="AltPast5">LivestockForageBalance!$203:$203</definedName>
    <definedName name="AltPast6">LivestockForageBalance!$204:$204</definedName>
    <definedName name="AltPastDemand">LivestockForageBalance!$91:$92</definedName>
    <definedName name="AltPastSum">LivestockForageBalance!$235:$239</definedName>
    <definedName name="AltPasture">LivestockForageBalance!$189:$206</definedName>
    <definedName name="AltPastureNo">Calculations!$K$59</definedName>
    <definedName name="AltProduction">Instructions!$D$132</definedName>
    <definedName name="AltYield1">LivestockForageBalance!$J$199</definedName>
    <definedName name="AltYield2">LivestockForageBalance!$J$200</definedName>
    <definedName name="AltYield3">LivestockForageBalance!$J$201</definedName>
    <definedName name="AltYield4">LivestockForageBalance!$J$202</definedName>
    <definedName name="AltYield5">LivestockForageBalance!$J$203</definedName>
    <definedName name="AltYield6">LivestockForageBalance!$J$204</definedName>
    <definedName name="AnnualDairy">LivestockForageBalance!$29:$32</definedName>
    <definedName name="AnnualDairyCheck">Calculations!$L$45</definedName>
    <definedName name="Bulls">LivestockForageBalance!$33:$34</definedName>
    <definedName name="BullsAltPast1">Calculations!$B$56</definedName>
    <definedName name="BullsAltPast2">Calculations!$B$58</definedName>
    <definedName name="BullsCheck">Calculations!$L$46</definedName>
    <definedName name="BullsDryLot1">Calculations!$B$57</definedName>
    <definedName name="BullsDryLot2">Calculations!$B$59</definedName>
    <definedName name="BullsInput">LivestockForageBalance!$I$33:$K$33</definedName>
    <definedName name="BullsPast">Calculations!$B$55</definedName>
    <definedName name="BullsSummary">Summary!$18:$18</definedName>
    <definedName name="CC1AltPast">Calculations!$B$72</definedName>
    <definedName name="CC1DryLot">Calculations!$B$73</definedName>
    <definedName name="CC1Past">Calculations!$B$71</definedName>
    <definedName name="CC2AltPast">Calculations!$B$77</definedName>
    <definedName name="CC2DryLot">Calculations!$B$78</definedName>
    <definedName name="CC2Past">Calculations!$B$76</definedName>
    <definedName name="CC3AltPast">Calculations!$B$82</definedName>
    <definedName name="CC3DryLot">Calculations!$B$83</definedName>
    <definedName name="CC3Past">Calculations!$B$81</definedName>
    <definedName name="Contents">Instructions!$C$16</definedName>
    <definedName name="County">LivestockForageBalance!$H$9</definedName>
    <definedName name="CowCalf1">LivestockForageBalance!$15:$16</definedName>
    <definedName name="CowCalf1Check">Calculations!$L$47</definedName>
    <definedName name="CowCalf1Input">LivestockForageBalance!$I$15:$K$15</definedName>
    <definedName name="CowCalf2">LivestockForageBalance!$17:$18</definedName>
    <definedName name="CowCalf2Check">Calculations!$L$48</definedName>
    <definedName name="CowCalf2Input">LivestockForageBalance!$I$17:$K$17</definedName>
    <definedName name="CowCalf3">LivestockForageBalance!$19:$20</definedName>
    <definedName name="CowCalf3Check">Calculations!$L$49</definedName>
    <definedName name="CowCalf3Input">LivestockForageBalance!$I$19:$K$19</definedName>
    <definedName name="CowCalfSum1">Summary!$11:$11</definedName>
    <definedName name="CowCalfSum2">Summary!$12:$12</definedName>
    <definedName name="CowCalfSum3">Summary!$13:$13</definedName>
    <definedName name="Dairy1">LivestockForageBalance!$25:$28</definedName>
    <definedName name="Dairy1Input">LivestockForageBalance!$I$25:$J$25,LivestockForageBalance!$K$26:$K$27</definedName>
    <definedName name="Dairy2">LivestockForageBalance!$31:$32</definedName>
    <definedName name="DairyAlt">LivestockForageBalance!$91:$94</definedName>
    <definedName name="DairySummary1">Summary!$16:$16</definedName>
    <definedName name="DairySummary2">Summary!$17:$17</definedName>
    <definedName name="Date">LivestockForageBalance!$H$8</definedName>
    <definedName name="DemandAlt">LivestockForageBalance!$91:$94</definedName>
    <definedName name="DetailedSum">Instructions!$C$164</definedName>
    <definedName name="DryDairyDryLot">Calculations!$H$50</definedName>
    <definedName name="DryDairyInput">LivestockForageBalance!$I$31:$K$31</definedName>
    <definedName name="DryDairyPast">Calculations!$G$50</definedName>
    <definedName name="DryLot">LivestockForageBalance!$93:$93</definedName>
    <definedName name="DryLotSum">LivestockForageBalance!$240:$242</definedName>
    <definedName name="Efficiency1">LivestockForageBalance!$L$103</definedName>
    <definedName name="Efficiency10">LivestockForageBalance!$L$121</definedName>
    <definedName name="Efficiency11">LivestockForageBalance!$L$123</definedName>
    <definedName name="Efficiency12">LivestockForageBalance!$L$125</definedName>
    <definedName name="Efficiency13">LivestockForageBalance!$L$127</definedName>
    <definedName name="Efficiency14">LivestockForageBalance!$L$129</definedName>
    <definedName name="Efficiency15">LivestockForageBalance!$L$131</definedName>
    <definedName name="Efficiency16">LivestockForageBalance!$L$133</definedName>
    <definedName name="Efficiency17">LivestockForageBalance!$L$135</definedName>
    <definedName name="Efficiency18">LivestockForageBalance!$L$137</definedName>
    <definedName name="Efficiency19">LivestockForageBalance!$L$139</definedName>
    <definedName name="Efficiency2">LivestockForageBalance!$L$105</definedName>
    <definedName name="Efficiency20">LivestockForageBalance!$L$141</definedName>
    <definedName name="Efficiency21">LivestockForageBalance!$L$143</definedName>
    <definedName name="Efficiency22">LivestockForageBalance!$L$145</definedName>
    <definedName name="Efficiency23">LivestockForageBalance!$L$147</definedName>
    <definedName name="Efficiency24">LivestockForageBalance!$L$149</definedName>
    <definedName name="Efficiency3">LivestockForageBalance!$L$107</definedName>
    <definedName name="Efficiency4">LivestockForageBalance!$L$109</definedName>
    <definedName name="Efficiency5">LivestockForageBalance!$L$111</definedName>
    <definedName name="Efficiency6">LivestockForageBalance!$L$113</definedName>
    <definedName name="Efficiency7">LivestockForageBalance!$L$115</definedName>
    <definedName name="Efficiency8">LivestockForageBalance!$L$117</definedName>
    <definedName name="Efficiency9">LivestockForageBalance!$L$119</definedName>
    <definedName name="EnteringData">Instructions!$C$63</definedName>
    <definedName name="Field">Instructions!$C$169</definedName>
    <definedName name="Field1">LivestockForageBalance!$G$103</definedName>
    <definedName name="Field10">LivestockForageBalance!$G$121</definedName>
    <definedName name="Field11">LivestockForageBalance!$G$123</definedName>
    <definedName name="Field12">LivestockForageBalance!$G$125</definedName>
    <definedName name="Field13">LivestockForageBalance!$G$127</definedName>
    <definedName name="Field14">LivestockForageBalance!$G$129</definedName>
    <definedName name="Field15">LivestockForageBalance!$G$131</definedName>
    <definedName name="Field16">LivestockForageBalance!$G$133</definedName>
    <definedName name="Field17">LivestockForageBalance!$G$135</definedName>
    <definedName name="Field18">LivestockForageBalance!$G$137</definedName>
    <definedName name="Field19">LivestockForageBalance!$G$139</definedName>
    <definedName name="Field2">LivestockForageBalance!$G$105</definedName>
    <definedName name="Field20">LivestockForageBalance!$G$141</definedName>
    <definedName name="Field21">LivestockForageBalance!$G$143</definedName>
    <definedName name="Field22">LivestockForageBalance!$G$145</definedName>
    <definedName name="Field23">LivestockForageBalance!$G$147</definedName>
    <definedName name="Field24">LivestockForageBalance!$G$149</definedName>
    <definedName name="Field3">LivestockForageBalance!$G$107</definedName>
    <definedName name="Field4">LivestockForageBalance!$G$109</definedName>
    <definedName name="Field5">LivestockForageBalance!$G$111</definedName>
    <definedName name="Field6">LivestockForageBalance!$G$113</definedName>
    <definedName name="Field7">LivestockForageBalance!$G$115</definedName>
    <definedName name="Field8">LivestockForageBalance!$G$117</definedName>
    <definedName name="Field9">LivestockForageBalance!$G$119</definedName>
    <definedName name="FieldAnnualDairy">'Field Worksheet'!$44:$60</definedName>
    <definedName name="FieldCowCalf">'Field Worksheet'!$19:$28</definedName>
    <definedName name="FieldHorses">'Field Worksheet'!$61:$70</definedName>
    <definedName name="FieldSeasonalDairy">'Field Worksheet'!$37:$43</definedName>
    <definedName name="FieldSheep">'Field Worksheet'!$71:$80</definedName>
    <definedName name="FieldStockers">'Field Worksheet'!$29:$36</definedName>
    <definedName name="FORAGE">ForageGrowthCurves!$A$10:$O$60</definedName>
    <definedName name="FORAGE2">ForageGrowthCurves!$A$6:$N$67</definedName>
    <definedName name="ForageList">ForageGrowthCurves!$A$6:$A$67</definedName>
    <definedName name="ForageProduction">Instructions!$D$109</definedName>
    <definedName name="General">LivestockForageBalance!$H$6:$H$10</definedName>
    <definedName name="Goats">LivestockForageBalance!$39:$40</definedName>
    <definedName name="GoatsCheck">Calculations!$L$53</definedName>
    <definedName name="GoatsInput">LivestockForageBalance!$I$39:$K$39</definedName>
    <definedName name="GoatsSummary">Summary!$20:$20</definedName>
    <definedName name="Graph">Instructions!$D$154</definedName>
    <definedName name="GrazingSystem">LivestockForageBalance!$91:$91</definedName>
    <definedName name="GrazingSystemSum">LivestockForageBalance!$228:$234</definedName>
    <definedName name="HarvestEff1">LivestockForageBalance!$L$160</definedName>
    <definedName name="HarvestEff10">LivestockForageBalance!$L$169</definedName>
    <definedName name="HarvestEff11">LivestockForageBalance!$L$170</definedName>
    <definedName name="HarvestEff12">LivestockForageBalance!$L$171</definedName>
    <definedName name="HarvestEff13">LivestockForageBalance!$L$172</definedName>
    <definedName name="HarvestEff14">LivestockForageBalance!$L$173</definedName>
    <definedName name="HarvestEff15">LivestockForageBalance!$L$174</definedName>
    <definedName name="HarvestEff16">LivestockForageBalance!$L$175</definedName>
    <definedName name="HarvestEff17">LivestockForageBalance!$L$176</definedName>
    <definedName name="HarvestEff18">LivestockForageBalance!$L$177</definedName>
    <definedName name="HarvestEff19">LivestockForageBalance!$L$178</definedName>
    <definedName name="HarvestEff2">LivestockForageBalance!$L$161</definedName>
    <definedName name="HarvestEff20">LivestockForageBalance!$L$179</definedName>
    <definedName name="HarvestEff21">LivestockForageBalance!$L$180</definedName>
    <definedName name="HarvestEff22">LivestockForageBalance!$L$181</definedName>
    <definedName name="HarvestEff23">LivestockForageBalance!$L$182</definedName>
    <definedName name="HarvestEff24">LivestockForageBalance!$L$183</definedName>
    <definedName name="HarvestEff3">LivestockForageBalance!$L$162</definedName>
    <definedName name="HarvestEff4">LivestockForageBalance!$L$163</definedName>
    <definedName name="HarvestEff5">LivestockForageBalance!$L$164</definedName>
    <definedName name="HarvestEff6">LivestockForageBalance!$L$165</definedName>
    <definedName name="HarvestEff7">LivestockForageBalance!$L$166</definedName>
    <definedName name="HarvestEff8">LivestockForageBalance!$L$167</definedName>
    <definedName name="HarvestEff9">LivestockForageBalance!$L$168</definedName>
    <definedName name="HAY">HayList!$A$5:$B$53</definedName>
    <definedName name="HayList">HayList!$A$5:$A$53</definedName>
    <definedName name="HayMonth1">Calculations!$K$60</definedName>
    <definedName name="HayMonth10">Calculations!$K$69</definedName>
    <definedName name="HayMonth11">Calculations!$K$70</definedName>
    <definedName name="HayMonth12">Calculations!$K$71</definedName>
    <definedName name="HayMonth13">Calculations!$K$72</definedName>
    <definedName name="HayMonth14">Calculations!$K$73</definedName>
    <definedName name="HayMonth15">Calculations!$K$74</definedName>
    <definedName name="HayMonth16">Calculations!$K$75</definedName>
    <definedName name="HayMonth17">Calculations!$K$76</definedName>
    <definedName name="HayMonth18">Calculations!$K$77</definedName>
    <definedName name="HayMonth19">Calculations!$K$78</definedName>
    <definedName name="HayMonth2">Calculations!$K$61</definedName>
    <definedName name="HayMonth20">Calculations!$K$79</definedName>
    <definedName name="HayMonth21">Calculations!$K$80</definedName>
    <definedName name="HayMonth22">Calculations!$K$81</definedName>
    <definedName name="HayMonth23">Calculations!$K$82</definedName>
    <definedName name="HayMonth24">Calculations!$K$83</definedName>
    <definedName name="HayMonth3">Calculations!$K$62</definedName>
    <definedName name="HayMonth4">Calculations!$K$63</definedName>
    <definedName name="HayMonth5">Calculations!$K$64</definedName>
    <definedName name="HayMonth6">Calculations!$K$65</definedName>
    <definedName name="HayMonth7">Calculations!$K$66</definedName>
    <definedName name="HayMonth8">Calculations!$K$67</definedName>
    <definedName name="HayMonth9">Calculations!$K$68</definedName>
    <definedName name="HayMonthMenu">Calculations!$R$9:$R$20</definedName>
    <definedName name="HayOnly1">LivestockForageBalance!$213:$213</definedName>
    <definedName name="HayOnly10">LivestockForageBalance!$222:$222</definedName>
    <definedName name="HayOnly2">LivestockForageBalance!$214:$214</definedName>
    <definedName name="HayOnly3">LivestockForageBalance!$215:$215</definedName>
    <definedName name="HayOnly4">LivestockForageBalance!$216:$216</definedName>
    <definedName name="HayOnly5">LivestockForageBalance!$217:$217</definedName>
    <definedName name="HayOnly6">LivestockForageBalance!$218:$218</definedName>
    <definedName name="HayOnly7">LivestockForageBalance!$219:$219</definedName>
    <definedName name="HayOnly8">LivestockForageBalance!$220:$220</definedName>
    <definedName name="HayOnly9">LivestockForageBalance!$221:$221</definedName>
    <definedName name="HayOnlyAcres1">LivestockForageBalance!$I$213</definedName>
    <definedName name="HayOnlyAcres10">LivestockForageBalance!$I$222</definedName>
    <definedName name="HayOnlyAcres2">LivestockForageBalance!$I$214</definedName>
    <definedName name="HayOnlyAcres3">LivestockForageBalance!$I$215</definedName>
    <definedName name="HayOnlyAcres4">LivestockForageBalance!$I$216</definedName>
    <definedName name="HayOnlyAcres5">LivestockForageBalance!$I$217</definedName>
    <definedName name="HayOnlyAcres6">LivestockForageBalance!$I$218</definedName>
    <definedName name="HayOnlyAcres7">LivestockForageBalance!$I$219</definedName>
    <definedName name="HayOnlyAcres8">LivestockForageBalance!$I$220</definedName>
    <definedName name="HayOnlyAcres9">LivestockForageBalance!$I$221</definedName>
    <definedName name="HayOnlyEff1">LivestockForageBalance!$M$213</definedName>
    <definedName name="HayOnlyEff10">LivestockForageBalance!$M$222</definedName>
    <definedName name="HayOnlyEff2">LivestockForageBalance!$M$214</definedName>
    <definedName name="HayOnlyEff3">LivestockForageBalance!$M$215</definedName>
    <definedName name="HayOnlyEff4">LivestockForageBalance!$M$216</definedName>
    <definedName name="HayOnlyEff5">LivestockForageBalance!$M$217</definedName>
    <definedName name="HayOnlyEff6">LivestockForageBalance!$M$218</definedName>
    <definedName name="HayOnlyEff7">LivestockForageBalance!$M$219</definedName>
    <definedName name="HayOnlyEff8">LivestockForageBalance!$M$220</definedName>
    <definedName name="HayOnlyEff9">LivestockForageBalance!$M$221</definedName>
    <definedName name="HayOnlyField1">LivestockForageBalance!$G$213</definedName>
    <definedName name="HayOnlyField10">LivestockForageBalance!$G$222</definedName>
    <definedName name="HayOnlyField2">LivestockForageBalance!$G$214</definedName>
    <definedName name="HayOnlyField3">LivestockForageBalance!$G$215</definedName>
    <definedName name="HayOnlyField4">LivestockForageBalance!$G$216</definedName>
    <definedName name="HayOnlyField5">LivestockForageBalance!$G$217</definedName>
    <definedName name="HayOnlyField6">LivestockForageBalance!$G$218</definedName>
    <definedName name="HayOnlyField7">LivestockForageBalance!$G$219</definedName>
    <definedName name="HayOnlyField8">LivestockForageBalance!$G$220</definedName>
    <definedName name="HayOnlyField9">LivestockForageBalance!$G$221</definedName>
    <definedName name="HayOnlyKind1">LivestockForageBalance!$H$213</definedName>
    <definedName name="HayOnlyKind10">LivestockForageBalance!$H$222</definedName>
    <definedName name="HayOnlyKind2">LivestockForageBalance!$H$214</definedName>
    <definedName name="HayOnlyKind3">LivestockForageBalance!$H$215</definedName>
    <definedName name="HayOnlyKind4">LivestockForageBalance!$H$216</definedName>
    <definedName name="HayOnlyKind5">LivestockForageBalance!$H$217</definedName>
    <definedName name="HayOnlyKind6">LivestockForageBalance!$H$218</definedName>
    <definedName name="HayOnlyKind7">LivestockForageBalance!$H$219</definedName>
    <definedName name="HayOnlyKind8">LivestockForageBalance!$H$220</definedName>
    <definedName name="HayOnlyKind9">LivestockForageBalance!$H$221</definedName>
    <definedName name="HayOnlyMonth1">LivestockForageBalance!$K$213</definedName>
    <definedName name="HayOnlyMonth10">LivestockForageBalance!$K$222</definedName>
    <definedName name="HayOnlyMonth2">LivestockForageBalance!$K$214</definedName>
    <definedName name="HayOnlyMonth3">LivestockForageBalance!$K$215</definedName>
    <definedName name="HayOnlyMonth4">LivestockForageBalance!$K$216</definedName>
    <definedName name="HayOnlyMonth5">LivestockForageBalance!$K$217</definedName>
    <definedName name="HayOnlyMonth6">LivestockForageBalance!$K$218</definedName>
    <definedName name="HayOnlyMonth7">LivestockForageBalance!$K$219</definedName>
    <definedName name="HayOnlyMonth8">LivestockForageBalance!$K$220</definedName>
    <definedName name="HayOnlyMonth9">LivestockForageBalance!$K$221</definedName>
    <definedName name="HayOnlyYield1">LivestockForageBalance!$J$213</definedName>
    <definedName name="HayOnlyYield10">LivestockForageBalance!$J$222</definedName>
    <definedName name="HayOnlyYield2">LivestockForageBalance!$J$214</definedName>
    <definedName name="HayOnlyYield3">LivestockForageBalance!$J$215</definedName>
    <definedName name="HayOnlyYield4">LivestockForageBalance!$J$216</definedName>
    <definedName name="HayOnlyYield5">LivestockForageBalance!$J$217</definedName>
    <definedName name="HayOnlyYield6">LivestockForageBalance!$J$218</definedName>
    <definedName name="HayOnlyYield7">LivestockForageBalance!$J$219</definedName>
    <definedName name="HayOnlyYield8">LivestockForageBalance!$J$220</definedName>
    <definedName name="HayOnlyYield9">LivestockForageBalance!$J$221</definedName>
    <definedName name="HayProd">Instructions!$D$137</definedName>
    <definedName name="HayRow1">LivestockForageBalance!$160:$160</definedName>
    <definedName name="HayRow10">LivestockForageBalance!$169:$169</definedName>
    <definedName name="HayRow11">LivestockForageBalance!$170:$170</definedName>
    <definedName name="HayRow12">LivestockForageBalance!$171:$171</definedName>
    <definedName name="HayRow13">LivestockForageBalance!$172:$172</definedName>
    <definedName name="HayRow14">LivestockForageBalance!$173:$173</definedName>
    <definedName name="HayRow15">LivestockForageBalance!$174:$174</definedName>
    <definedName name="HayRow16">LivestockForageBalance!$175:$175</definedName>
    <definedName name="HayRow17">LivestockForageBalance!$176:$176</definedName>
    <definedName name="HayRow18">LivestockForageBalance!$177:$177</definedName>
    <definedName name="HayRow19">LivestockForageBalance!$178:$178</definedName>
    <definedName name="HayRow2">LivestockForageBalance!$161:$161</definedName>
    <definedName name="HayRow20">LivestockForageBalance!$179:$179</definedName>
    <definedName name="HayRow21">LivestockForageBalance!$180:$180</definedName>
    <definedName name="HayRow22">LivestockForageBalance!$181:$181</definedName>
    <definedName name="HayRow23">LivestockForageBalance!$182:$182</definedName>
    <definedName name="HayRow24">LivestockForageBalance!$183:$183</definedName>
    <definedName name="HayRow3">LivestockForageBalance!$162:$162</definedName>
    <definedName name="HayRow4">LivestockForageBalance!$163:$163</definedName>
    <definedName name="HayRow5">LivestockForageBalance!$164:$164</definedName>
    <definedName name="HayRow6">LivestockForageBalance!$165:$165</definedName>
    <definedName name="HayRow7">LivestockForageBalance!$166:$166</definedName>
    <definedName name="HayRow8">LivestockForageBalance!$167:$167</definedName>
    <definedName name="HayRow9">LivestockForageBalance!$168:$168</definedName>
    <definedName name="HayYield1">LivestockForageBalance!$J$160</definedName>
    <definedName name="HayYield10">LivestockForageBalance!$J$169</definedName>
    <definedName name="HayYield11">LivestockForageBalance!$J$170</definedName>
    <definedName name="HayYield12">LivestockForageBalance!$J$171</definedName>
    <definedName name="HayYield13">LivestockForageBalance!$J$172</definedName>
    <definedName name="HayYield14">LivestockForageBalance!$J$173</definedName>
    <definedName name="HayYield15">LivestockForageBalance!$J$174</definedName>
    <definedName name="HayYield2">LivestockForageBalance!$J$161</definedName>
    <definedName name="HayYield3">LivestockForageBalance!$J$162</definedName>
    <definedName name="HayYield4">LivestockForageBalance!$J$163</definedName>
    <definedName name="HayYield5">LivestockForageBalance!$J$164</definedName>
    <definedName name="HayYield6">LivestockForageBalance!$J$165</definedName>
    <definedName name="HayYield7">LivestockForageBalance!$J$166</definedName>
    <definedName name="HayYield8">LivestockForageBalance!$J$167</definedName>
    <definedName name="HayYield9">LivestockForageBalance!$J$168</definedName>
    <definedName name="Horses">LivestockForageBalance!$35:$36</definedName>
    <definedName name="HorsesAltPast">Calculations!$B$100</definedName>
    <definedName name="HorsesCheck">Calculations!$L$52</definedName>
    <definedName name="HorsesDryLot">Calculations!$B$101</definedName>
    <definedName name="HorsesInput">LivestockForageBalance!$I$35:$K$35</definedName>
    <definedName name="HorsesPast">Calculations!$B$99</definedName>
    <definedName name="HorsesSummary">Summary!$19:$19</definedName>
    <definedName name="ID">LivestockForageBalance!$H$7</definedName>
    <definedName name="Introduction">Instructions!$C$35</definedName>
    <definedName name="Kind1">LivestockForageBalance!$H$103</definedName>
    <definedName name="Kind10">LivestockForageBalance!$H$121</definedName>
    <definedName name="Kind11">LivestockForageBalance!$H$123</definedName>
    <definedName name="Kind12">LivestockForageBalance!$H$125</definedName>
    <definedName name="Kind13">LivestockForageBalance!$H$127</definedName>
    <definedName name="Kind14">LivestockForageBalance!$H$129</definedName>
    <definedName name="Kind15">LivestockForageBalance!$H$131</definedName>
    <definedName name="Kind16">LivestockForageBalance!$H$133</definedName>
    <definedName name="Kind17">LivestockForageBalance!$H$135</definedName>
    <definedName name="Kind18">LivestockForageBalance!$H$137</definedName>
    <definedName name="Kind19">LivestockForageBalance!$H$139</definedName>
    <definedName name="Kind2">LivestockForageBalance!$H$105</definedName>
    <definedName name="Kind20">LivestockForageBalance!$H$141</definedName>
    <definedName name="Kind21">LivestockForageBalance!$H$143</definedName>
    <definedName name="Kind22">LivestockForageBalance!$H$145</definedName>
    <definedName name="Kind23">LivestockForageBalance!$H$147</definedName>
    <definedName name="Kind24">LivestockForageBalance!$H$149</definedName>
    <definedName name="Kind3">LivestockForageBalance!$H$107</definedName>
    <definedName name="Kind4">LivestockForageBalance!$H$109</definedName>
    <definedName name="Kind5">LivestockForageBalance!$H$111</definedName>
    <definedName name="Kind6">LivestockForageBalance!$H$113</definedName>
    <definedName name="Kind7">LivestockForageBalance!$H$115</definedName>
    <definedName name="Kind8">LivestockForageBalance!$H$117</definedName>
    <definedName name="Kind9">LivestockForageBalance!$H$119</definedName>
    <definedName name="LactatingDairyAltPast">Calculations!$H$54</definedName>
    <definedName name="LactatingDairyDryLot">Calculations!$I$54</definedName>
    <definedName name="LactatingDairyInput">LivestockForageBalance!$I$29:$K$29</definedName>
    <definedName name="LactatingDairyPast">Calculations!$G$54</definedName>
    <definedName name="Landowner">Instructions!$C$172</definedName>
    <definedName name="LivestockNeeds">Instructions!$D$92</definedName>
    <definedName name="LivestockSheet">Instructions!$C$89</definedName>
    <definedName name="Name">LivestockForageBalance!$H$6</definedName>
    <definedName name="NoAltPast">LivestockForageBalance!$191:$191</definedName>
    <definedName name="Notes">LivestockForageBalance!$T$6</definedName>
    <definedName name="Pasture10">LivestockForageBalance!$121:$122</definedName>
    <definedName name="Pasture11">LivestockForageBalance!$123:$124</definedName>
    <definedName name="Pasture12">LivestockForageBalance!$125:$126</definedName>
    <definedName name="Pasture13">LivestockForageBalance!$127:$128</definedName>
    <definedName name="Pasture14">LivestockForageBalance!$129:$130</definedName>
    <definedName name="Pasture15">LivestockForageBalance!$131:$132</definedName>
    <definedName name="Pasture16">LivestockForageBalance!$133:$134</definedName>
    <definedName name="Pasture17">LivestockForageBalance!$135:$136</definedName>
    <definedName name="Pasture18">LivestockForageBalance!$137:$138</definedName>
    <definedName name="Pasture19">LivestockForageBalance!$139:$140</definedName>
    <definedName name="Pasture2">LivestockForageBalance!$105:$106</definedName>
    <definedName name="Pasture20">LivestockForageBalance!$141:$142</definedName>
    <definedName name="Pasture21">LivestockForageBalance!$143:$144</definedName>
    <definedName name="Pasture22">LivestockForageBalance!$145:$146</definedName>
    <definedName name="Pasture23">LivestockForageBalance!$147:$148</definedName>
    <definedName name="Pasture24">LivestockForageBalance!$149:$150</definedName>
    <definedName name="Pasture3">LivestockForageBalance!$107:$108</definedName>
    <definedName name="Pasture4">LivestockForageBalance!$109:$110</definedName>
    <definedName name="Pasture5">LivestockForageBalance!$111:$112</definedName>
    <definedName name="Pasture6">LivestockForageBalance!$113:$114</definedName>
    <definedName name="Pasture7">LivestockForageBalance!$115:$116</definedName>
    <definedName name="Pasture8">LivestockForageBalance!$117:$118</definedName>
    <definedName name="Pasture9">LivestockForageBalance!$119:$120</definedName>
    <definedName name="PastureEffTable">PastureGrazingEfficiency!$B$9:$C$108</definedName>
    <definedName name="Planner">LivestockForageBalance!$H$10</definedName>
    <definedName name="_xlnm.Print_Area" localSheetId="5">'Explanation sheet for L.O. '!$B$2:$F$31</definedName>
    <definedName name="_xlnm.Print_Area" localSheetId="4">'Field Worksheet'!$B$15:$K$137</definedName>
    <definedName name="_xlnm.Print_Area" localSheetId="3">Instructions!$C$2:$D$173</definedName>
    <definedName name="_xlnm.Print_Area" localSheetId="0">LivestockForageBalance!$G$2:$Z$105</definedName>
    <definedName name="_xlnm.Print_Area" localSheetId="16">PrintableGrazingInventory!$A$1:$M$89</definedName>
    <definedName name="_xlnm.Print_Area" localSheetId="18">PrintableHayInventory!$A$1:$I$50</definedName>
    <definedName name="_xlnm.Print_Area" localSheetId="15">PrintableLivestockInventory!$A$1:$M$53</definedName>
    <definedName name="_xlnm.Print_Area" localSheetId="17">PrintableSummaryBalance!$A$1:$N$44</definedName>
    <definedName name="_xlnm.Print_Area" localSheetId="2">Summary!$B$2:$F$75</definedName>
    <definedName name="_xlnm.Print_Area" localSheetId="1">TimeControlWorksheet!$B$2:$K$58</definedName>
    <definedName name="PrintAlt1">PrintableGrazingInventory!$72:$72</definedName>
    <definedName name="PrintAlt1a">PrintableGrazingInventory!$83:$83</definedName>
    <definedName name="PrintAlt2">PrintableGrazingInventory!$73:$73</definedName>
    <definedName name="PrintAlt2a">PrintableGrazingInventory!$84:$84</definedName>
    <definedName name="PrintAlt3">PrintableGrazingInventory!$74:$74</definedName>
    <definedName name="PrintAlt3a">PrintableGrazingInventory!$85:$85</definedName>
    <definedName name="PrintAlt4">PrintableGrazingInventory!$75:$75</definedName>
    <definedName name="PrintAlt4a">PrintableGrazingInventory!$86:$86</definedName>
    <definedName name="PrintAlt5">PrintableGrazingInventory!$76:$76</definedName>
    <definedName name="PrintAlt5a">PrintableGrazingInventory!$87:$87</definedName>
    <definedName name="PrintAlt6">PrintableGrazingInventory!$77:$77</definedName>
    <definedName name="PrintAlt6a">PrintableGrazingInventory!$88:$88</definedName>
    <definedName name="PrintAltPastAll">PrintableGrazingInventory!$68:$89</definedName>
    <definedName name="PrintAnnualDairya">PrintableLivestockInventory!$18:$19</definedName>
    <definedName name="PrintAnnualDairyb">PrintableLivestockInventory!$35:$36</definedName>
    <definedName name="PrintBullsa">PrintableLivestockInventory!$20:$20</definedName>
    <definedName name="PrintBullsb">PrintableLivestockInventory!$37:$37</definedName>
    <definedName name="PrintCC1a">PrintableLivestockInventory!$10:$10</definedName>
    <definedName name="PrintCC1b">PrintableLivestockInventory!$29:$29</definedName>
    <definedName name="PrintCC2a">PrintableLivestockInventory!$11:$11</definedName>
    <definedName name="PrintCC2b">PrintableLivestockInventory!$30:$30</definedName>
    <definedName name="PrintCC3a">PrintableLivestockInventory!$12:$12</definedName>
    <definedName name="PrintCC3b">PrintableLivestockInventory!$31:$31</definedName>
    <definedName name="PrintForage1">PrintableGrazingInventory!$10:$10</definedName>
    <definedName name="PrintForage10">PrintableGrazingInventory!$19:$19</definedName>
    <definedName name="PrintForage10a">PrintableGrazingInventory!$51:$51</definedName>
    <definedName name="PrintForage11">PrintableGrazingInventory!$20:$20</definedName>
    <definedName name="PrintForage11a">PrintableGrazingInventory!$52:$52</definedName>
    <definedName name="PrintForage12">PrintableGrazingInventory!$21:$21</definedName>
    <definedName name="PrintForage12a">PrintableGrazingInventory!$53:$53</definedName>
    <definedName name="PrintForage13">PrintableGrazingInventory!$22:$22</definedName>
    <definedName name="PrintForage13a">PrintableGrazingInventory!$54:$54</definedName>
    <definedName name="PrintForage14">PrintableGrazingInventory!$23:$23</definedName>
    <definedName name="PrintForage14a">PrintableGrazingInventory!$55:$55</definedName>
    <definedName name="PrintForage15">PrintableGrazingInventory!$24:$24</definedName>
    <definedName name="PrintForage15a">PrintableGrazingInventory!$56:$56</definedName>
    <definedName name="PrintForage16">PrintableGrazingInventory!$25:$25</definedName>
    <definedName name="PrintForage16a">PrintableGrazingInventory!$57:$57</definedName>
    <definedName name="PrintForage17">PrintableGrazingInventory!$26:$26</definedName>
    <definedName name="PrintForage17a">PrintableGrazingInventory!$58:$58</definedName>
    <definedName name="PrintForage18">PrintableGrazingInventory!$27:$27</definedName>
    <definedName name="PrintForage18a">PrintableGrazingInventory!$59:$59</definedName>
    <definedName name="PrintForage19">PrintableGrazingInventory!$28:$28</definedName>
    <definedName name="PrintForage19a">PrintableGrazingInventory!$60:$60</definedName>
    <definedName name="PrintForage1a">PrintableGrazingInventory!$42:$42</definedName>
    <definedName name="PrintForage2">PrintableGrazingInventory!$11:$11</definedName>
    <definedName name="PrintForage20">PrintableGrazingInventory!$29:$29</definedName>
    <definedName name="PrintForage20a">PrintableGrazingInventory!$61:$61</definedName>
    <definedName name="PrintForage21">PrintableGrazingInventory!$30:$30</definedName>
    <definedName name="PrintForage21a">PrintableGrazingInventory!$62:$62</definedName>
    <definedName name="PrintForage22">PrintableGrazingInventory!$31:$31</definedName>
    <definedName name="PrintForage22a">PrintableGrazingInventory!$63:$63</definedName>
    <definedName name="PrintForage23">PrintableGrazingInventory!$32:$32</definedName>
    <definedName name="PrintForage23a">PrintableGrazingInventory!$64:$64</definedName>
    <definedName name="PrintForage24">PrintableGrazingInventory!$33:$33</definedName>
    <definedName name="PrintForage24a">PrintableGrazingInventory!$65:$65</definedName>
    <definedName name="PrintForage2a">PrintableGrazingInventory!$43:$43</definedName>
    <definedName name="PrintForage3">PrintableGrazingInventory!$12:$12</definedName>
    <definedName name="PrintForage3a">PrintableGrazingInventory!$44:$44</definedName>
    <definedName name="PrintForage4">PrintableGrazingInventory!$13:$13</definedName>
    <definedName name="PrintForage4a">PrintableGrazingInventory!$45:$45</definedName>
    <definedName name="PrintForage5">PrintableGrazingInventory!$14:$14</definedName>
    <definedName name="PrintForage5a">PrintableGrazingInventory!$46:$46</definedName>
    <definedName name="PrintForage6">PrintableGrazingInventory!$15:$15</definedName>
    <definedName name="PrintForage6a">PrintableGrazingInventory!$47:$47</definedName>
    <definedName name="PrintForage7">PrintableGrazingInventory!$16:$16</definedName>
    <definedName name="PrintForage7a">PrintableGrazingInventory!$48:$48</definedName>
    <definedName name="PrintForage8">PrintableGrazingInventory!$17:$17</definedName>
    <definedName name="PrintForage8a">PrintableGrazingInventory!$49:$49</definedName>
    <definedName name="PrintForage9">PrintableGrazingInventory!$18:$18</definedName>
    <definedName name="PrintForage9a">PrintableGrazingInventory!$50:$50</definedName>
    <definedName name="PrintGoatsa">PrintableLivestockInventory!$23:$23</definedName>
    <definedName name="PrintGoatsb">PrintableLivestockInventory!$40:$40</definedName>
    <definedName name="PrintHay10a">PrintableHayInventory!$19:$19</definedName>
    <definedName name="PrintHay10b">PrintableHayInventory!$49:$49</definedName>
    <definedName name="PrintHay11a">PrintableHayInventory!$20:$20</definedName>
    <definedName name="PrintHay12a">PrintableHayInventory!$21:$21</definedName>
    <definedName name="PrintHay13a">PrintableHayInventory!$22:$22</definedName>
    <definedName name="PrintHay14a">PrintableHayInventory!$23:$23</definedName>
    <definedName name="PrintHay15a">PrintableHayInventory!$24:$24</definedName>
    <definedName name="PrintHay16a">PrintableHayInventory!$25:$25</definedName>
    <definedName name="PrintHay17a">PrintableHayInventory!$26:$26</definedName>
    <definedName name="PrintHay18a">PrintableHayInventory!$27:$27</definedName>
    <definedName name="PrintHay19a">PrintableHayInventory!$28:$28</definedName>
    <definedName name="PrintHay1a">PrintableHayInventory!$10:$10</definedName>
    <definedName name="PrintHay1b">PrintableHayInventory!$40:$40</definedName>
    <definedName name="PrintHay20a">PrintableHayInventory!$29:$29</definedName>
    <definedName name="PrintHay21a">PrintableHayInventory!$30:$30</definedName>
    <definedName name="PrintHay22a">PrintableHayInventory!$31:$31</definedName>
    <definedName name="PrintHay23a">PrintableHayInventory!$32:$32</definedName>
    <definedName name="PrintHay24a">PrintableHayInventory!$33:$33</definedName>
    <definedName name="PrintHay2a">PrintableHayInventory!$11:$11</definedName>
    <definedName name="PrintHay2b">PrintableHayInventory!$41:$41</definedName>
    <definedName name="PrintHay3a">PrintableHayInventory!$12:$12</definedName>
    <definedName name="PrintHay3b">PrintableHayInventory!$42:$42</definedName>
    <definedName name="PrintHay4a">PrintableHayInventory!$13:$13</definedName>
    <definedName name="PrintHay4b">PrintableHayInventory!$43:$43</definedName>
    <definedName name="PrintHay5a">PrintableHayInventory!$14:$14</definedName>
    <definedName name="PrintHay5b">PrintableHayInventory!$44:$44</definedName>
    <definedName name="PrintHay6a">PrintableHayInventory!$15:$15</definedName>
    <definedName name="PrintHay6b">PrintableHayInventory!$45:$45</definedName>
    <definedName name="PrintHay7a">PrintableHayInventory!$16:$16</definedName>
    <definedName name="PrintHay7b">PrintableHayInventory!$46:$46</definedName>
    <definedName name="PrintHay8a">PrintableHayInventory!$17:$17</definedName>
    <definedName name="PrintHay8b">PrintableHayInventory!$47:$47</definedName>
    <definedName name="PrintHay9a">PrintableHayInventory!$18:$18</definedName>
    <definedName name="PrintHay9b">PrintableHayInventory!$48:$48</definedName>
    <definedName name="PrintHorsesa">PrintableLivestockInventory!$21:$21</definedName>
    <definedName name="PrintHorsesb">PrintableLivestockInventory!$38:$38</definedName>
    <definedName name="Printing">Instructions!$C$77</definedName>
    <definedName name="PrintSeasonalDairya">PrintableLivestockInventory!$15:$17</definedName>
    <definedName name="PrintSeasonalDairyb">PrintableLivestockInventory!$34:$34</definedName>
    <definedName name="PrintSheepa">PrintableLivestockInventory!$22:$22</definedName>
    <definedName name="PrintSheepb">PrintableLivestockInventory!$39:$39</definedName>
    <definedName name="PrintStockers1a">PrintableLivestockInventory!$13:$13</definedName>
    <definedName name="PrintStockers1b">PrintableLivestockInventory!$32:$32</definedName>
    <definedName name="PrintStockers2a">PrintableLivestockInventory!$14:$14</definedName>
    <definedName name="PrintStockers2b">PrintableLivestockInventory!$33:$33</definedName>
    <definedName name="Saving">Instructions!$C$82</definedName>
    <definedName name="SeasonalDairyAltPast">Calculations!$H$45</definedName>
    <definedName name="SeasonalDairyCheck">Calculations!$L$44</definedName>
    <definedName name="SeasonalDairyDryLot">Calculations!$I$45</definedName>
    <definedName name="SeasonalDairyPast">Calculations!$G$45</definedName>
    <definedName name="Sheep">LivestockForageBalance!$37:$38</definedName>
    <definedName name="SheepCheck">Calculations!$L$54</definedName>
    <definedName name="SheepInput">LivestockForageBalance!$I$37:$K$37</definedName>
    <definedName name="SheepSummary">Summary!$21:$21</definedName>
    <definedName name="Stockers1">LivestockForageBalance!$21:$22</definedName>
    <definedName name="Stockers1Check">Calculations!$L$50</definedName>
    <definedName name="Stockers1Input">LivestockForageBalance!$I$21,LivestockForageBalance!$K$21</definedName>
    <definedName name="Stockers2">LivestockForageBalance!$23:$24</definedName>
    <definedName name="Stockers2Check">Calculations!$L$51</definedName>
    <definedName name="Stockers2Input">LivestockForageBalance!$I$23,LivestockForageBalance!$K$23</definedName>
    <definedName name="StockersSummary1">Summary!$14:$14</definedName>
    <definedName name="StockersSummary2">Summary!$15:$15</definedName>
    <definedName name="SumBuyHay">LivestockForageBalance!$N$262</definedName>
    <definedName name="SumCarryoverHay">LivestockForageBalance!$N$258</definedName>
    <definedName name="SumLoss1">LivestockForageBalance!$N$255</definedName>
    <definedName name="SumLoss2">LivestockForageBalance!$N$259</definedName>
    <definedName name="SumLoss3">LivestockForageBalance!$N$263</definedName>
    <definedName name="Summary">Instructions!$D$142</definedName>
    <definedName name="SummaryFeed">Instructions!$D$149</definedName>
    <definedName name="TimeControl">Instructions!$C$157</definedName>
    <definedName name="TimeControl1">TimeControlWorksheet!$18:$18</definedName>
    <definedName name="TimeControl10">TimeControlWorksheet!$27:$27</definedName>
    <definedName name="TimeControl11">TimeControlWorksheet!$28:$28</definedName>
    <definedName name="TimeControl12">TimeControlWorksheet!$29:$29</definedName>
    <definedName name="TimeControl13">TimeControlWorksheet!$30:$30</definedName>
    <definedName name="TimeControl14">TimeControlWorksheet!$31:$31</definedName>
    <definedName name="TimeControl15">TimeControlWorksheet!$32:$32</definedName>
    <definedName name="TimeControl16">TimeControlWorksheet!$33:$33</definedName>
    <definedName name="TimeControl17">TimeControlWorksheet!$34:$34</definedName>
    <definedName name="TimeControl18">TimeControlWorksheet!$35:$35</definedName>
    <definedName name="TimeControl19">TimeControlWorksheet!$36:$36</definedName>
    <definedName name="TimeControl2">TimeControlWorksheet!$19:$19</definedName>
    <definedName name="TimeControl20">TimeControlWorksheet!$37:$37</definedName>
    <definedName name="TimeControl21">TimeControlWorksheet!$38:$38</definedName>
    <definedName name="TimeControl22">TimeControlWorksheet!$39:$39</definedName>
    <definedName name="TimeControl23">TimeControlWorksheet!$40:$40</definedName>
    <definedName name="TimeControl24">TimeControlWorksheet!$41:$41</definedName>
    <definedName name="TimeControl3">TimeControlWorksheet!$20:$20</definedName>
    <definedName name="TimeControl4">TimeControlWorksheet!$21:$21</definedName>
    <definedName name="TimeControl5">TimeControlWorksheet!$22:$22</definedName>
    <definedName name="TimeControl6">TimeControlWorksheet!$23:$23</definedName>
    <definedName name="TimeControl7">TimeControlWorksheet!$24:$24</definedName>
    <definedName name="TimeControl8">TimeControlWorksheet!$25:$25</definedName>
    <definedName name="TimeControl9">TimeControlWorksheet!$26:$26</definedName>
    <definedName name="TotalAcreGrazed">LivestockForageBalance!$I$152</definedName>
    <definedName name="TotalAltDemand">LivestockForageBalance!$91:$94</definedName>
    <definedName name="Yield1">LivestockForageBalance!$J$103</definedName>
    <definedName name="Yield10">LivestockForageBalance!$J$121</definedName>
    <definedName name="Yield11">LivestockForageBalance!$J$123</definedName>
    <definedName name="Yield12">LivestockForageBalance!$J$125</definedName>
    <definedName name="Yield13">LivestockForageBalance!$J$127</definedName>
    <definedName name="Yield14">LivestockForageBalance!$J$129</definedName>
    <definedName name="Yield15">LivestockForageBalance!$J$131</definedName>
    <definedName name="Yield16">LivestockForageBalance!$J$133</definedName>
    <definedName name="Yield17">LivestockForageBalance!$J$135</definedName>
    <definedName name="Yield18">LivestockForageBalance!$J$137</definedName>
    <definedName name="Yield19">LivestockForageBalance!$J$139</definedName>
    <definedName name="Yield2">LivestockForageBalance!$J$105</definedName>
    <definedName name="Yield20">LivestockForageBalance!$J$141</definedName>
    <definedName name="Yield21">LivestockForageBalance!$J$143</definedName>
    <definedName name="Yield22">LivestockForageBalance!$J$145</definedName>
    <definedName name="Yield23">LivestockForageBalance!$J$147</definedName>
    <definedName name="Yield24">LivestockForageBalance!$J$149</definedName>
    <definedName name="Yield3">LivestockForageBalance!$J$107</definedName>
    <definedName name="Yield4">LivestockForageBalance!$J$109</definedName>
    <definedName name="Yield5">LivestockForageBalance!$J$111</definedName>
    <definedName name="Yield6">LivestockForageBalance!$J$113</definedName>
    <definedName name="Yield7">LivestockForageBalance!$J$115</definedName>
    <definedName name="Yield8">LivestockForageBalance!$J$117</definedName>
    <definedName name="Yield9">LivestockForageBalance!$J$119</definedName>
  </definedNames>
  <calcPr calcId="171027"/>
</workbook>
</file>

<file path=xl/calcChain.xml><?xml version="1.0" encoding="utf-8"?>
<calcChain xmlns="http://schemas.openxmlformats.org/spreadsheetml/2006/main">
  <c r="A18" i="20" l="1"/>
  <c r="E45" i="8" l="1"/>
  <c r="C69" i="22" l="1"/>
  <c r="L53" i="22"/>
  <c r="K53" i="22"/>
  <c r="J53" i="22"/>
  <c r="I53" i="22"/>
  <c r="H53" i="22"/>
  <c r="G53" i="22"/>
  <c r="F53" i="22"/>
  <c r="E53" i="22"/>
  <c r="E55" i="22" s="1"/>
  <c r="AG25" i="22" s="1"/>
  <c r="L44" i="22"/>
  <c r="L59" i="22" s="1"/>
  <c r="K44" i="22"/>
  <c r="K59" i="22" s="1"/>
  <c r="J44" i="22"/>
  <c r="J59" i="22" s="1"/>
  <c r="I44" i="22"/>
  <c r="H44" i="22"/>
  <c r="G44" i="22"/>
  <c r="G56" i="22" s="1"/>
  <c r="F44" i="22"/>
  <c r="F59" i="22" s="1"/>
  <c r="E44" i="22"/>
  <c r="L46" i="22" s="1"/>
  <c r="L47" i="22" s="1"/>
  <c r="L51" i="22" s="1"/>
  <c r="L55" i="22" s="1"/>
  <c r="L43" i="22"/>
  <c r="AN21" i="22" s="1"/>
  <c r="K43" i="22"/>
  <c r="AM21" i="22" s="1"/>
  <c r="J43" i="22"/>
  <c r="AL21" i="22" s="1"/>
  <c r="I43" i="22"/>
  <c r="AK21" i="22" s="1"/>
  <c r="H43" i="22"/>
  <c r="AJ21" i="22" s="1"/>
  <c r="G43" i="22"/>
  <c r="F43" i="22"/>
  <c r="AH21" i="22" s="1"/>
  <c r="E43" i="22"/>
  <c r="AG21" i="22" s="1"/>
  <c r="AF25" i="22"/>
  <c r="AI21" i="22"/>
  <c r="J56" i="22" l="1"/>
  <c r="G59" i="22"/>
  <c r="I46" i="22"/>
  <c r="I47" i="22" s="1"/>
  <c r="K56" i="22"/>
  <c r="J46" i="22"/>
  <c r="J47" i="22" s="1"/>
  <c r="J48" i="22" s="1"/>
  <c r="F56" i="22"/>
  <c r="L56" i="22"/>
  <c r="K46" i="22"/>
  <c r="K47" i="22" s="1"/>
  <c r="K48" i="22" s="1"/>
  <c r="H46" i="22"/>
  <c r="H47" i="22" s="1"/>
  <c r="H52" i="22" s="1"/>
  <c r="L63" i="22"/>
  <c r="L57" i="22"/>
  <c r="H59" i="22"/>
  <c r="H56" i="22"/>
  <c r="E63" i="22"/>
  <c r="I59" i="22"/>
  <c r="I56" i="22"/>
  <c r="AF23" i="22"/>
  <c r="AN23" i="22" s="1"/>
  <c r="AF22" i="22"/>
  <c r="AF28" i="22"/>
  <c r="AF27" i="22"/>
  <c r="J51" i="22"/>
  <c r="J55" i="22" s="1"/>
  <c r="AL25" i="22" s="1"/>
  <c r="AN25" i="22"/>
  <c r="I54" i="22"/>
  <c r="I55" i="22" s="1"/>
  <c r="AK25" i="22" s="1"/>
  <c r="AF24" i="22"/>
  <c r="AF26" i="22"/>
  <c r="E46" i="22"/>
  <c r="E47" i="22" s="1"/>
  <c r="F46" i="22"/>
  <c r="F47" i="22" s="1"/>
  <c r="AG22" i="22"/>
  <c r="G46" i="22"/>
  <c r="E56" i="22"/>
  <c r="E57" i="22" s="1"/>
  <c r="E61" i="22" s="1"/>
  <c r="E59" i="22"/>
  <c r="H54" i="22" l="1"/>
  <c r="K51" i="22"/>
  <c r="K55" i="22" s="1"/>
  <c r="AM23" i="22" s="1"/>
  <c r="H49" i="22"/>
  <c r="H55" i="22"/>
  <c r="H63" i="22" s="1"/>
  <c r="AL24" i="22"/>
  <c r="AK26" i="22"/>
  <c r="E60" i="22"/>
  <c r="AG27" i="22"/>
  <c r="AN27" i="22"/>
  <c r="AL27" i="22"/>
  <c r="G47" i="22"/>
  <c r="G54" i="22" s="1"/>
  <c r="L60" i="22"/>
  <c r="L61" i="22"/>
  <c r="F49" i="22"/>
  <c r="F52" i="22"/>
  <c r="F55" i="22" s="1"/>
  <c r="AH23" i="22" s="1"/>
  <c r="AN24" i="22"/>
  <c r="AG24" i="22"/>
  <c r="AK23" i="22"/>
  <c r="H60" i="22"/>
  <c r="AG23" i="22"/>
  <c r="AK24" i="22"/>
  <c r="AN22" i="22"/>
  <c r="AL22" i="22"/>
  <c r="J57" i="22"/>
  <c r="J63" i="22"/>
  <c r="AL23" i="22"/>
  <c r="AK27" i="22"/>
  <c r="I63" i="22"/>
  <c r="I57" i="22"/>
  <c r="I61" i="22" s="1"/>
  <c r="AK28" i="22"/>
  <c r="AG26" i="22"/>
  <c r="AN26" i="22"/>
  <c r="AL26" i="22"/>
  <c r="AG28" i="22"/>
  <c r="AN28" i="22"/>
  <c r="AL28" i="22"/>
  <c r="AK22" i="22"/>
  <c r="L149" i="1"/>
  <c r="L147" i="1"/>
  <c r="L145" i="1"/>
  <c r="L143" i="1"/>
  <c r="L141" i="1"/>
  <c r="L139" i="1"/>
  <c r="L137" i="1"/>
  <c r="L135" i="1"/>
  <c r="L133" i="1"/>
  <c r="L131" i="1"/>
  <c r="L129" i="1"/>
  <c r="L127" i="1"/>
  <c r="L125" i="1"/>
  <c r="L123" i="1"/>
  <c r="L121" i="1"/>
  <c r="L119" i="1"/>
  <c r="L117" i="1"/>
  <c r="L115" i="1"/>
  <c r="L113" i="1"/>
  <c r="L111" i="1"/>
  <c r="L109" i="1"/>
  <c r="L107" i="1"/>
  <c r="AM26" i="22" l="1"/>
  <c r="AM28" i="22"/>
  <c r="K57" i="22"/>
  <c r="K61" i="22" s="1"/>
  <c r="AH26" i="22"/>
  <c r="K63" i="22"/>
  <c r="AM25" i="22"/>
  <c r="AM22" i="22"/>
  <c r="AJ26" i="22"/>
  <c r="AJ27" i="22"/>
  <c r="AJ25" i="22"/>
  <c r="H57" i="22"/>
  <c r="H61" i="22" s="1"/>
  <c r="AJ28" i="22"/>
  <c r="AJ23" i="22"/>
  <c r="AJ22" i="22"/>
  <c r="AJ24" i="22"/>
  <c r="AM27" i="22"/>
  <c r="AM24" i="22"/>
  <c r="AH22" i="22"/>
  <c r="AH28" i="22"/>
  <c r="K60" i="22"/>
  <c r="AH27" i="22"/>
  <c r="AH24" i="22"/>
  <c r="G52" i="22"/>
  <c r="G55" i="22" s="1"/>
  <c r="G49" i="22"/>
  <c r="J61" i="22"/>
  <c r="J60" i="22"/>
  <c r="I60" i="22"/>
  <c r="F63" i="22"/>
  <c r="F57" i="22"/>
  <c r="AH25" i="22"/>
  <c r="A2" i="20"/>
  <c r="K34" i="1"/>
  <c r="J34" i="1"/>
  <c r="K16" i="1"/>
  <c r="G63" i="22" l="1"/>
  <c r="G57" i="22"/>
  <c r="AI25" i="22"/>
  <c r="AI24" i="22"/>
  <c r="AI23" i="22"/>
  <c r="AI27" i="22"/>
  <c r="AI28" i="22"/>
  <c r="AI22" i="22"/>
  <c r="AI26" i="22"/>
  <c r="F61" i="22"/>
  <c r="F60" i="22"/>
  <c r="J16" i="1"/>
  <c r="G61" i="22" l="1"/>
  <c r="G60" i="22"/>
  <c r="B120" i="12"/>
  <c r="B119" i="12"/>
  <c r="L26" i="1"/>
  <c r="N25" i="1" s="1"/>
  <c r="L27" i="1"/>
  <c r="N34" i="1" l="1"/>
  <c r="M34" i="1"/>
  <c r="H20" i="1" l="1"/>
  <c r="H18" i="1"/>
  <c r="A3" i="21" l="1"/>
  <c r="A3" i="20"/>
  <c r="A3" i="19"/>
  <c r="A3" i="18"/>
  <c r="L222" i="1" l="1"/>
  <c r="L221" i="1"/>
  <c r="L220" i="1"/>
  <c r="L219" i="1"/>
  <c r="L218" i="1"/>
  <c r="L217" i="1"/>
  <c r="L216" i="1"/>
  <c r="L215" i="1"/>
  <c r="L214" i="1"/>
  <c r="L213" i="1"/>
  <c r="N213" i="1" s="1"/>
  <c r="E2" i="18" l="1"/>
  <c r="J150" i="1"/>
  <c r="I150" i="1"/>
  <c r="J148" i="1"/>
  <c r="I148" i="1"/>
  <c r="J146" i="1"/>
  <c r="I146" i="1"/>
  <c r="J144" i="1"/>
  <c r="I144" i="1"/>
  <c r="J142" i="1"/>
  <c r="I142" i="1"/>
  <c r="J140" i="1"/>
  <c r="I140" i="1"/>
  <c r="J138" i="1"/>
  <c r="I138" i="1"/>
  <c r="J136" i="1"/>
  <c r="I136" i="1"/>
  <c r="J134" i="1"/>
  <c r="I134" i="1"/>
  <c r="J132" i="1"/>
  <c r="I132" i="1"/>
  <c r="J130" i="1"/>
  <c r="I130" i="1"/>
  <c r="J128" i="1"/>
  <c r="I128" i="1"/>
  <c r="J126" i="1"/>
  <c r="I126" i="1"/>
  <c r="J124" i="1"/>
  <c r="I124" i="1"/>
  <c r="J122" i="1"/>
  <c r="I122" i="1"/>
  <c r="J120" i="1"/>
  <c r="I120" i="1"/>
  <c r="J118" i="1"/>
  <c r="I118" i="1"/>
  <c r="J116" i="1"/>
  <c r="I116" i="1"/>
  <c r="J114" i="1"/>
  <c r="I114" i="1"/>
  <c r="J112" i="1"/>
  <c r="I112" i="1"/>
  <c r="J110" i="1"/>
  <c r="I110" i="1"/>
  <c r="J108" i="1"/>
  <c r="I108" i="1"/>
  <c r="J106" i="1"/>
  <c r="I106" i="1"/>
  <c r="J104" i="1"/>
  <c r="I104" i="1"/>
  <c r="F192" i="1" l="1"/>
  <c r="F191" i="1"/>
  <c r="B4" i="11"/>
  <c r="B3" i="11"/>
  <c r="A44" i="21"/>
  <c r="G49" i="21"/>
  <c r="G48" i="21"/>
  <c r="G47" i="21"/>
  <c r="G46" i="21"/>
  <c r="G45" i="21"/>
  <c r="G44" i="21"/>
  <c r="G43" i="21"/>
  <c r="G42" i="21"/>
  <c r="G41" i="21"/>
  <c r="G40" i="21"/>
  <c r="E49" i="21"/>
  <c r="E48" i="21"/>
  <c r="E47" i="21"/>
  <c r="E46" i="21"/>
  <c r="E45" i="21"/>
  <c r="E44" i="21"/>
  <c r="E43" i="21"/>
  <c r="E42" i="21"/>
  <c r="E41" i="21"/>
  <c r="E40" i="21"/>
  <c r="D49" i="21"/>
  <c r="D48" i="21"/>
  <c r="D47" i="21"/>
  <c r="D46" i="21"/>
  <c r="D45" i="21"/>
  <c r="D44" i="21"/>
  <c r="D43" i="21"/>
  <c r="D42" i="21"/>
  <c r="D41" i="21"/>
  <c r="D40" i="21"/>
  <c r="C49" i="21"/>
  <c r="C48" i="21"/>
  <c r="C47" i="21"/>
  <c r="C46" i="21"/>
  <c r="C45" i="21"/>
  <c r="C44" i="21"/>
  <c r="C43" i="21"/>
  <c r="C42" i="21"/>
  <c r="C41" i="21"/>
  <c r="C40" i="21"/>
  <c r="B49" i="21"/>
  <c r="B48" i="21"/>
  <c r="B47" i="21"/>
  <c r="B46" i="21"/>
  <c r="B45" i="21"/>
  <c r="B44" i="21"/>
  <c r="B43" i="21"/>
  <c r="B42" i="21"/>
  <c r="B41" i="21"/>
  <c r="B40" i="21"/>
  <c r="A49" i="21"/>
  <c r="A48" i="21"/>
  <c r="A47" i="21"/>
  <c r="A46" i="21"/>
  <c r="A45" i="21"/>
  <c r="A43" i="21"/>
  <c r="A42" i="21"/>
  <c r="A41" i="21"/>
  <c r="A40" i="21"/>
  <c r="E33" i="21"/>
  <c r="E31" i="21"/>
  <c r="E30" i="21"/>
  <c r="E29" i="21"/>
  <c r="E28" i="21"/>
  <c r="E25" i="21"/>
  <c r="E24" i="21"/>
  <c r="E23" i="21"/>
  <c r="E22" i="21"/>
  <c r="E21" i="21"/>
  <c r="E20" i="21"/>
  <c r="E19" i="21"/>
  <c r="E18" i="21"/>
  <c r="E17" i="21"/>
  <c r="E16" i="21"/>
  <c r="E15" i="21"/>
  <c r="G33" i="21"/>
  <c r="G32" i="21"/>
  <c r="G31" i="21"/>
  <c r="G30" i="21"/>
  <c r="G29" i="21"/>
  <c r="G28" i="21"/>
  <c r="G27" i="21"/>
  <c r="G26" i="21"/>
  <c r="G25" i="21"/>
  <c r="G24" i="21"/>
  <c r="G23" i="21"/>
  <c r="G22" i="21"/>
  <c r="G21" i="21"/>
  <c r="G20" i="21"/>
  <c r="G19" i="21"/>
  <c r="G18" i="21"/>
  <c r="G17" i="21"/>
  <c r="G16" i="21"/>
  <c r="G15" i="21"/>
  <c r="G14" i="21"/>
  <c r="G13" i="21"/>
  <c r="G12" i="21"/>
  <c r="G11" i="21"/>
  <c r="G10" i="21"/>
  <c r="D33" i="21"/>
  <c r="D32" i="21"/>
  <c r="D31" i="21"/>
  <c r="D30" i="21"/>
  <c r="D29" i="21"/>
  <c r="D28" i="21"/>
  <c r="D27" i="21"/>
  <c r="D26" i="21"/>
  <c r="D25" i="21"/>
  <c r="D24" i="21"/>
  <c r="D22" i="21"/>
  <c r="D21" i="21"/>
  <c r="D20" i="21"/>
  <c r="D19" i="21"/>
  <c r="D18" i="21"/>
  <c r="D17" i="21"/>
  <c r="C33" i="21"/>
  <c r="C32" i="21"/>
  <c r="C31" i="21"/>
  <c r="C30" i="21"/>
  <c r="C29" i="21"/>
  <c r="C28" i="21"/>
  <c r="C27" i="21"/>
  <c r="C26" i="21"/>
  <c r="C25" i="21"/>
  <c r="C24" i="21"/>
  <c r="C23" i="21"/>
  <c r="C22" i="21"/>
  <c r="C21" i="21"/>
  <c r="C20" i="21"/>
  <c r="C19" i="21"/>
  <c r="C18" i="21"/>
  <c r="C17" i="21"/>
  <c r="C16" i="21"/>
  <c r="C15" i="21"/>
  <c r="C14" i="21"/>
  <c r="C13" i="21"/>
  <c r="C12" i="21"/>
  <c r="C11" i="21"/>
  <c r="C10" i="21"/>
  <c r="B33" i="21"/>
  <c r="B32" i="21"/>
  <c r="B31" i="21"/>
  <c r="B30" i="21"/>
  <c r="B29" i="21"/>
  <c r="B28" i="21"/>
  <c r="B27" i="21"/>
  <c r="B26" i="21"/>
  <c r="B25" i="21"/>
  <c r="B24" i="21"/>
  <c r="B23" i="21"/>
  <c r="B22" i="21"/>
  <c r="B21" i="21"/>
  <c r="B20" i="21"/>
  <c r="B19" i="21"/>
  <c r="B18" i="21"/>
  <c r="B17" i="21"/>
  <c r="B16" i="21"/>
  <c r="B15" i="21"/>
  <c r="B14" i="21"/>
  <c r="B13" i="21"/>
  <c r="B12" i="21"/>
  <c r="B11" i="21"/>
  <c r="B10" i="21"/>
  <c r="A33" i="21"/>
  <c r="A32" i="21"/>
  <c r="A31" i="21"/>
  <c r="A30" i="21"/>
  <c r="A29" i="21"/>
  <c r="A28" i="21"/>
  <c r="A27" i="21"/>
  <c r="A26" i="21"/>
  <c r="A25" i="21"/>
  <c r="A24" i="21"/>
  <c r="A23" i="21"/>
  <c r="A22" i="21"/>
  <c r="A21" i="21"/>
  <c r="A20" i="21"/>
  <c r="A19" i="21"/>
  <c r="A18" i="21"/>
  <c r="A17" i="21"/>
  <c r="A16" i="21"/>
  <c r="A15" i="21"/>
  <c r="A14" i="21"/>
  <c r="A13" i="21"/>
  <c r="A12" i="21"/>
  <c r="A11" i="21"/>
  <c r="A10" i="21"/>
  <c r="A4" i="21"/>
  <c r="A2" i="21"/>
  <c r="G39" i="20"/>
  <c r="G35" i="20"/>
  <c r="G31" i="20"/>
  <c r="C34" i="21" l="1"/>
  <c r="C50" i="21"/>
  <c r="G38" i="20"/>
  <c r="G34" i="20"/>
  <c r="N20" i="20"/>
  <c r="M20" i="20"/>
  <c r="L20" i="20"/>
  <c r="K20" i="20"/>
  <c r="J20" i="20"/>
  <c r="I20" i="20"/>
  <c r="H20" i="20"/>
  <c r="G20" i="20"/>
  <c r="F20" i="20"/>
  <c r="E20" i="20"/>
  <c r="D20" i="20"/>
  <c r="C20" i="20"/>
  <c r="B20" i="20"/>
  <c r="A4" i="20"/>
  <c r="K131" i="1" l="1"/>
  <c r="K129" i="1"/>
  <c r="K127" i="1"/>
  <c r="K125" i="1"/>
  <c r="K123" i="1"/>
  <c r="K121" i="1"/>
  <c r="K119" i="1"/>
  <c r="H77" i="19"/>
  <c r="H76" i="19"/>
  <c r="H75" i="19"/>
  <c r="H74" i="19"/>
  <c r="H73" i="19"/>
  <c r="H72" i="19"/>
  <c r="F77" i="19"/>
  <c r="F76" i="19"/>
  <c r="F75" i="19"/>
  <c r="F74" i="19"/>
  <c r="F73" i="19"/>
  <c r="F72" i="19"/>
  <c r="E77" i="19"/>
  <c r="E76" i="19"/>
  <c r="E75" i="19"/>
  <c r="E74" i="19"/>
  <c r="E73" i="19"/>
  <c r="E72" i="19"/>
  <c r="B77" i="19"/>
  <c r="B76" i="19"/>
  <c r="B75" i="19"/>
  <c r="B74" i="19"/>
  <c r="B73" i="19"/>
  <c r="B72" i="19"/>
  <c r="A77" i="19"/>
  <c r="A76" i="19"/>
  <c r="A75" i="19"/>
  <c r="A74" i="19"/>
  <c r="A73" i="19"/>
  <c r="A72" i="19"/>
  <c r="A88" i="19"/>
  <c r="A87" i="19"/>
  <c r="A86" i="19"/>
  <c r="A85" i="19"/>
  <c r="A84" i="19"/>
  <c r="A83" i="19"/>
  <c r="R193" i="1"/>
  <c r="Q193" i="1"/>
  <c r="P193" i="1"/>
  <c r="O193" i="1"/>
  <c r="N193" i="1"/>
  <c r="M193" i="1"/>
  <c r="L193" i="1"/>
  <c r="A4" i="19"/>
  <c r="E78" i="19" l="1"/>
  <c r="F78" i="19"/>
  <c r="D18" i="18"/>
  <c r="D16" i="18"/>
  <c r="A17" i="18"/>
  <c r="A16" i="18"/>
  <c r="A4" i="18"/>
  <c r="A65" i="19" l="1"/>
  <c r="A64" i="19"/>
  <c r="A63" i="19"/>
  <c r="A62" i="19"/>
  <c r="A61" i="19"/>
  <c r="A60" i="19"/>
  <c r="A59" i="19"/>
  <c r="A58" i="19"/>
  <c r="A57" i="19"/>
  <c r="A56" i="19"/>
  <c r="A55" i="19"/>
  <c r="A54" i="19"/>
  <c r="A53" i="19"/>
  <c r="A52" i="19"/>
  <c r="A51" i="19"/>
  <c r="A50" i="19"/>
  <c r="A49" i="19"/>
  <c r="A48" i="19"/>
  <c r="A47" i="19"/>
  <c r="A46" i="19"/>
  <c r="A45" i="19"/>
  <c r="A44" i="19"/>
  <c r="A43" i="19"/>
  <c r="A42" i="19"/>
  <c r="J33" i="19"/>
  <c r="K33" i="19" s="1"/>
  <c r="J32" i="19"/>
  <c r="J31" i="19"/>
  <c r="K31" i="19" s="1"/>
  <c r="J30" i="19"/>
  <c r="K30" i="19" s="1"/>
  <c r="J29" i="19"/>
  <c r="K29" i="19" s="1"/>
  <c r="J28" i="19"/>
  <c r="K28" i="19" s="1"/>
  <c r="J27" i="19"/>
  <c r="J26" i="19"/>
  <c r="J25" i="19"/>
  <c r="K25" i="19" s="1"/>
  <c r="J24" i="19"/>
  <c r="K24" i="19" s="1"/>
  <c r="J23" i="19"/>
  <c r="K23" i="19" s="1"/>
  <c r="J22" i="19"/>
  <c r="K22" i="19" s="1"/>
  <c r="J21" i="19"/>
  <c r="K21" i="19" s="1"/>
  <c r="J20" i="19"/>
  <c r="K20" i="19" s="1"/>
  <c r="J19" i="19"/>
  <c r="K19" i="19" s="1"/>
  <c r="J18" i="19"/>
  <c r="K18" i="19" s="1"/>
  <c r="J17" i="19"/>
  <c r="K17" i="19" s="1"/>
  <c r="J16" i="19"/>
  <c r="J15" i="19"/>
  <c r="J14" i="19"/>
  <c r="J13" i="19"/>
  <c r="J12" i="19"/>
  <c r="J11" i="19"/>
  <c r="J10" i="19"/>
  <c r="F33" i="19"/>
  <c r="F32" i="19"/>
  <c r="F31" i="19"/>
  <c r="F30" i="19"/>
  <c r="F29" i="19"/>
  <c r="F28" i="19"/>
  <c r="F27" i="19"/>
  <c r="F26" i="19"/>
  <c r="F25" i="19"/>
  <c r="F24" i="19"/>
  <c r="F23" i="19"/>
  <c r="F22" i="19"/>
  <c r="F21" i="19"/>
  <c r="F20" i="19"/>
  <c r="F19" i="19"/>
  <c r="F18" i="19"/>
  <c r="F17" i="19"/>
  <c r="F16" i="19"/>
  <c r="F15" i="19"/>
  <c r="F14" i="19"/>
  <c r="F13" i="19"/>
  <c r="F12" i="19"/>
  <c r="F11" i="19"/>
  <c r="F10" i="19"/>
  <c r="E33" i="19"/>
  <c r="E32" i="19"/>
  <c r="E31" i="19"/>
  <c r="E30" i="19"/>
  <c r="E29" i="19"/>
  <c r="E28" i="19"/>
  <c r="E27" i="19"/>
  <c r="E26" i="19"/>
  <c r="E25" i="19"/>
  <c r="E24" i="19"/>
  <c r="E23" i="19"/>
  <c r="E22" i="19"/>
  <c r="E21" i="19"/>
  <c r="E20" i="19"/>
  <c r="E19" i="19"/>
  <c r="E18" i="19"/>
  <c r="E17" i="19"/>
  <c r="E16" i="19"/>
  <c r="E15" i="19"/>
  <c r="E14" i="19"/>
  <c r="E13" i="19"/>
  <c r="E12" i="19"/>
  <c r="E11" i="19"/>
  <c r="E10" i="19"/>
  <c r="B33" i="19"/>
  <c r="B32" i="19"/>
  <c r="B31" i="19"/>
  <c r="B30" i="19"/>
  <c r="B29" i="19"/>
  <c r="B28" i="19"/>
  <c r="B27" i="19"/>
  <c r="B26" i="19"/>
  <c r="B25" i="19"/>
  <c r="B24" i="19"/>
  <c r="B23" i="19"/>
  <c r="B22" i="19"/>
  <c r="B21" i="19"/>
  <c r="B20" i="19"/>
  <c r="B19" i="19"/>
  <c r="B18" i="19"/>
  <c r="B17" i="19"/>
  <c r="B16" i="19"/>
  <c r="B15" i="19"/>
  <c r="B14" i="19"/>
  <c r="B13" i="19"/>
  <c r="B12" i="19"/>
  <c r="B11" i="19"/>
  <c r="B10" i="19"/>
  <c r="K36" i="1"/>
  <c r="J21" i="18" s="1"/>
  <c r="J36" i="1"/>
  <c r="I21" i="18" s="1"/>
  <c r="L20" i="18"/>
  <c r="K20" i="18"/>
  <c r="L34" i="1"/>
  <c r="J20" i="18"/>
  <c r="I20" i="18"/>
  <c r="K30" i="1"/>
  <c r="J18" i="18" s="1"/>
  <c r="J30" i="1"/>
  <c r="I18" i="18" s="1"/>
  <c r="K28" i="1"/>
  <c r="J15" i="18" s="1"/>
  <c r="J28" i="1"/>
  <c r="I15" i="18" s="1"/>
  <c r="K20" i="1"/>
  <c r="J12" i="18" s="1"/>
  <c r="J20" i="1"/>
  <c r="I12" i="18" s="1"/>
  <c r="K18" i="1"/>
  <c r="J11" i="18" s="1"/>
  <c r="J18" i="1"/>
  <c r="I11" i="18" s="1"/>
  <c r="I10" i="18"/>
  <c r="J10" i="18"/>
  <c r="A33" i="19"/>
  <c r="A32" i="19"/>
  <c r="A31" i="19"/>
  <c r="A30" i="19"/>
  <c r="A29" i="19"/>
  <c r="A28" i="19"/>
  <c r="A27" i="19"/>
  <c r="A26" i="19"/>
  <c r="A25" i="19"/>
  <c r="A24" i="19"/>
  <c r="A23" i="19"/>
  <c r="A22" i="19"/>
  <c r="A21" i="19"/>
  <c r="A20" i="19"/>
  <c r="A19" i="19"/>
  <c r="A18" i="19"/>
  <c r="A17" i="19"/>
  <c r="A16" i="19"/>
  <c r="A15" i="19"/>
  <c r="A14" i="19"/>
  <c r="A13" i="19"/>
  <c r="A12" i="19"/>
  <c r="A11" i="19"/>
  <c r="A10" i="19"/>
  <c r="A2" i="19"/>
  <c r="G21" i="18"/>
  <c r="G20" i="18"/>
  <c r="G19" i="18"/>
  <c r="G18" i="18"/>
  <c r="G15" i="18"/>
  <c r="G12" i="18"/>
  <c r="G11" i="18"/>
  <c r="D23" i="18"/>
  <c r="C23" i="18"/>
  <c r="B23" i="18"/>
  <c r="D22" i="18"/>
  <c r="C22" i="18"/>
  <c r="B22" i="18"/>
  <c r="D21" i="18"/>
  <c r="C21" i="18"/>
  <c r="B21" i="18"/>
  <c r="D20" i="18"/>
  <c r="C20" i="18"/>
  <c r="B20" i="18"/>
  <c r="D19" i="18"/>
  <c r="C19" i="18"/>
  <c r="B19" i="18"/>
  <c r="C18" i="18"/>
  <c r="B18" i="18"/>
  <c r="D17" i="18"/>
  <c r="C15" i="18"/>
  <c r="B15" i="18"/>
  <c r="D14" i="18"/>
  <c r="B14" i="18"/>
  <c r="D13" i="18"/>
  <c r="B13" i="18"/>
  <c r="D12" i="18"/>
  <c r="C12" i="18"/>
  <c r="B12" i="18"/>
  <c r="D11" i="18"/>
  <c r="C11" i="18"/>
  <c r="B11" i="18"/>
  <c r="G10" i="18"/>
  <c r="D10" i="18"/>
  <c r="C10" i="18"/>
  <c r="B10" i="18"/>
  <c r="A23" i="18"/>
  <c r="A40" i="18" s="1"/>
  <c r="A22" i="18"/>
  <c r="A39" i="18" s="1"/>
  <c r="A21" i="18"/>
  <c r="A38" i="18" s="1"/>
  <c r="A20" i="18"/>
  <c r="A37" i="18" s="1"/>
  <c r="A19" i="18"/>
  <c r="A36" i="18" s="1"/>
  <c r="A18" i="18"/>
  <c r="A35" i="18" s="1"/>
  <c r="A15" i="18"/>
  <c r="A34" i="18" s="1"/>
  <c r="A14" i="18"/>
  <c r="A33" i="18" s="1"/>
  <c r="A13" i="18"/>
  <c r="A32" i="18" s="1"/>
  <c r="A12" i="18"/>
  <c r="A31" i="18" s="1"/>
  <c r="A11" i="18"/>
  <c r="A30" i="18" s="1"/>
  <c r="A10" i="18"/>
  <c r="A29" i="18" s="1"/>
  <c r="A2" i="18"/>
  <c r="F35" i="19" l="1"/>
  <c r="E35" i="19"/>
  <c r="E34" i="19"/>
  <c r="H34" i="1"/>
  <c r="H32" i="1"/>
  <c r="H36" i="1"/>
  <c r="H30" i="1"/>
  <c r="H28" i="1"/>
  <c r="H16" i="1"/>
  <c r="J174" i="1" l="1"/>
  <c r="D41" i="5"/>
  <c r="D40" i="5"/>
  <c r="D39" i="5"/>
  <c r="D38" i="5"/>
  <c r="D37" i="5"/>
  <c r="D36" i="5"/>
  <c r="D35" i="5"/>
  <c r="D34" i="5"/>
  <c r="D33" i="5"/>
  <c r="D32" i="5"/>
  <c r="D31" i="5"/>
  <c r="D30" i="5"/>
  <c r="D29" i="5"/>
  <c r="D28" i="5"/>
  <c r="D27" i="5"/>
  <c r="D26" i="5"/>
  <c r="D25" i="5"/>
  <c r="D24" i="5"/>
  <c r="D23" i="5"/>
  <c r="D22" i="5"/>
  <c r="D21" i="5"/>
  <c r="D20" i="5"/>
  <c r="D19" i="5"/>
  <c r="D18" i="5"/>
  <c r="C41" i="5"/>
  <c r="K41" i="5" s="1"/>
  <c r="C40" i="5"/>
  <c r="K40" i="5" s="1"/>
  <c r="C39" i="5"/>
  <c r="K39" i="5" s="1"/>
  <c r="C38" i="5"/>
  <c r="K38" i="5" s="1"/>
  <c r="C37" i="5"/>
  <c r="K37" i="5" s="1"/>
  <c r="C36" i="5"/>
  <c r="K36" i="5" s="1"/>
  <c r="C35" i="5"/>
  <c r="K35" i="5" s="1"/>
  <c r="C34" i="5"/>
  <c r="K34" i="5" s="1"/>
  <c r="C33" i="5"/>
  <c r="K33" i="5" s="1"/>
  <c r="C32" i="5"/>
  <c r="K32" i="5" s="1"/>
  <c r="C31" i="5"/>
  <c r="K31" i="5" s="1"/>
  <c r="C30" i="5"/>
  <c r="K30" i="5" s="1"/>
  <c r="C29" i="5"/>
  <c r="K29" i="5" s="1"/>
  <c r="C28" i="5"/>
  <c r="K28" i="5" s="1"/>
  <c r="C27" i="5"/>
  <c r="K27" i="5" s="1"/>
  <c r="C26" i="5"/>
  <c r="K26" i="5" s="1"/>
  <c r="C25" i="5"/>
  <c r="K25" i="5" s="1"/>
  <c r="C24" i="5"/>
  <c r="K24" i="5" s="1"/>
  <c r="C23" i="5"/>
  <c r="K23" i="5" s="1"/>
  <c r="C22" i="5"/>
  <c r="K22" i="5" s="1"/>
  <c r="C21" i="5"/>
  <c r="K21" i="5" s="1"/>
  <c r="C20" i="5"/>
  <c r="K20" i="5" s="1"/>
  <c r="C19" i="5"/>
  <c r="K19" i="5" s="1"/>
  <c r="C18" i="5"/>
  <c r="K18" i="5" s="1"/>
  <c r="B41" i="5"/>
  <c r="B40" i="5"/>
  <c r="B39" i="5"/>
  <c r="B38" i="5"/>
  <c r="B37" i="5"/>
  <c r="B36" i="5"/>
  <c r="B35" i="5"/>
  <c r="B34" i="5"/>
  <c r="B33" i="5"/>
  <c r="B32" i="5"/>
  <c r="B31" i="5"/>
  <c r="B30" i="5"/>
  <c r="B29" i="5"/>
  <c r="B28" i="5"/>
  <c r="B27" i="5"/>
  <c r="B26" i="5"/>
  <c r="B25" i="5"/>
  <c r="B24" i="5"/>
  <c r="B23" i="5"/>
  <c r="B22" i="5"/>
  <c r="B21" i="5"/>
  <c r="B20" i="5"/>
  <c r="B19" i="5"/>
  <c r="B18" i="5"/>
  <c r="I152" i="1"/>
  <c r="J183" i="1"/>
  <c r="J182" i="1"/>
  <c r="J181" i="1"/>
  <c r="J180" i="1"/>
  <c r="J179" i="1"/>
  <c r="J178" i="1"/>
  <c r="J177" i="1"/>
  <c r="J176" i="1"/>
  <c r="J175" i="1"/>
  <c r="J173" i="1"/>
  <c r="D23" i="21" s="1"/>
  <c r="J172" i="1"/>
  <c r="J171" i="1"/>
  <c r="J170" i="1"/>
  <c r="I183" i="1"/>
  <c r="I182" i="1"/>
  <c r="I181" i="1"/>
  <c r="I180" i="1"/>
  <c r="I179" i="1"/>
  <c r="I178" i="1"/>
  <c r="I177" i="1"/>
  <c r="I176" i="1"/>
  <c r="I175" i="1"/>
  <c r="I174" i="1"/>
  <c r="I173" i="1"/>
  <c r="I172" i="1"/>
  <c r="I171" i="1"/>
  <c r="I170" i="1"/>
  <c r="I169" i="1"/>
  <c r="I168" i="1"/>
  <c r="I167" i="1"/>
  <c r="I166" i="1"/>
  <c r="I165" i="1"/>
  <c r="I164" i="1"/>
  <c r="I163" i="1"/>
  <c r="I162" i="1"/>
  <c r="H183" i="1"/>
  <c r="N183" i="1" s="1"/>
  <c r="I33" i="21" s="1"/>
  <c r="H182" i="1"/>
  <c r="N182" i="1" s="1"/>
  <c r="I32" i="21" s="1"/>
  <c r="H181" i="1"/>
  <c r="N181" i="1" s="1"/>
  <c r="I31" i="21" s="1"/>
  <c r="H180" i="1"/>
  <c r="N180" i="1" s="1"/>
  <c r="I30" i="21" s="1"/>
  <c r="H179" i="1"/>
  <c r="N179" i="1" s="1"/>
  <c r="I29" i="21" s="1"/>
  <c r="H178" i="1"/>
  <c r="N178" i="1" s="1"/>
  <c r="I28" i="21" s="1"/>
  <c r="H177" i="1"/>
  <c r="N177" i="1" s="1"/>
  <c r="I27" i="21" s="1"/>
  <c r="H176" i="1"/>
  <c r="N176" i="1" s="1"/>
  <c r="I26" i="21" s="1"/>
  <c r="H175" i="1"/>
  <c r="N175" i="1" s="1"/>
  <c r="I25" i="21" s="1"/>
  <c r="H174" i="1"/>
  <c r="N174" i="1" s="1"/>
  <c r="I24" i="21" s="1"/>
  <c r="H173" i="1"/>
  <c r="N173" i="1" s="1"/>
  <c r="I23" i="21" s="1"/>
  <c r="H172" i="1"/>
  <c r="N172" i="1" s="1"/>
  <c r="I22" i="21" s="1"/>
  <c r="H171" i="1"/>
  <c r="N171" i="1" s="1"/>
  <c r="I21" i="21" s="1"/>
  <c r="H170" i="1"/>
  <c r="N170" i="1" s="1"/>
  <c r="I20" i="21" s="1"/>
  <c r="H169" i="1"/>
  <c r="N169" i="1" s="1"/>
  <c r="I19" i="21" s="1"/>
  <c r="H168" i="1"/>
  <c r="N168" i="1" s="1"/>
  <c r="I18" i="21" s="1"/>
  <c r="H167" i="1"/>
  <c r="N167" i="1" s="1"/>
  <c r="I17" i="21" s="1"/>
  <c r="H166" i="1"/>
  <c r="N166" i="1" s="1"/>
  <c r="I16" i="21" s="1"/>
  <c r="H165" i="1"/>
  <c r="N165" i="1" s="1"/>
  <c r="I15" i="21" s="1"/>
  <c r="H164" i="1"/>
  <c r="N164" i="1" s="1"/>
  <c r="I14" i="21" s="1"/>
  <c r="H163" i="1"/>
  <c r="N163" i="1" s="1"/>
  <c r="I13" i="21" s="1"/>
  <c r="H162" i="1"/>
  <c r="N162" i="1" s="1"/>
  <c r="I12" i="21" s="1"/>
  <c r="G183" i="1"/>
  <c r="G182" i="1"/>
  <c r="G181" i="1"/>
  <c r="G180" i="1"/>
  <c r="G179" i="1"/>
  <c r="G178" i="1"/>
  <c r="G177" i="1"/>
  <c r="G176" i="1"/>
  <c r="G175" i="1"/>
  <c r="G174" i="1"/>
  <c r="G173" i="1"/>
  <c r="G172" i="1"/>
  <c r="G171" i="1"/>
  <c r="G170" i="1"/>
  <c r="G169" i="1"/>
  <c r="G168" i="1"/>
  <c r="G167" i="1"/>
  <c r="G166" i="1"/>
  <c r="G165" i="1"/>
  <c r="G164" i="1"/>
  <c r="G163" i="1"/>
  <c r="G162" i="1"/>
  <c r="I161" i="1"/>
  <c r="I160" i="1"/>
  <c r="H161" i="1"/>
  <c r="N161" i="1" s="1"/>
  <c r="I11" i="21" s="1"/>
  <c r="H160" i="1"/>
  <c r="N160" i="1" s="1"/>
  <c r="I10" i="21" s="1"/>
  <c r="G161" i="1"/>
  <c r="G160" i="1"/>
  <c r="K149" i="1"/>
  <c r="G33" i="19" s="1"/>
  <c r="K147" i="1"/>
  <c r="G32" i="19" s="1"/>
  <c r="K145" i="1"/>
  <c r="G31" i="19" s="1"/>
  <c r="K143" i="1"/>
  <c r="G30" i="19" s="1"/>
  <c r="K141" i="1"/>
  <c r="G29" i="19" s="1"/>
  <c r="K139" i="1"/>
  <c r="G28" i="19" s="1"/>
  <c r="K137" i="1"/>
  <c r="G27" i="19" s="1"/>
  <c r="K135" i="1"/>
  <c r="G26" i="19" s="1"/>
  <c r="K133" i="1"/>
  <c r="G25" i="19" s="1"/>
  <c r="J169" i="1"/>
  <c r="J168" i="1"/>
  <c r="J167" i="1"/>
  <c r="J166" i="1"/>
  <c r="D16" i="21" s="1"/>
  <c r="J165" i="1"/>
  <c r="D15" i="21" s="1"/>
  <c r="J164" i="1"/>
  <c r="D14" i="21" s="1"/>
  <c r="J163" i="1"/>
  <c r="D13" i="21" s="1"/>
  <c r="J162" i="1"/>
  <c r="D12" i="21" s="1"/>
  <c r="J161" i="1"/>
  <c r="D11" i="21" s="1"/>
  <c r="E41" i="5" l="1"/>
  <c r="H29" i="19"/>
  <c r="H25" i="19"/>
  <c r="H21" i="19"/>
  <c r="H27" i="19"/>
  <c r="H19" i="19"/>
  <c r="H30" i="19"/>
  <c r="H26" i="19"/>
  <c r="H18" i="19"/>
  <c r="H32" i="19"/>
  <c r="H28" i="19"/>
  <c r="H24" i="19"/>
  <c r="H20" i="19"/>
  <c r="H16" i="19"/>
  <c r="H31" i="19"/>
  <c r="H23" i="19"/>
  <c r="H15" i="19"/>
  <c r="H22" i="19"/>
  <c r="H14" i="19"/>
  <c r="E18" i="5"/>
  <c r="H12" i="19"/>
  <c r="H11" i="19"/>
  <c r="H17" i="19"/>
  <c r="H13" i="19"/>
  <c r="E26" i="21"/>
  <c r="K26" i="19"/>
  <c r="E27" i="21"/>
  <c r="K27" i="19"/>
  <c r="E32" i="21"/>
  <c r="K32" i="19"/>
  <c r="D44" i="5"/>
  <c r="K170" i="1"/>
  <c r="K171" i="1"/>
  <c r="K173" i="1"/>
  <c r="K176" i="1"/>
  <c r="K177" i="1"/>
  <c r="K178" i="1"/>
  <c r="K179" i="1"/>
  <c r="I185" i="1"/>
  <c r="K182" i="1"/>
  <c r="K174" i="1"/>
  <c r="F24" i="21" s="1"/>
  <c r="K181" i="1"/>
  <c r="K180" i="1"/>
  <c r="K183" i="1"/>
  <c r="K175" i="1"/>
  <c r="K172" i="1"/>
  <c r="N264" i="1"/>
  <c r="H33" i="19" l="1"/>
  <c r="M183" i="1"/>
  <c r="H33" i="21" s="1"/>
  <c r="F33" i="21"/>
  <c r="M181" i="1"/>
  <c r="H31" i="21" s="1"/>
  <c r="F31" i="21"/>
  <c r="M180" i="1"/>
  <c r="H30" i="21" s="1"/>
  <c r="F30" i="21"/>
  <c r="M179" i="1"/>
  <c r="H29" i="21" s="1"/>
  <c r="F29" i="21"/>
  <c r="M178" i="1"/>
  <c r="H28" i="21" s="1"/>
  <c r="F28" i="21"/>
  <c r="M175" i="1"/>
  <c r="H25" i="21" s="1"/>
  <c r="F25" i="21"/>
  <c r="M173" i="1"/>
  <c r="H23" i="21" s="1"/>
  <c r="F23" i="21"/>
  <c r="M172" i="1"/>
  <c r="H22" i="21" s="1"/>
  <c r="F22" i="21"/>
  <c r="M171" i="1"/>
  <c r="H21" i="21" s="1"/>
  <c r="F21" i="21"/>
  <c r="M170" i="1"/>
  <c r="H20" i="21" s="1"/>
  <c r="F20" i="21"/>
  <c r="M176" i="1"/>
  <c r="H26" i="21" s="1"/>
  <c r="F26" i="21"/>
  <c r="M177" i="1"/>
  <c r="H27" i="21" s="1"/>
  <c r="F27" i="21"/>
  <c r="M182" i="1"/>
  <c r="H32" i="21" s="1"/>
  <c r="F32" i="21"/>
  <c r="E30" i="8"/>
  <c r="G40" i="20"/>
  <c r="E40" i="5"/>
  <c r="F40" i="5" s="1"/>
  <c r="M141" i="1"/>
  <c r="M143" i="1"/>
  <c r="E35" i="5"/>
  <c r="F35" i="5" s="1"/>
  <c r="M135" i="1"/>
  <c r="E33" i="5"/>
  <c r="F33" i="5" s="1"/>
  <c r="E36" i="5"/>
  <c r="F36" i="5" s="1"/>
  <c r="E39" i="5"/>
  <c r="F39" i="5" s="1"/>
  <c r="H10" i="19"/>
  <c r="H35" i="19" s="1"/>
  <c r="E38" i="5"/>
  <c r="F38" i="5" s="1"/>
  <c r="M147" i="1"/>
  <c r="M149" i="1"/>
  <c r="M137" i="1"/>
  <c r="E37" i="5"/>
  <c r="F37" i="5" s="1"/>
  <c r="M133" i="1"/>
  <c r="M145" i="1"/>
  <c r="E34" i="5"/>
  <c r="F34" i="5" s="1"/>
  <c r="M139" i="1"/>
  <c r="F41" i="5"/>
  <c r="M174" i="1"/>
  <c r="H24" i="21" s="1"/>
  <c r="I224" i="1"/>
  <c r="F42" i="21"/>
  <c r="F41" i="21"/>
  <c r="F49" i="21"/>
  <c r="F48" i="21"/>
  <c r="F47" i="21"/>
  <c r="F46" i="21"/>
  <c r="F45" i="21"/>
  <c r="F44" i="21"/>
  <c r="F43" i="21"/>
  <c r="F40" i="21"/>
  <c r="O222" i="1"/>
  <c r="I49" i="21" s="1"/>
  <c r="O221" i="1"/>
  <c r="I48" i="21" s="1"/>
  <c r="O220" i="1"/>
  <c r="I47" i="21" s="1"/>
  <c r="O219" i="1"/>
  <c r="I46" i="21" s="1"/>
  <c r="O218" i="1"/>
  <c r="I45" i="21" s="1"/>
  <c r="O217" i="1"/>
  <c r="I44" i="21" s="1"/>
  <c r="O216" i="1"/>
  <c r="I43" i="21" s="1"/>
  <c r="O215" i="1"/>
  <c r="I42" i="21" s="1"/>
  <c r="O214" i="1"/>
  <c r="I41" i="21" s="1"/>
  <c r="O213" i="1"/>
  <c r="I40" i="21" s="1"/>
  <c r="Y145" i="1" l="1"/>
  <c r="M63" i="19" s="1"/>
  <c r="U145" i="1"/>
  <c r="I63" i="19" s="1"/>
  <c r="Q145" i="1"/>
  <c r="E63" i="19" s="1"/>
  <c r="S145" i="1"/>
  <c r="G63" i="19" s="1"/>
  <c r="R145" i="1"/>
  <c r="F63" i="19" s="1"/>
  <c r="X145" i="1"/>
  <c r="L63" i="19" s="1"/>
  <c r="T145" i="1"/>
  <c r="H63" i="19" s="1"/>
  <c r="P145" i="1"/>
  <c r="D63" i="19" s="1"/>
  <c r="W145" i="1"/>
  <c r="K63" i="19" s="1"/>
  <c r="O145" i="1"/>
  <c r="C63" i="19" s="1"/>
  <c r="V145" i="1"/>
  <c r="J63" i="19" s="1"/>
  <c r="N145" i="1"/>
  <c r="B63" i="19" s="1"/>
  <c r="Y147" i="1"/>
  <c r="M64" i="19" s="1"/>
  <c r="U147" i="1"/>
  <c r="I64" i="19" s="1"/>
  <c r="Q147" i="1"/>
  <c r="E64" i="19" s="1"/>
  <c r="W147" i="1"/>
  <c r="K64" i="19" s="1"/>
  <c r="O147" i="1"/>
  <c r="C64" i="19" s="1"/>
  <c r="V147" i="1"/>
  <c r="J64" i="19" s="1"/>
  <c r="N147" i="1"/>
  <c r="B64" i="19" s="1"/>
  <c r="X147" i="1"/>
  <c r="L64" i="19" s="1"/>
  <c r="T147" i="1"/>
  <c r="H64" i="19" s="1"/>
  <c r="P147" i="1"/>
  <c r="D64" i="19" s="1"/>
  <c r="S147" i="1"/>
  <c r="G64" i="19" s="1"/>
  <c r="R147" i="1"/>
  <c r="F64" i="19" s="1"/>
  <c r="I30" i="19"/>
  <c r="Y143" i="1"/>
  <c r="M62" i="19" s="1"/>
  <c r="U143" i="1"/>
  <c r="I62" i="19" s="1"/>
  <c r="Q143" i="1"/>
  <c r="E62" i="19" s="1"/>
  <c r="S143" i="1"/>
  <c r="G62" i="19" s="1"/>
  <c r="V143" i="1"/>
  <c r="J62" i="19" s="1"/>
  <c r="X143" i="1"/>
  <c r="L62" i="19" s="1"/>
  <c r="T143" i="1"/>
  <c r="H62" i="19" s="1"/>
  <c r="P143" i="1"/>
  <c r="D62" i="19" s="1"/>
  <c r="W143" i="1"/>
  <c r="K62" i="19" s="1"/>
  <c r="O143" i="1"/>
  <c r="C62" i="19" s="1"/>
  <c r="R143" i="1"/>
  <c r="F62" i="19" s="1"/>
  <c r="N143" i="1"/>
  <c r="B62" i="19" s="1"/>
  <c r="I29" i="19"/>
  <c r="Y141" i="1"/>
  <c r="M61" i="19" s="1"/>
  <c r="U141" i="1"/>
  <c r="I61" i="19" s="1"/>
  <c r="Q141" i="1"/>
  <c r="E61" i="19" s="1"/>
  <c r="W141" i="1"/>
  <c r="K61" i="19" s="1"/>
  <c r="O141" i="1"/>
  <c r="C61" i="19" s="1"/>
  <c r="V141" i="1"/>
  <c r="J61" i="19" s="1"/>
  <c r="N141" i="1"/>
  <c r="B61" i="19" s="1"/>
  <c r="X141" i="1"/>
  <c r="L61" i="19" s="1"/>
  <c r="T141" i="1"/>
  <c r="H61" i="19" s="1"/>
  <c r="P141" i="1"/>
  <c r="D61" i="19" s="1"/>
  <c r="S141" i="1"/>
  <c r="G61" i="19" s="1"/>
  <c r="R141" i="1"/>
  <c r="F61" i="19" s="1"/>
  <c r="Y149" i="1"/>
  <c r="M65" i="19" s="1"/>
  <c r="U149" i="1"/>
  <c r="I65" i="19" s="1"/>
  <c r="Q149" i="1"/>
  <c r="E65" i="19" s="1"/>
  <c r="S149" i="1"/>
  <c r="G65" i="19" s="1"/>
  <c r="R149" i="1"/>
  <c r="F65" i="19" s="1"/>
  <c r="X149" i="1"/>
  <c r="L65" i="19" s="1"/>
  <c r="T149" i="1"/>
  <c r="H65" i="19" s="1"/>
  <c r="P149" i="1"/>
  <c r="D65" i="19" s="1"/>
  <c r="W149" i="1"/>
  <c r="K65" i="19" s="1"/>
  <c r="O149" i="1"/>
  <c r="C65" i="19" s="1"/>
  <c r="V149" i="1"/>
  <c r="J65" i="19" s="1"/>
  <c r="N149" i="1"/>
  <c r="B65" i="19" s="1"/>
  <c r="Y139" i="1"/>
  <c r="M60" i="19" s="1"/>
  <c r="U139" i="1"/>
  <c r="I60" i="19" s="1"/>
  <c r="Q139" i="1"/>
  <c r="E60" i="19" s="1"/>
  <c r="S139" i="1"/>
  <c r="G60" i="19" s="1"/>
  <c r="R139" i="1"/>
  <c r="F60" i="19" s="1"/>
  <c r="X139" i="1"/>
  <c r="L60" i="19" s="1"/>
  <c r="T139" i="1"/>
  <c r="H60" i="19" s="1"/>
  <c r="P139" i="1"/>
  <c r="D60" i="19" s="1"/>
  <c r="W139" i="1"/>
  <c r="K60" i="19" s="1"/>
  <c r="O139" i="1"/>
  <c r="C60" i="19" s="1"/>
  <c r="V139" i="1"/>
  <c r="J60" i="19" s="1"/>
  <c r="N139" i="1"/>
  <c r="B60" i="19" s="1"/>
  <c r="Y137" i="1"/>
  <c r="M59" i="19" s="1"/>
  <c r="U137" i="1"/>
  <c r="I59" i="19" s="1"/>
  <c r="Q137" i="1"/>
  <c r="E59" i="19" s="1"/>
  <c r="W137" i="1"/>
  <c r="K59" i="19" s="1"/>
  <c r="R137" i="1"/>
  <c r="F59" i="19" s="1"/>
  <c r="X137" i="1"/>
  <c r="L59" i="19" s="1"/>
  <c r="T137" i="1"/>
  <c r="H59" i="19" s="1"/>
  <c r="P137" i="1"/>
  <c r="D59" i="19" s="1"/>
  <c r="S137" i="1"/>
  <c r="G59" i="19" s="1"/>
  <c r="O137" i="1"/>
  <c r="C59" i="19" s="1"/>
  <c r="V137" i="1"/>
  <c r="J59" i="19" s="1"/>
  <c r="N137" i="1"/>
  <c r="B59" i="19" s="1"/>
  <c r="I26" i="19"/>
  <c r="Y135" i="1"/>
  <c r="M58" i="19" s="1"/>
  <c r="U135" i="1"/>
  <c r="I58" i="19" s="1"/>
  <c r="Q135" i="1"/>
  <c r="E58" i="19" s="1"/>
  <c r="S135" i="1"/>
  <c r="G58" i="19" s="1"/>
  <c r="V135" i="1"/>
  <c r="J58" i="19" s="1"/>
  <c r="X135" i="1"/>
  <c r="L58" i="19" s="1"/>
  <c r="T135" i="1"/>
  <c r="H58" i="19" s="1"/>
  <c r="P135" i="1"/>
  <c r="D58" i="19" s="1"/>
  <c r="W135" i="1"/>
  <c r="K58" i="19" s="1"/>
  <c r="O135" i="1"/>
  <c r="C58" i="19" s="1"/>
  <c r="R135" i="1"/>
  <c r="F58" i="19" s="1"/>
  <c r="N135" i="1"/>
  <c r="B58" i="19" s="1"/>
  <c r="Y133" i="1"/>
  <c r="M57" i="19" s="1"/>
  <c r="U133" i="1"/>
  <c r="I57" i="19" s="1"/>
  <c r="Q133" i="1"/>
  <c r="E57" i="19" s="1"/>
  <c r="S133" i="1"/>
  <c r="G57" i="19" s="1"/>
  <c r="R133" i="1"/>
  <c r="F57" i="19" s="1"/>
  <c r="X133" i="1"/>
  <c r="L57" i="19" s="1"/>
  <c r="T133" i="1"/>
  <c r="H57" i="19" s="1"/>
  <c r="P133" i="1"/>
  <c r="D57" i="19" s="1"/>
  <c r="W133" i="1"/>
  <c r="K57" i="19" s="1"/>
  <c r="O133" i="1"/>
  <c r="C57" i="19" s="1"/>
  <c r="V133" i="1"/>
  <c r="J57" i="19" s="1"/>
  <c r="N133" i="1"/>
  <c r="B57" i="19" s="1"/>
  <c r="F50" i="21"/>
  <c r="I33" i="19"/>
  <c r="I32" i="19"/>
  <c r="I31" i="19"/>
  <c r="I28" i="19"/>
  <c r="I27" i="19"/>
  <c r="I25" i="19"/>
  <c r="L224" i="1"/>
  <c r="J160" i="1"/>
  <c r="D10" i="21" s="1"/>
  <c r="N260" i="1"/>
  <c r="E31" i="8" l="1"/>
  <c r="G36" i="20"/>
  <c r="J21" i="1"/>
  <c r="C13" i="18" s="1"/>
  <c r="E28" i="8" l="1"/>
  <c r="K11" i="19" l="1"/>
  <c r="E11" i="21"/>
  <c r="E20" i="5" l="1"/>
  <c r="E21" i="5"/>
  <c r="K16" i="19"/>
  <c r="K15" i="19"/>
  <c r="Y83" i="1"/>
  <c r="X83" i="1"/>
  <c r="W83" i="1"/>
  <c r="V83" i="1"/>
  <c r="U83" i="1"/>
  <c r="T83" i="1"/>
  <c r="T85" i="1" s="1"/>
  <c r="S83" i="1"/>
  <c r="S86" i="1" s="1"/>
  <c r="R83" i="1"/>
  <c r="Q83" i="1"/>
  <c r="Q85" i="1" s="1"/>
  <c r="P83" i="1"/>
  <c r="O83" i="1"/>
  <c r="O85" i="1" s="1"/>
  <c r="N83" i="1"/>
  <c r="N85" i="1" s="1"/>
  <c r="N66" i="1"/>
  <c r="N68" i="1" s="1"/>
  <c r="K14" i="19" l="1"/>
  <c r="E14" i="21"/>
  <c r="K13" i="19"/>
  <c r="E13" i="21"/>
  <c r="K12" i="19"/>
  <c r="E12" i="21"/>
  <c r="K10" i="19"/>
  <c r="E10" i="21"/>
  <c r="R85" i="1"/>
  <c r="N69" i="1"/>
  <c r="O86" i="1"/>
  <c r="T86" i="1"/>
  <c r="S85" i="1"/>
  <c r="R86" i="1"/>
  <c r="Q86" i="1"/>
  <c r="P86" i="1"/>
  <c r="P85" i="1"/>
  <c r="N86" i="1"/>
  <c r="N43" i="1" l="1"/>
  <c r="N46" i="1" s="1"/>
  <c r="Y74" i="1"/>
  <c r="X74" i="1"/>
  <c r="W74" i="1"/>
  <c r="V74" i="1"/>
  <c r="U74" i="1"/>
  <c r="T74" i="1"/>
  <c r="S74" i="1"/>
  <c r="R74" i="1"/>
  <c r="Q74" i="1"/>
  <c r="P74" i="1"/>
  <c r="O74" i="1"/>
  <c r="N74" i="1"/>
  <c r="Y70" i="1"/>
  <c r="X70" i="1"/>
  <c r="W70" i="1"/>
  <c r="V70" i="1"/>
  <c r="U70" i="1"/>
  <c r="T70" i="1"/>
  <c r="S70" i="1"/>
  <c r="R70" i="1"/>
  <c r="Q70" i="1"/>
  <c r="P70" i="1"/>
  <c r="O70" i="1"/>
  <c r="N70" i="1"/>
  <c r="Y66" i="1"/>
  <c r="X66" i="1"/>
  <c r="W66" i="1"/>
  <c r="V66" i="1"/>
  <c r="U66" i="1"/>
  <c r="T66" i="1"/>
  <c r="S66" i="1"/>
  <c r="R66" i="1"/>
  <c r="Q66" i="1"/>
  <c r="P66" i="1"/>
  <c r="O66" i="1"/>
  <c r="N49" i="1"/>
  <c r="N77" i="1" l="1"/>
  <c r="N76" i="1"/>
  <c r="R77" i="1"/>
  <c r="V77" i="1"/>
  <c r="O77" i="1"/>
  <c r="O76" i="1"/>
  <c r="S77" i="1"/>
  <c r="W77" i="1"/>
  <c r="W76" i="1"/>
  <c r="P77" i="1"/>
  <c r="T77" i="1"/>
  <c r="X77" i="1"/>
  <c r="X76" i="1"/>
  <c r="Q77" i="1"/>
  <c r="U77" i="1"/>
  <c r="Y77" i="1"/>
  <c r="Y76" i="1"/>
  <c r="S73" i="1"/>
  <c r="P73" i="1"/>
  <c r="P72" i="1"/>
  <c r="O73" i="1"/>
  <c r="O72" i="1"/>
  <c r="T73" i="1"/>
  <c r="T72" i="1"/>
  <c r="Q73" i="1"/>
  <c r="Q72" i="1"/>
  <c r="U73" i="1"/>
  <c r="U72" i="1"/>
  <c r="N73" i="1"/>
  <c r="N72" i="1"/>
  <c r="R73" i="1"/>
  <c r="V73" i="1"/>
  <c r="V72" i="1"/>
  <c r="V69" i="1"/>
  <c r="O68" i="1"/>
  <c r="O69" i="1"/>
  <c r="S69" i="1"/>
  <c r="S68" i="1"/>
  <c r="W69" i="1"/>
  <c r="R69" i="1"/>
  <c r="R68" i="1"/>
  <c r="P68" i="1"/>
  <c r="P69" i="1"/>
  <c r="T69" i="1"/>
  <c r="T68" i="1"/>
  <c r="X69" i="1"/>
  <c r="Q69" i="1"/>
  <c r="Q68" i="1"/>
  <c r="U69" i="1"/>
  <c r="Y69" i="1"/>
  <c r="N45" i="1"/>
  <c r="Y59" i="1"/>
  <c r="X59" i="1"/>
  <c r="W59" i="1"/>
  <c r="V59" i="1"/>
  <c r="U59" i="1"/>
  <c r="T59" i="1"/>
  <c r="S59" i="1"/>
  <c r="R59" i="1"/>
  <c r="Q59" i="1"/>
  <c r="P59" i="1"/>
  <c r="O59" i="1"/>
  <c r="N59" i="1"/>
  <c r="Y58" i="1"/>
  <c r="X58" i="1"/>
  <c r="W58" i="1"/>
  <c r="V58" i="1"/>
  <c r="U58" i="1"/>
  <c r="T58" i="1"/>
  <c r="S58" i="1"/>
  <c r="R58" i="1"/>
  <c r="Q58" i="1"/>
  <c r="P58" i="1"/>
  <c r="O58" i="1"/>
  <c r="N58" i="1"/>
  <c r="S60" i="1" l="1"/>
  <c r="T60" i="1"/>
  <c r="Q60" i="1"/>
  <c r="Y60" i="1"/>
  <c r="U60" i="1"/>
  <c r="P60" i="1"/>
  <c r="X60" i="1"/>
  <c r="R60" i="1"/>
  <c r="O60" i="1"/>
  <c r="W60" i="1"/>
  <c r="N60" i="1"/>
  <c r="V60" i="1"/>
  <c r="Y49" i="1"/>
  <c r="X49" i="1"/>
  <c r="W49" i="1"/>
  <c r="V49" i="1"/>
  <c r="U49" i="1"/>
  <c r="T49" i="1"/>
  <c r="S49" i="1"/>
  <c r="R49" i="1"/>
  <c r="Q49" i="1"/>
  <c r="P49" i="1"/>
  <c r="O49" i="1"/>
  <c r="Y43" i="1"/>
  <c r="V43" i="1"/>
  <c r="U43" i="1"/>
  <c r="T43" i="1"/>
  <c r="S43" i="1"/>
  <c r="R43" i="1"/>
  <c r="Q43" i="1"/>
  <c r="P43" i="1"/>
  <c r="O43" i="1"/>
  <c r="X43" i="1"/>
  <c r="W43" i="1"/>
  <c r="L29" i="1"/>
  <c r="L31" i="1"/>
  <c r="E16" i="18"/>
  <c r="K204" i="1"/>
  <c r="K203" i="1"/>
  <c r="K202" i="1"/>
  <c r="K201" i="1"/>
  <c r="K200" i="1"/>
  <c r="M204" i="1" l="1"/>
  <c r="G77" i="19"/>
  <c r="M203" i="1"/>
  <c r="G76" i="19"/>
  <c r="M202" i="1"/>
  <c r="G75" i="19"/>
  <c r="M201" i="1"/>
  <c r="R201" i="1" s="1"/>
  <c r="F85" i="19" s="1"/>
  <c r="G74" i="19"/>
  <c r="M200" i="1"/>
  <c r="Y200" i="1" s="1"/>
  <c r="G73" i="19"/>
  <c r="Y31" i="1"/>
  <c r="Y54" i="1" s="1"/>
  <c r="E19" i="18"/>
  <c r="U29" i="1"/>
  <c r="I35" i="18" s="1"/>
  <c r="E18" i="18"/>
  <c r="N201" i="1"/>
  <c r="B85" i="19" s="1"/>
  <c r="X46" i="1"/>
  <c r="R46" i="1"/>
  <c r="R45" i="1"/>
  <c r="O46" i="1"/>
  <c r="O45" i="1"/>
  <c r="S46" i="1"/>
  <c r="S45" i="1"/>
  <c r="Y46" i="1"/>
  <c r="P46" i="1"/>
  <c r="P45" i="1"/>
  <c r="T46" i="1"/>
  <c r="T45" i="1"/>
  <c r="W46" i="1"/>
  <c r="Q46" i="1"/>
  <c r="Q45" i="1"/>
  <c r="U46" i="1"/>
  <c r="U45" i="1"/>
  <c r="V46" i="1"/>
  <c r="T29" i="1"/>
  <c r="H35" i="18" s="1"/>
  <c r="O29" i="1"/>
  <c r="W29" i="1"/>
  <c r="K35" i="18" s="1"/>
  <c r="P29" i="1"/>
  <c r="S29" i="1"/>
  <c r="X29" i="1"/>
  <c r="L35" i="18" s="1"/>
  <c r="Q29" i="1"/>
  <c r="Y29" i="1"/>
  <c r="N29" i="1"/>
  <c r="R29" i="1"/>
  <c r="V29" i="1"/>
  <c r="J35" i="18" s="1"/>
  <c r="P31" i="1"/>
  <c r="P54" i="1" s="1"/>
  <c r="X31" i="1"/>
  <c r="X54" i="1" s="1"/>
  <c r="N31" i="1"/>
  <c r="N54" i="1" s="1"/>
  <c r="R31" i="1"/>
  <c r="R54" i="1" s="1"/>
  <c r="V31" i="1"/>
  <c r="V54" i="1" s="1"/>
  <c r="O31" i="1"/>
  <c r="O54" i="1" s="1"/>
  <c r="S31" i="1"/>
  <c r="S54" i="1" s="1"/>
  <c r="W31" i="1"/>
  <c r="W54" i="1" s="1"/>
  <c r="T31" i="1"/>
  <c r="T54" i="1" s="1"/>
  <c r="Q31" i="1"/>
  <c r="Q54" i="1" s="1"/>
  <c r="U31" i="1"/>
  <c r="U54" i="1" s="1"/>
  <c r="W200" i="1" l="1"/>
  <c r="K84" i="19" s="1"/>
  <c r="V200" i="1"/>
  <c r="J84" i="19" s="1"/>
  <c r="T200" i="1"/>
  <c r="H84" i="19" s="1"/>
  <c r="P200" i="1"/>
  <c r="R200" i="1"/>
  <c r="F84" i="19" s="1"/>
  <c r="S200" i="1"/>
  <c r="G84" i="19" s="1"/>
  <c r="U200" i="1"/>
  <c r="I84" i="19" s="1"/>
  <c r="N200" i="1"/>
  <c r="B84" i="19" s="1"/>
  <c r="O200" i="1"/>
  <c r="Q200" i="1"/>
  <c r="E84" i="19" s="1"/>
  <c r="M84" i="19"/>
  <c r="U50" i="1"/>
  <c r="U52" i="1" s="1"/>
  <c r="V201" i="1"/>
  <c r="J85" i="19" s="1"/>
  <c r="I77" i="19"/>
  <c r="X204" i="1"/>
  <c r="L88" i="19" s="1"/>
  <c r="T204" i="1"/>
  <c r="H88" i="19" s="1"/>
  <c r="P204" i="1"/>
  <c r="D88" i="19" s="1"/>
  <c r="W204" i="1"/>
  <c r="K88" i="19" s="1"/>
  <c r="S204" i="1"/>
  <c r="G88" i="19" s="1"/>
  <c r="O204" i="1"/>
  <c r="C88" i="19" s="1"/>
  <c r="V204" i="1"/>
  <c r="J88" i="19" s="1"/>
  <c r="R204" i="1"/>
  <c r="F88" i="19" s="1"/>
  <c r="N204" i="1"/>
  <c r="B88" i="19" s="1"/>
  <c r="Y204" i="1"/>
  <c r="M88" i="19" s="1"/>
  <c r="U204" i="1"/>
  <c r="I88" i="19" s="1"/>
  <c r="Q204" i="1"/>
  <c r="E88" i="19" s="1"/>
  <c r="I76" i="19"/>
  <c r="X203" i="1"/>
  <c r="L87" i="19" s="1"/>
  <c r="T203" i="1"/>
  <c r="H87" i="19" s="1"/>
  <c r="P203" i="1"/>
  <c r="D87" i="19" s="1"/>
  <c r="W203" i="1"/>
  <c r="K87" i="19" s="1"/>
  <c r="S203" i="1"/>
  <c r="G87" i="19" s="1"/>
  <c r="V203" i="1"/>
  <c r="J87" i="19" s="1"/>
  <c r="R203" i="1"/>
  <c r="F87" i="19" s="1"/>
  <c r="N203" i="1"/>
  <c r="B87" i="19" s="1"/>
  <c r="Y203" i="1"/>
  <c r="M87" i="19" s="1"/>
  <c r="U203" i="1"/>
  <c r="I87" i="19" s="1"/>
  <c r="Q203" i="1"/>
  <c r="E87" i="19" s="1"/>
  <c r="O203" i="1"/>
  <c r="C87" i="19" s="1"/>
  <c r="I75" i="19"/>
  <c r="X202" i="1"/>
  <c r="L86" i="19" s="1"/>
  <c r="T202" i="1"/>
  <c r="H86" i="19" s="1"/>
  <c r="P202" i="1"/>
  <c r="D86" i="19" s="1"/>
  <c r="V202" i="1"/>
  <c r="J86" i="19" s="1"/>
  <c r="N202" i="1"/>
  <c r="B86" i="19" s="1"/>
  <c r="U202" i="1"/>
  <c r="I86" i="19" s="1"/>
  <c r="W202" i="1"/>
  <c r="K86" i="19" s="1"/>
  <c r="S202" i="1"/>
  <c r="G86" i="19" s="1"/>
  <c r="O202" i="1"/>
  <c r="C86" i="19" s="1"/>
  <c r="R202" i="1"/>
  <c r="F86" i="19" s="1"/>
  <c r="Y202" i="1"/>
  <c r="M86" i="19" s="1"/>
  <c r="Q202" i="1"/>
  <c r="E86" i="19" s="1"/>
  <c r="X201" i="1"/>
  <c r="L85" i="19" s="1"/>
  <c r="I74" i="19"/>
  <c r="W201" i="1"/>
  <c r="K85" i="19" s="1"/>
  <c r="Q201" i="1"/>
  <c r="E85" i="19" s="1"/>
  <c r="U201" i="1"/>
  <c r="I85" i="19" s="1"/>
  <c r="P201" i="1"/>
  <c r="D85" i="19" s="1"/>
  <c r="T201" i="1"/>
  <c r="H85" i="19" s="1"/>
  <c r="O201" i="1"/>
  <c r="C85" i="19" s="1"/>
  <c r="Y201" i="1"/>
  <c r="M85" i="19" s="1"/>
  <c r="S201" i="1"/>
  <c r="G85" i="19" s="1"/>
  <c r="X200" i="1"/>
  <c r="I73" i="19"/>
  <c r="R55" i="1"/>
  <c r="F36" i="18"/>
  <c r="Q50" i="1"/>
  <c r="Q51" i="1" s="1"/>
  <c r="E35" i="18"/>
  <c r="U55" i="1"/>
  <c r="I36" i="18"/>
  <c r="S55" i="1"/>
  <c r="G36" i="18"/>
  <c r="R50" i="1"/>
  <c r="R51" i="1" s="1"/>
  <c r="F35" i="18"/>
  <c r="O50" i="1"/>
  <c r="O51" i="1" s="1"/>
  <c r="C35" i="18"/>
  <c r="Q55" i="1"/>
  <c r="E36" i="18"/>
  <c r="O55" i="1"/>
  <c r="C36" i="18"/>
  <c r="X55" i="1"/>
  <c r="L36" i="18"/>
  <c r="N50" i="1"/>
  <c r="N52" i="1" s="1"/>
  <c r="B35" i="18"/>
  <c r="S50" i="1"/>
  <c r="S52" i="1" s="1"/>
  <c r="G35" i="18"/>
  <c r="T55" i="1"/>
  <c r="H36" i="18"/>
  <c r="V55" i="1"/>
  <c r="J36" i="18"/>
  <c r="P55" i="1"/>
  <c r="D36" i="18"/>
  <c r="Y50" i="1"/>
  <c r="Y51" i="1" s="1"/>
  <c r="M35" i="18"/>
  <c r="P50" i="1"/>
  <c r="P52" i="1" s="1"/>
  <c r="D35" i="18"/>
  <c r="W55" i="1"/>
  <c r="K36" i="18"/>
  <c r="N55" i="1"/>
  <c r="B36" i="18"/>
  <c r="Y55" i="1"/>
  <c r="M36" i="18"/>
  <c r="X50" i="1"/>
  <c r="X51" i="1" s="1"/>
  <c r="W50" i="1"/>
  <c r="V50" i="1"/>
  <c r="T50" i="1"/>
  <c r="M29" i="1"/>
  <c r="F18" i="18" s="1"/>
  <c r="D84" i="19" l="1"/>
  <c r="C84" i="19"/>
  <c r="L84" i="19"/>
  <c r="R52" i="1"/>
  <c r="U51" i="1"/>
  <c r="N51" i="1"/>
  <c r="P51" i="1"/>
  <c r="Y52" i="1"/>
  <c r="O52" i="1"/>
  <c r="Q52" i="1"/>
  <c r="S51" i="1"/>
  <c r="X52" i="1"/>
  <c r="T51" i="1"/>
  <c r="T52" i="1"/>
  <c r="V51" i="1"/>
  <c r="V52" i="1"/>
  <c r="W51" i="1"/>
  <c r="W52" i="1"/>
  <c r="K199" i="1"/>
  <c r="G72" i="19" s="1"/>
  <c r="G78" i="19" s="1"/>
  <c r="K103" i="1"/>
  <c r="M103" i="1" s="1"/>
  <c r="N103" i="1" l="1"/>
  <c r="Y103" i="1"/>
  <c r="U103" i="1"/>
  <c r="Q103" i="1"/>
  <c r="S103" i="1"/>
  <c r="X103" i="1"/>
  <c r="T103" i="1"/>
  <c r="P103" i="1"/>
  <c r="W103" i="1"/>
  <c r="O103" i="1"/>
  <c r="V103" i="1"/>
  <c r="R103" i="1"/>
  <c r="I10" i="19"/>
  <c r="G10" i="19"/>
  <c r="M199" i="1"/>
  <c r="A24" i="12"/>
  <c r="A25" i="12" s="1"/>
  <c r="E17" i="18"/>
  <c r="L33" i="1"/>
  <c r="E20" i="18" l="1"/>
  <c r="N199" i="1"/>
  <c r="I72" i="19"/>
  <c r="I78" i="19" s="1"/>
  <c r="O199" i="1"/>
  <c r="O235" i="1" s="1"/>
  <c r="R199" i="1"/>
  <c r="R235" i="1" s="1"/>
  <c r="X199" i="1"/>
  <c r="X235" i="1" s="1"/>
  <c r="N33" i="1"/>
  <c r="O33" i="1"/>
  <c r="U199" i="1"/>
  <c r="U235" i="1" s="1"/>
  <c r="P199" i="1"/>
  <c r="P235" i="1" s="1"/>
  <c r="Q199" i="1"/>
  <c r="Q235" i="1" s="1"/>
  <c r="W199" i="1"/>
  <c r="W235" i="1" s="1"/>
  <c r="S199" i="1"/>
  <c r="S235" i="1" s="1"/>
  <c r="T199" i="1"/>
  <c r="T235" i="1" s="1"/>
  <c r="V199" i="1"/>
  <c r="V235" i="1" s="1"/>
  <c r="Y199" i="1"/>
  <c r="Y235" i="1" s="1"/>
  <c r="T25" i="1"/>
  <c r="H34" i="18" s="1"/>
  <c r="S25" i="1"/>
  <c r="G34" i="18" s="1"/>
  <c r="Q25" i="1"/>
  <c r="E34" i="18" s="1"/>
  <c r="U25" i="1"/>
  <c r="I34" i="18" s="1"/>
  <c r="W25" i="1"/>
  <c r="B34" i="18"/>
  <c r="P25" i="1"/>
  <c r="D34" i="18" s="1"/>
  <c r="X25" i="1"/>
  <c r="Y25" i="1"/>
  <c r="R25" i="1"/>
  <c r="F34" i="18" s="1"/>
  <c r="V25" i="1"/>
  <c r="O25" i="1"/>
  <c r="C34" i="18" s="1"/>
  <c r="B8" i="12"/>
  <c r="B83" i="19" l="1"/>
  <c r="B89" i="19" s="1"/>
  <c r="N235" i="1"/>
  <c r="C14" i="20" s="1"/>
  <c r="N62" i="1"/>
  <c r="N92" i="1" s="1"/>
  <c r="B45" i="18" s="1"/>
  <c r="N63" i="1"/>
  <c r="N93" i="1" s="1"/>
  <c r="O62" i="1"/>
  <c r="O92" i="1" s="1"/>
  <c r="C45" i="18" s="1"/>
  <c r="O63" i="1"/>
  <c r="O93" i="1" s="1"/>
  <c r="C46" i="18" s="1"/>
  <c r="J14" i="20"/>
  <c r="I83" i="19"/>
  <c r="I89" i="19" s="1"/>
  <c r="N14" i="20"/>
  <c r="M83" i="19"/>
  <c r="M89" i="19" s="1"/>
  <c r="D14" i="20"/>
  <c r="C83" i="19"/>
  <c r="C89" i="19" s="1"/>
  <c r="K14" i="20"/>
  <c r="J83" i="19"/>
  <c r="J89" i="19" s="1"/>
  <c r="F14" i="20"/>
  <c r="E83" i="19"/>
  <c r="E89" i="19" s="1"/>
  <c r="H14" i="20"/>
  <c r="G83" i="19"/>
  <c r="G89" i="19" s="1"/>
  <c r="G14" i="20"/>
  <c r="F83" i="19"/>
  <c r="F89" i="19" s="1"/>
  <c r="L14" i="20"/>
  <c r="K83" i="19"/>
  <c r="K89" i="19" s="1"/>
  <c r="I14" i="20"/>
  <c r="H83" i="19"/>
  <c r="H89" i="19" s="1"/>
  <c r="E14" i="20"/>
  <c r="D83" i="19"/>
  <c r="D89" i="19" s="1"/>
  <c r="M14" i="20"/>
  <c r="L83" i="19"/>
  <c r="L89" i="19" s="1"/>
  <c r="N61" i="1"/>
  <c r="B37" i="18"/>
  <c r="O61" i="1"/>
  <c r="C37" i="18"/>
  <c r="V45" i="1"/>
  <c r="J34" i="18"/>
  <c r="Y45" i="1"/>
  <c r="M34" i="18"/>
  <c r="W45" i="1"/>
  <c r="K34" i="18"/>
  <c r="X45" i="1"/>
  <c r="L34" i="18"/>
  <c r="N44" i="1"/>
  <c r="W44" i="1"/>
  <c r="X44" i="1"/>
  <c r="P44" i="1"/>
  <c r="Q44" i="1"/>
  <c r="R44" i="1"/>
  <c r="S44" i="1"/>
  <c r="O44" i="1"/>
  <c r="M31" i="1"/>
  <c r="F19" i="18" s="1"/>
  <c r="V44" i="1"/>
  <c r="U44" i="1"/>
  <c r="Y44" i="1"/>
  <c r="T44" i="1"/>
  <c r="M25" i="1"/>
  <c r="F15" i="18" s="1"/>
  <c r="F21" i="5"/>
  <c r="F20" i="5"/>
  <c r="E32" i="5"/>
  <c r="E31" i="5"/>
  <c r="E30" i="5"/>
  <c r="E29" i="5"/>
  <c r="E28" i="5"/>
  <c r="E27" i="5"/>
  <c r="E26" i="5"/>
  <c r="E25" i="5"/>
  <c r="E24" i="5"/>
  <c r="E23" i="5"/>
  <c r="E22" i="5"/>
  <c r="N236" i="1" l="1"/>
  <c r="C15" i="20" s="1"/>
  <c r="B46" i="18"/>
  <c r="N241" i="1"/>
  <c r="C21" i="20" s="1"/>
  <c r="M235" i="1"/>
  <c r="B14" i="20" s="1"/>
  <c r="F26" i="5"/>
  <c r="F25" i="5"/>
  <c r="F29" i="5"/>
  <c r="F30" i="5"/>
  <c r="F22" i="5"/>
  <c r="F28" i="5"/>
  <c r="F31" i="5"/>
  <c r="F32" i="5"/>
  <c r="F27" i="5"/>
  <c r="F24" i="5"/>
  <c r="F23" i="5"/>
  <c r="E19" i="5"/>
  <c r="N237" i="1" l="1"/>
  <c r="C16" i="20" s="1"/>
  <c r="F19" i="5"/>
  <c r="E44" i="5"/>
  <c r="K42" i="19"/>
  <c r="C42" i="19"/>
  <c r="M42" i="19"/>
  <c r="D42" i="19"/>
  <c r="F42" i="19"/>
  <c r="B42" i="19"/>
  <c r="E42" i="19"/>
  <c r="L42" i="19"/>
  <c r="I42" i="19"/>
  <c r="H42" i="19"/>
  <c r="G42" i="19"/>
  <c r="J42" i="19"/>
  <c r="G23" i="19"/>
  <c r="M129" i="1" l="1"/>
  <c r="K105" i="1"/>
  <c r="G11" i="19" s="1"/>
  <c r="N221" i="1"/>
  <c r="H48" i="21" s="1"/>
  <c r="N220" i="1"/>
  <c r="H47" i="21" s="1"/>
  <c r="N219" i="1"/>
  <c r="H46" i="21" s="1"/>
  <c r="N218" i="1"/>
  <c r="H45" i="21" s="1"/>
  <c r="N217" i="1"/>
  <c r="H44" i="21" s="1"/>
  <c r="N216" i="1"/>
  <c r="H43" i="21" s="1"/>
  <c r="N215" i="1"/>
  <c r="H42" i="21" s="1"/>
  <c r="W129" i="1" l="1"/>
  <c r="K55" i="19" s="1"/>
  <c r="N129" i="1"/>
  <c r="B55" i="19" s="1"/>
  <c r="P129" i="1"/>
  <c r="D55" i="19" s="1"/>
  <c r="Y129" i="1"/>
  <c r="M55" i="19" s="1"/>
  <c r="O129" i="1"/>
  <c r="C55" i="19" s="1"/>
  <c r="X129" i="1"/>
  <c r="L55" i="19" s="1"/>
  <c r="I23" i="19"/>
  <c r="U129" i="1"/>
  <c r="I55" i="19" s="1"/>
  <c r="Q129" i="1"/>
  <c r="E55" i="19" s="1"/>
  <c r="S129" i="1"/>
  <c r="G55" i="19" s="1"/>
  <c r="V129" i="1"/>
  <c r="J55" i="19" s="1"/>
  <c r="T129" i="1"/>
  <c r="H55" i="19" s="1"/>
  <c r="R129" i="1"/>
  <c r="F55" i="19" s="1"/>
  <c r="K160" i="1"/>
  <c r="K161" i="1"/>
  <c r="K168" i="1"/>
  <c r="K162" i="1"/>
  <c r="K166" i="1"/>
  <c r="K163" i="1"/>
  <c r="K167" i="1"/>
  <c r="K164" i="1"/>
  <c r="K165" i="1"/>
  <c r="K169" i="1"/>
  <c r="F19" i="21" s="1"/>
  <c r="M105" i="1"/>
  <c r="N222" i="1"/>
  <c r="H49" i="21" s="1"/>
  <c r="N214" i="1"/>
  <c r="H41" i="21" s="1"/>
  <c r="H40" i="21"/>
  <c r="Y105" i="1" l="1"/>
  <c r="M43" i="19" s="1"/>
  <c r="U105" i="1"/>
  <c r="I43" i="19" s="1"/>
  <c r="Q105" i="1"/>
  <c r="E43" i="19" s="1"/>
  <c r="W105" i="1"/>
  <c r="K43" i="19" s="1"/>
  <c r="O105" i="1"/>
  <c r="C43" i="19" s="1"/>
  <c r="V105" i="1"/>
  <c r="J43" i="19" s="1"/>
  <c r="N105" i="1"/>
  <c r="X105" i="1"/>
  <c r="L43" i="19" s="1"/>
  <c r="T105" i="1"/>
  <c r="H43" i="19" s="1"/>
  <c r="P105" i="1"/>
  <c r="D43" i="19" s="1"/>
  <c r="S105" i="1"/>
  <c r="G43" i="19" s="1"/>
  <c r="R105" i="1"/>
  <c r="F43" i="19" s="1"/>
  <c r="I11" i="19"/>
  <c r="M168" i="1"/>
  <c r="H18" i="21" s="1"/>
  <c r="F18" i="21"/>
  <c r="M167" i="1"/>
  <c r="H17" i="21" s="1"/>
  <c r="F17" i="21"/>
  <c r="M160" i="1"/>
  <c r="H10" i="21" s="1"/>
  <c r="F10" i="21"/>
  <c r="M166" i="1"/>
  <c r="H16" i="21" s="1"/>
  <c r="F16" i="21"/>
  <c r="M165" i="1"/>
  <c r="H15" i="21" s="1"/>
  <c r="F15" i="21"/>
  <c r="M164" i="1"/>
  <c r="H14" i="21" s="1"/>
  <c r="F14" i="21"/>
  <c r="M163" i="1"/>
  <c r="H13" i="21" s="1"/>
  <c r="F13" i="21"/>
  <c r="M162" i="1"/>
  <c r="H12" i="21" s="1"/>
  <c r="F12" i="21"/>
  <c r="M161" i="1"/>
  <c r="H11" i="21" s="1"/>
  <c r="F11" i="21"/>
  <c r="H50" i="21"/>
  <c r="M169" i="1"/>
  <c r="H19" i="21" s="1"/>
  <c r="K185" i="1"/>
  <c r="N224" i="1"/>
  <c r="G24" i="19"/>
  <c r="G22" i="19"/>
  <c r="G21" i="19"/>
  <c r="B43" i="19" l="1"/>
  <c r="N229" i="1"/>
  <c r="F34" i="21"/>
  <c r="M185" i="1"/>
  <c r="N254" i="1" s="1"/>
  <c r="H34" i="21"/>
  <c r="M123" i="1"/>
  <c r="G20" i="19"/>
  <c r="M125" i="1"/>
  <c r="M131" i="1"/>
  <c r="M127" i="1"/>
  <c r="I41" i="1"/>
  <c r="B124" i="12"/>
  <c r="B123" i="12"/>
  <c r="B122" i="12"/>
  <c r="B121" i="12"/>
  <c r="B116" i="12"/>
  <c r="B115" i="12"/>
  <c r="B114" i="12"/>
  <c r="I24" i="19" l="1"/>
  <c r="Y131" i="1"/>
  <c r="M56" i="19" s="1"/>
  <c r="U131" i="1"/>
  <c r="I56" i="19" s="1"/>
  <c r="Q131" i="1"/>
  <c r="E56" i="19" s="1"/>
  <c r="S131" i="1"/>
  <c r="G56" i="19" s="1"/>
  <c r="R131" i="1"/>
  <c r="F56" i="19" s="1"/>
  <c r="X131" i="1"/>
  <c r="L56" i="19" s="1"/>
  <c r="T131" i="1"/>
  <c r="H56" i="19" s="1"/>
  <c r="P131" i="1"/>
  <c r="D56" i="19" s="1"/>
  <c r="W131" i="1"/>
  <c r="K56" i="19" s="1"/>
  <c r="O131" i="1"/>
  <c r="C56" i="19" s="1"/>
  <c r="V131" i="1"/>
  <c r="J56" i="19" s="1"/>
  <c r="N131" i="1"/>
  <c r="B56" i="19" s="1"/>
  <c r="I22" i="19"/>
  <c r="Y127" i="1"/>
  <c r="M54" i="19" s="1"/>
  <c r="U127" i="1"/>
  <c r="I54" i="19" s="1"/>
  <c r="Q127" i="1"/>
  <c r="E54" i="19" s="1"/>
  <c r="S127" i="1"/>
  <c r="G54" i="19" s="1"/>
  <c r="V127" i="1"/>
  <c r="J54" i="19" s="1"/>
  <c r="N127" i="1"/>
  <c r="B54" i="19" s="1"/>
  <c r="X127" i="1"/>
  <c r="L54" i="19" s="1"/>
  <c r="T127" i="1"/>
  <c r="H54" i="19" s="1"/>
  <c r="P127" i="1"/>
  <c r="D54" i="19" s="1"/>
  <c r="W127" i="1"/>
  <c r="K54" i="19" s="1"/>
  <c r="O127" i="1"/>
  <c r="C54" i="19" s="1"/>
  <c r="R127" i="1"/>
  <c r="F54" i="19" s="1"/>
  <c r="Y123" i="1"/>
  <c r="M52" i="19" s="1"/>
  <c r="U123" i="1"/>
  <c r="I52" i="19" s="1"/>
  <c r="Q123" i="1"/>
  <c r="E52" i="19" s="1"/>
  <c r="S123" i="1"/>
  <c r="G52" i="19" s="1"/>
  <c r="R123" i="1"/>
  <c r="F52" i="19" s="1"/>
  <c r="X123" i="1"/>
  <c r="L52" i="19" s="1"/>
  <c r="T123" i="1"/>
  <c r="H52" i="19" s="1"/>
  <c r="P123" i="1"/>
  <c r="D52" i="19" s="1"/>
  <c r="W123" i="1"/>
  <c r="K52" i="19" s="1"/>
  <c r="O123" i="1"/>
  <c r="C52" i="19" s="1"/>
  <c r="V123" i="1"/>
  <c r="J52" i="19" s="1"/>
  <c r="N123" i="1"/>
  <c r="B52" i="19" s="1"/>
  <c r="I21" i="19"/>
  <c r="Y125" i="1"/>
  <c r="M53" i="19" s="1"/>
  <c r="U125" i="1"/>
  <c r="I53" i="19" s="1"/>
  <c r="Q125" i="1"/>
  <c r="E53" i="19" s="1"/>
  <c r="W125" i="1"/>
  <c r="K53" i="19" s="1"/>
  <c r="O125" i="1"/>
  <c r="C53" i="19" s="1"/>
  <c r="V125" i="1"/>
  <c r="J53" i="19" s="1"/>
  <c r="N125" i="1"/>
  <c r="B53" i="19" s="1"/>
  <c r="X125" i="1"/>
  <c r="L53" i="19" s="1"/>
  <c r="T125" i="1"/>
  <c r="H53" i="19" s="1"/>
  <c r="P125" i="1"/>
  <c r="D53" i="19" s="1"/>
  <c r="S125" i="1"/>
  <c r="G53" i="19" s="1"/>
  <c r="R125" i="1"/>
  <c r="F53" i="19" s="1"/>
  <c r="N256" i="1"/>
  <c r="E29" i="8" s="1"/>
  <c r="E32" i="8" s="1"/>
  <c r="F59" i="8" s="1"/>
  <c r="G30" i="20"/>
  <c r="I20" i="19"/>
  <c r="E23" i="8"/>
  <c r="B25" i="18"/>
  <c r="A26" i="12"/>
  <c r="H24" i="12"/>
  <c r="I24" i="12"/>
  <c r="J24" i="12"/>
  <c r="K24" i="12"/>
  <c r="L24" i="12"/>
  <c r="H25" i="12"/>
  <c r="H26" i="12" s="1"/>
  <c r="I25" i="12"/>
  <c r="I26" i="12" s="1"/>
  <c r="J25" i="12"/>
  <c r="J26" i="12" s="1"/>
  <c r="K25" i="12"/>
  <c r="K26" i="12" s="1"/>
  <c r="L25" i="12"/>
  <c r="L26" i="12" s="1"/>
  <c r="A27" i="12"/>
  <c r="B27" i="12" s="1"/>
  <c r="I27" i="12"/>
  <c r="J27" i="12"/>
  <c r="K27" i="12"/>
  <c r="L27" i="12"/>
  <c r="A28" i="12"/>
  <c r="A29" i="12" s="1"/>
  <c r="I28" i="12"/>
  <c r="I29" i="12" s="1"/>
  <c r="J28" i="12"/>
  <c r="J29" i="12" s="1"/>
  <c r="K28" i="12"/>
  <c r="K29" i="12" s="1"/>
  <c r="L28" i="12"/>
  <c r="L29" i="12" s="1"/>
  <c r="M12" i="12"/>
  <c r="M13" i="12" s="1"/>
  <c r="L12" i="12"/>
  <c r="L13" i="12" s="1"/>
  <c r="K12" i="12"/>
  <c r="K13" i="12" s="1"/>
  <c r="J12" i="12"/>
  <c r="J13" i="12" s="1"/>
  <c r="I12" i="12"/>
  <c r="I13" i="12" s="1"/>
  <c r="H12" i="12"/>
  <c r="H13" i="12" s="1"/>
  <c r="G12" i="12"/>
  <c r="G13" i="12" s="1"/>
  <c r="F12" i="12"/>
  <c r="F13" i="12" s="1"/>
  <c r="E12" i="12"/>
  <c r="E13" i="12" s="1"/>
  <c r="D12" i="12"/>
  <c r="D13" i="12" s="1"/>
  <c r="C12" i="12"/>
  <c r="C13" i="12" s="1"/>
  <c r="B12" i="12"/>
  <c r="B13" i="12" s="1"/>
  <c r="M10" i="12"/>
  <c r="M11" i="12" s="1"/>
  <c r="L10" i="12"/>
  <c r="L11" i="12" s="1"/>
  <c r="K10" i="12"/>
  <c r="K11" i="12" s="1"/>
  <c r="J10" i="12"/>
  <c r="J11" i="12" s="1"/>
  <c r="I10" i="12"/>
  <c r="I11" i="12" s="1"/>
  <c r="H10" i="12"/>
  <c r="H11" i="12" s="1"/>
  <c r="G10" i="12"/>
  <c r="G11" i="12" s="1"/>
  <c r="F10" i="12"/>
  <c r="F11" i="12" s="1"/>
  <c r="E10" i="12"/>
  <c r="E11" i="12" s="1"/>
  <c r="D10" i="12"/>
  <c r="D11" i="12" s="1"/>
  <c r="C10" i="12"/>
  <c r="C11" i="12" s="1"/>
  <c r="B10" i="12"/>
  <c r="B11" i="12" s="1"/>
  <c r="M8" i="12"/>
  <c r="M9" i="12" s="1"/>
  <c r="L8" i="12"/>
  <c r="L9" i="12" s="1"/>
  <c r="K8" i="12"/>
  <c r="K9" i="12" s="1"/>
  <c r="J8" i="12"/>
  <c r="J9" i="12" s="1"/>
  <c r="I8" i="12"/>
  <c r="I9" i="12" s="1"/>
  <c r="H8" i="12"/>
  <c r="H9" i="12" s="1"/>
  <c r="G8" i="12"/>
  <c r="G9" i="12" s="1"/>
  <c r="F8" i="12"/>
  <c r="F9" i="12" s="1"/>
  <c r="E8" i="12"/>
  <c r="E9" i="12" s="1"/>
  <c r="D8" i="12"/>
  <c r="D9" i="12" s="1"/>
  <c r="C8" i="12"/>
  <c r="C9" i="12" s="1"/>
  <c r="B9" i="12"/>
  <c r="A5" i="12"/>
  <c r="Y33" i="1"/>
  <c r="L35" i="1"/>
  <c r="E21" i="18" l="1"/>
  <c r="Y62" i="1"/>
  <c r="Y63" i="1"/>
  <c r="G32" i="20"/>
  <c r="Y61" i="1"/>
  <c r="M37" i="18"/>
  <c r="B24" i="12"/>
  <c r="B28" i="12"/>
  <c r="B29" i="12" s="1"/>
  <c r="C27" i="12"/>
  <c r="D27" i="12" s="1"/>
  <c r="D28" i="12" s="1"/>
  <c r="D29" i="12" s="1"/>
  <c r="A13" i="12"/>
  <c r="A11" i="12"/>
  <c r="A9" i="12"/>
  <c r="R33" i="1"/>
  <c r="F37" i="18" s="1"/>
  <c r="V33" i="1"/>
  <c r="J37" i="18" s="1"/>
  <c r="P33" i="1"/>
  <c r="T33" i="1"/>
  <c r="H37" i="18" s="1"/>
  <c r="X33" i="1"/>
  <c r="S33" i="1"/>
  <c r="W33" i="1"/>
  <c r="K37" i="18" s="1"/>
  <c r="Q33" i="1"/>
  <c r="E37" i="18" s="1"/>
  <c r="U33" i="1"/>
  <c r="L17" i="1"/>
  <c r="E11" i="18" s="1"/>
  <c r="L19" i="1"/>
  <c r="E12" i="18" s="1"/>
  <c r="L15" i="1"/>
  <c r="E10" i="18" l="1"/>
  <c r="P63" i="1"/>
  <c r="P93" i="1" s="1"/>
  <c r="D46" i="18" s="1"/>
  <c r="D37" i="18"/>
  <c r="U63" i="1"/>
  <c r="I37" i="18"/>
  <c r="X63" i="1"/>
  <c r="L37" i="18"/>
  <c r="S63" i="1"/>
  <c r="S93" i="1" s="1"/>
  <c r="G37" i="18"/>
  <c r="V62" i="1"/>
  <c r="V63" i="1"/>
  <c r="R62" i="1"/>
  <c r="R63" i="1"/>
  <c r="Q62" i="1"/>
  <c r="Q63" i="1"/>
  <c r="Q93" i="1" s="1"/>
  <c r="E46" i="18" s="1"/>
  <c r="T61" i="1"/>
  <c r="T63" i="1"/>
  <c r="W62" i="1"/>
  <c r="W63" i="1"/>
  <c r="S62" i="1"/>
  <c r="S61" i="1"/>
  <c r="U62" i="1"/>
  <c r="U61" i="1"/>
  <c r="X62" i="1"/>
  <c r="X61" i="1"/>
  <c r="P62" i="1"/>
  <c r="P61" i="1"/>
  <c r="T62" i="1"/>
  <c r="R61" i="1"/>
  <c r="Q61" i="1"/>
  <c r="W61" i="1"/>
  <c r="V61" i="1"/>
  <c r="M33" i="1"/>
  <c r="F20" i="18" s="1"/>
  <c r="C24" i="12"/>
  <c r="B25" i="12"/>
  <c r="B26" i="12" s="1"/>
  <c r="E27" i="12"/>
  <c r="C28" i="12"/>
  <c r="N19" i="1"/>
  <c r="Y17" i="1"/>
  <c r="N21" i="1"/>
  <c r="W23" i="1"/>
  <c r="X23" i="1"/>
  <c r="V23" i="1"/>
  <c r="Y23" i="1"/>
  <c r="N15" i="1"/>
  <c r="P17" i="1"/>
  <c r="T17" i="1"/>
  <c r="X17" i="1"/>
  <c r="W19" i="1"/>
  <c r="S19" i="1"/>
  <c r="S76" i="1" s="1"/>
  <c r="O19" i="1"/>
  <c r="O17" i="1"/>
  <c r="S17" i="1"/>
  <c r="G30" i="18" s="1"/>
  <c r="W17" i="1"/>
  <c r="X19" i="1"/>
  <c r="T19" i="1"/>
  <c r="T76" i="1" s="1"/>
  <c r="P19" i="1"/>
  <c r="P76" i="1" s="1"/>
  <c r="N17" i="1"/>
  <c r="R17" i="1"/>
  <c r="V17" i="1"/>
  <c r="Y19" i="1"/>
  <c r="U19" i="1"/>
  <c r="U76" i="1" s="1"/>
  <c r="Q19" i="1"/>
  <c r="Q17" i="1"/>
  <c r="U17" i="1"/>
  <c r="V19" i="1"/>
  <c r="V76" i="1" s="1"/>
  <c r="R19" i="1"/>
  <c r="R76" i="1" s="1"/>
  <c r="K107" i="1"/>
  <c r="K109" i="1"/>
  <c r="G13" i="19" s="1"/>
  <c r="I10" i="5"/>
  <c r="J43" i="5" s="1"/>
  <c r="O35" i="1"/>
  <c r="L37" i="1"/>
  <c r="E22" i="18" s="1"/>
  <c r="L39" i="1"/>
  <c r="X15" i="1"/>
  <c r="K111" i="1"/>
  <c r="G14" i="19" s="1"/>
  <c r="K113" i="1"/>
  <c r="G15" i="19" s="1"/>
  <c r="K115" i="1"/>
  <c r="G16" i="19" s="1"/>
  <c r="K117" i="1"/>
  <c r="E6" i="5"/>
  <c r="I6" i="5"/>
  <c r="E7" i="5"/>
  <c r="I7" i="5"/>
  <c r="C4" i="8"/>
  <c r="C5" i="8"/>
  <c r="C6" i="8"/>
  <c r="C7" i="8"/>
  <c r="C8" i="8"/>
  <c r="M121" i="1" l="1"/>
  <c r="G19" i="19"/>
  <c r="M119" i="1"/>
  <c r="G18" i="19"/>
  <c r="M117" i="1"/>
  <c r="G17" i="19"/>
  <c r="M107" i="1"/>
  <c r="G12" i="19"/>
  <c r="T92" i="1"/>
  <c r="H45" i="18" s="1"/>
  <c r="E31" i="18"/>
  <c r="Q76" i="1"/>
  <c r="Q92" i="1" s="1"/>
  <c r="E45" i="18" s="1"/>
  <c r="P92" i="1"/>
  <c r="D45" i="18" s="1"/>
  <c r="M30" i="18"/>
  <c r="Y73" i="1"/>
  <c r="L30" i="18"/>
  <c r="X73" i="1"/>
  <c r="K30" i="18"/>
  <c r="W73" i="1"/>
  <c r="N39" i="1"/>
  <c r="E23" i="18"/>
  <c r="O84" i="1"/>
  <c r="C38" i="18"/>
  <c r="Y81" i="1"/>
  <c r="M33" i="18"/>
  <c r="X81" i="1"/>
  <c r="L33" i="18"/>
  <c r="V81" i="1"/>
  <c r="J33" i="18"/>
  <c r="W81" i="1"/>
  <c r="K33" i="18"/>
  <c r="N80" i="1"/>
  <c r="B32" i="18"/>
  <c r="T75" i="1"/>
  <c r="H31" i="18"/>
  <c r="X75" i="1"/>
  <c r="L31" i="18"/>
  <c r="O75" i="1"/>
  <c r="C31" i="18"/>
  <c r="R75" i="1"/>
  <c r="F31" i="18"/>
  <c r="V75" i="1"/>
  <c r="J31" i="18"/>
  <c r="U75" i="1"/>
  <c r="I31" i="18"/>
  <c r="S75" i="1"/>
  <c r="G31" i="18"/>
  <c r="N75" i="1"/>
  <c r="B31" i="18"/>
  <c r="Y75" i="1"/>
  <c r="M31" i="18"/>
  <c r="P75" i="1"/>
  <c r="D31" i="18"/>
  <c r="W75" i="1"/>
  <c r="K31" i="18"/>
  <c r="N71" i="1"/>
  <c r="B30" i="18"/>
  <c r="P71" i="1"/>
  <c r="D30" i="18"/>
  <c r="Q71" i="1"/>
  <c r="E30" i="18"/>
  <c r="V71" i="1"/>
  <c r="J30" i="18"/>
  <c r="O71" i="1"/>
  <c r="C30" i="18"/>
  <c r="R72" i="1"/>
  <c r="R92" i="1" s="1"/>
  <c r="F45" i="18" s="1"/>
  <c r="F30" i="18"/>
  <c r="T71" i="1"/>
  <c r="H30" i="18"/>
  <c r="U71" i="1"/>
  <c r="I30" i="18"/>
  <c r="S241" i="1"/>
  <c r="H21" i="20" s="1"/>
  <c r="G46" i="18"/>
  <c r="X68" i="1"/>
  <c r="L29" i="18"/>
  <c r="N67" i="1"/>
  <c r="B29" i="18"/>
  <c r="Y71" i="1"/>
  <c r="Y72" i="1"/>
  <c r="W71" i="1"/>
  <c r="W72" i="1"/>
  <c r="X71" i="1"/>
  <c r="X72" i="1"/>
  <c r="F18" i="5"/>
  <c r="S71" i="1"/>
  <c r="S72" i="1"/>
  <c r="S92" i="1" s="1"/>
  <c r="G45" i="18" s="1"/>
  <c r="T93" i="1"/>
  <c r="R93" i="1"/>
  <c r="Q241" i="1"/>
  <c r="F21" i="20" s="1"/>
  <c r="Q75" i="1"/>
  <c r="R71" i="1"/>
  <c r="P241" i="1"/>
  <c r="E21" i="20" s="1"/>
  <c r="X67" i="1"/>
  <c r="U39" i="1"/>
  <c r="O21" i="1"/>
  <c r="D24" i="12"/>
  <c r="C25" i="12"/>
  <c r="C26" i="12" s="1"/>
  <c r="F27" i="12"/>
  <c r="E28" i="12"/>
  <c r="E29" i="12" s="1"/>
  <c r="C29" i="12"/>
  <c r="O37" i="1"/>
  <c r="N37" i="1"/>
  <c r="M109" i="1"/>
  <c r="M113" i="1"/>
  <c r="R37" i="1"/>
  <c r="T37" i="1"/>
  <c r="U35" i="1"/>
  <c r="V35" i="1"/>
  <c r="S35" i="1"/>
  <c r="Q35" i="1"/>
  <c r="W35" i="1"/>
  <c r="Y35" i="1"/>
  <c r="P35" i="1"/>
  <c r="N35" i="1"/>
  <c r="N23" i="1"/>
  <c r="W39" i="1"/>
  <c r="Q37" i="1"/>
  <c r="O39" i="1"/>
  <c r="S39" i="1"/>
  <c r="P37" i="1"/>
  <c r="Q39" i="1"/>
  <c r="M115" i="1"/>
  <c r="W37" i="1"/>
  <c r="X39" i="1"/>
  <c r="X37" i="1"/>
  <c r="Y39" i="1"/>
  <c r="T39" i="1"/>
  <c r="X21" i="1"/>
  <c r="S37" i="1"/>
  <c r="U21" i="1"/>
  <c r="Y21" i="1"/>
  <c r="V21" i="1"/>
  <c r="W21" i="1"/>
  <c r="S15" i="1"/>
  <c r="P15" i="1"/>
  <c r="U15" i="1"/>
  <c r="W15" i="1"/>
  <c r="T15" i="1"/>
  <c r="Y15" i="1"/>
  <c r="V15" i="1"/>
  <c r="R15" i="1"/>
  <c r="O15" i="1"/>
  <c r="Q15" i="1"/>
  <c r="Y37" i="1"/>
  <c r="X35" i="1"/>
  <c r="U37" i="1"/>
  <c r="T35" i="1"/>
  <c r="R35" i="1"/>
  <c r="V37" i="1"/>
  <c r="M111" i="1"/>
  <c r="V39" i="1"/>
  <c r="R39" i="1"/>
  <c r="P39" i="1"/>
  <c r="G35" i="19" l="1"/>
  <c r="B129" i="12"/>
  <c r="E11" i="5" s="1"/>
  <c r="N41" i="1"/>
  <c r="B42" i="18" s="1"/>
  <c r="I18" i="19"/>
  <c r="Y119" i="1"/>
  <c r="M50" i="19" s="1"/>
  <c r="U119" i="1"/>
  <c r="I50" i="19" s="1"/>
  <c r="Q119" i="1"/>
  <c r="E50" i="19" s="1"/>
  <c r="W119" i="1"/>
  <c r="K50" i="19" s="1"/>
  <c r="O119" i="1"/>
  <c r="C50" i="19" s="1"/>
  <c r="R119" i="1"/>
  <c r="F50" i="19" s="1"/>
  <c r="X119" i="1"/>
  <c r="L50" i="19" s="1"/>
  <c r="T119" i="1"/>
  <c r="H50" i="19" s="1"/>
  <c r="P119" i="1"/>
  <c r="D50" i="19" s="1"/>
  <c r="S119" i="1"/>
  <c r="G50" i="19" s="1"/>
  <c r="V119" i="1"/>
  <c r="J50" i="19" s="1"/>
  <c r="N119" i="1"/>
  <c r="B50" i="19" s="1"/>
  <c r="I19" i="19"/>
  <c r="Y121" i="1"/>
  <c r="M51" i="19" s="1"/>
  <c r="U121" i="1"/>
  <c r="I51" i="19" s="1"/>
  <c r="Q121" i="1"/>
  <c r="E51" i="19" s="1"/>
  <c r="S121" i="1"/>
  <c r="G51" i="19" s="1"/>
  <c r="R121" i="1"/>
  <c r="F51" i="19" s="1"/>
  <c r="X121" i="1"/>
  <c r="L51" i="19" s="1"/>
  <c r="T121" i="1"/>
  <c r="H51" i="19" s="1"/>
  <c r="P121" i="1"/>
  <c r="D51" i="19" s="1"/>
  <c r="W121" i="1"/>
  <c r="K51" i="19" s="1"/>
  <c r="O121" i="1"/>
  <c r="C51" i="19" s="1"/>
  <c r="V121" i="1"/>
  <c r="J51" i="19" s="1"/>
  <c r="N121" i="1"/>
  <c r="B51" i="19" s="1"/>
  <c r="I16" i="19"/>
  <c r="Y115" i="1"/>
  <c r="M48" i="19" s="1"/>
  <c r="U115" i="1"/>
  <c r="I48" i="19" s="1"/>
  <c r="Q115" i="1"/>
  <c r="E48" i="19" s="1"/>
  <c r="W115" i="1"/>
  <c r="K48" i="19" s="1"/>
  <c r="R115" i="1"/>
  <c r="F48" i="19" s="1"/>
  <c r="X115" i="1"/>
  <c r="L48" i="19" s="1"/>
  <c r="T115" i="1"/>
  <c r="H48" i="19" s="1"/>
  <c r="P115" i="1"/>
  <c r="D48" i="19" s="1"/>
  <c r="S115" i="1"/>
  <c r="G48" i="19" s="1"/>
  <c r="O115" i="1"/>
  <c r="C48" i="19" s="1"/>
  <c r="V115" i="1"/>
  <c r="J48" i="19" s="1"/>
  <c r="N115" i="1"/>
  <c r="B48" i="19" s="1"/>
  <c r="I17" i="19"/>
  <c r="Y117" i="1"/>
  <c r="M49" i="19" s="1"/>
  <c r="U117" i="1"/>
  <c r="I49" i="19" s="1"/>
  <c r="Q117" i="1"/>
  <c r="E49" i="19" s="1"/>
  <c r="S117" i="1"/>
  <c r="G49" i="19" s="1"/>
  <c r="V117" i="1"/>
  <c r="J49" i="19" s="1"/>
  <c r="N117" i="1"/>
  <c r="B49" i="19" s="1"/>
  <c r="X117" i="1"/>
  <c r="L49" i="19" s="1"/>
  <c r="T117" i="1"/>
  <c r="H49" i="19" s="1"/>
  <c r="P117" i="1"/>
  <c r="D49" i="19" s="1"/>
  <c r="W117" i="1"/>
  <c r="K49" i="19" s="1"/>
  <c r="O117" i="1"/>
  <c r="C49" i="19" s="1"/>
  <c r="R117" i="1"/>
  <c r="F49" i="19" s="1"/>
  <c r="I15" i="19"/>
  <c r="Y113" i="1"/>
  <c r="M47" i="19" s="1"/>
  <c r="U113" i="1"/>
  <c r="I47" i="19" s="1"/>
  <c r="Q113" i="1"/>
  <c r="E47" i="19" s="1"/>
  <c r="X113" i="1"/>
  <c r="L47" i="19" s="1"/>
  <c r="T113" i="1"/>
  <c r="H47" i="19" s="1"/>
  <c r="P113" i="1"/>
  <c r="D47" i="19" s="1"/>
  <c r="W113" i="1"/>
  <c r="K47" i="19" s="1"/>
  <c r="S113" i="1"/>
  <c r="G47" i="19" s="1"/>
  <c r="O113" i="1"/>
  <c r="C47" i="19" s="1"/>
  <c r="V113" i="1"/>
  <c r="J47" i="19" s="1"/>
  <c r="R113" i="1"/>
  <c r="F47" i="19" s="1"/>
  <c r="N113" i="1"/>
  <c r="B47" i="19" s="1"/>
  <c r="I14" i="19"/>
  <c r="Y111" i="1"/>
  <c r="M46" i="19" s="1"/>
  <c r="U111" i="1"/>
  <c r="I46" i="19" s="1"/>
  <c r="Q111" i="1"/>
  <c r="E46" i="19" s="1"/>
  <c r="S111" i="1"/>
  <c r="G46" i="19" s="1"/>
  <c r="V111" i="1"/>
  <c r="J46" i="19" s="1"/>
  <c r="N111" i="1"/>
  <c r="B46" i="19" s="1"/>
  <c r="X111" i="1"/>
  <c r="L46" i="19" s="1"/>
  <c r="T111" i="1"/>
  <c r="H46" i="19" s="1"/>
  <c r="P111" i="1"/>
  <c r="D46" i="19" s="1"/>
  <c r="W111" i="1"/>
  <c r="K46" i="19" s="1"/>
  <c r="O111" i="1"/>
  <c r="C46" i="19" s="1"/>
  <c r="R111" i="1"/>
  <c r="F46" i="19" s="1"/>
  <c r="I13" i="19"/>
  <c r="Y109" i="1"/>
  <c r="M45" i="19" s="1"/>
  <c r="U109" i="1"/>
  <c r="I45" i="19" s="1"/>
  <c r="Q109" i="1"/>
  <c r="E45" i="19" s="1"/>
  <c r="X109" i="1"/>
  <c r="L45" i="19" s="1"/>
  <c r="T109" i="1"/>
  <c r="H45" i="19" s="1"/>
  <c r="P109" i="1"/>
  <c r="D45" i="19" s="1"/>
  <c r="W109" i="1"/>
  <c r="K45" i="19" s="1"/>
  <c r="S109" i="1"/>
  <c r="G45" i="19" s="1"/>
  <c r="O109" i="1"/>
  <c r="C45" i="19" s="1"/>
  <c r="V109" i="1"/>
  <c r="J45" i="19" s="1"/>
  <c r="R109" i="1"/>
  <c r="F45" i="19" s="1"/>
  <c r="N109" i="1"/>
  <c r="B45" i="19" s="1"/>
  <c r="I12" i="19"/>
  <c r="Y107" i="1"/>
  <c r="M44" i="19" s="1"/>
  <c r="U107" i="1"/>
  <c r="I44" i="19" s="1"/>
  <c r="Q107" i="1"/>
  <c r="E44" i="19" s="1"/>
  <c r="W107" i="1"/>
  <c r="K44" i="19" s="1"/>
  <c r="R107" i="1"/>
  <c r="F44" i="19" s="1"/>
  <c r="X107" i="1"/>
  <c r="L44" i="19" s="1"/>
  <c r="T107" i="1"/>
  <c r="H44" i="19" s="1"/>
  <c r="P107" i="1"/>
  <c r="D44" i="19" s="1"/>
  <c r="S107" i="1"/>
  <c r="G44" i="19" s="1"/>
  <c r="O107" i="1"/>
  <c r="C44" i="19" s="1"/>
  <c r="V107" i="1"/>
  <c r="J44" i="19" s="1"/>
  <c r="N107" i="1"/>
  <c r="B44" i="19" s="1"/>
  <c r="G34" i="19"/>
  <c r="T236" i="1"/>
  <c r="M38" i="18"/>
  <c r="Y85" i="1"/>
  <c r="I38" i="18"/>
  <c r="U85" i="1"/>
  <c r="P236" i="1"/>
  <c r="U89" i="1"/>
  <c r="I39" i="18"/>
  <c r="T89" i="1"/>
  <c r="H39" i="18"/>
  <c r="Y89" i="1"/>
  <c r="M39" i="18"/>
  <c r="P89" i="1"/>
  <c r="D39" i="18"/>
  <c r="W89" i="1"/>
  <c r="K39" i="18"/>
  <c r="N89" i="1"/>
  <c r="B39" i="18"/>
  <c r="V89" i="1"/>
  <c r="J39" i="18"/>
  <c r="S89" i="1"/>
  <c r="G39" i="18"/>
  <c r="X89" i="1"/>
  <c r="L39" i="18"/>
  <c r="Q89" i="1"/>
  <c r="E39" i="18"/>
  <c r="R89" i="1"/>
  <c r="F39" i="18"/>
  <c r="O89" i="1"/>
  <c r="C39" i="18"/>
  <c r="R88" i="1"/>
  <c r="F40" i="18"/>
  <c r="W88" i="1"/>
  <c r="K40" i="18"/>
  <c r="V88" i="1"/>
  <c r="J40" i="18"/>
  <c r="S88" i="1"/>
  <c r="G40" i="18"/>
  <c r="Y88" i="1"/>
  <c r="M40" i="18"/>
  <c r="O88" i="1"/>
  <c r="C40" i="18"/>
  <c r="U88" i="1"/>
  <c r="I40" i="18"/>
  <c r="X88" i="1"/>
  <c r="L40" i="18"/>
  <c r="T88" i="1"/>
  <c r="H40" i="18"/>
  <c r="P88" i="1"/>
  <c r="D40" i="18"/>
  <c r="Q88" i="1"/>
  <c r="E40" i="18"/>
  <c r="N88" i="1"/>
  <c r="B40" i="18"/>
  <c r="N84" i="1"/>
  <c r="B38" i="18"/>
  <c r="X84" i="1"/>
  <c r="L38" i="18"/>
  <c r="R84" i="1"/>
  <c r="F38" i="18"/>
  <c r="V84" i="1"/>
  <c r="J38" i="18"/>
  <c r="Q84" i="1"/>
  <c r="E38" i="18"/>
  <c r="P84" i="1"/>
  <c r="D38" i="18"/>
  <c r="S84" i="1"/>
  <c r="G38" i="18"/>
  <c r="T84" i="1"/>
  <c r="H38" i="18"/>
  <c r="W84" i="1"/>
  <c r="K38" i="18"/>
  <c r="N81" i="1"/>
  <c r="B33" i="18"/>
  <c r="V80" i="1"/>
  <c r="J32" i="18"/>
  <c r="X80" i="1"/>
  <c r="L32" i="18"/>
  <c r="Y80" i="1"/>
  <c r="M32" i="18"/>
  <c r="O80" i="1"/>
  <c r="C32" i="18"/>
  <c r="U80" i="1"/>
  <c r="I32" i="18"/>
  <c r="W80" i="1"/>
  <c r="K32" i="18"/>
  <c r="R241" i="1"/>
  <c r="G21" i="20" s="1"/>
  <c r="F46" i="18"/>
  <c r="T241" i="1"/>
  <c r="I21" i="20" s="1"/>
  <c r="H46" i="18"/>
  <c r="S67" i="1"/>
  <c r="G29" i="18"/>
  <c r="R67" i="1"/>
  <c r="F29" i="18"/>
  <c r="W68" i="1"/>
  <c r="K29" i="18"/>
  <c r="V68" i="1"/>
  <c r="J29" i="18"/>
  <c r="U68" i="1"/>
  <c r="I29" i="18"/>
  <c r="O67" i="1"/>
  <c r="C29" i="18"/>
  <c r="T67" i="1"/>
  <c r="H29" i="18"/>
  <c r="Q67" i="1"/>
  <c r="E29" i="18"/>
  <c r="Y68" i="1"/>
  <c r="M29" i="18"/>
  <c r="P67" i="1"/>
  <c r="D29" i="18"/>
  <c r="Y84" i="1"/>
  <c r="Y86" i="1"/>
  <c r="Y93" i="1" s="1"/>
  <c r="U84" i="1"/>
  <c r="U86" i="1"/>
  <c r="U93" i="1" s="1"/>
  <c r="F44" i="5"/>
  <c r="D46" i="5" s="1"/>
  <c r="C44" i="5"/>
  <c r="D43" i="5" s="1"/>
  <c r="W86" i="1"/>
  <c r="W93" i="1" s="1"/>
  <c r="W85" i="1"/>
  <c r="X86" i="1"/>
  <c r="X93" i="1" s="1"/>
  <c r="X85" i="1"/>
  <c r="X92" i="1" s="1"/>
  <c r="V86" i="1"/>
  <c r="V93" i="1" s="1"/>
  <c r="V85" i="1"/>
  <c r="O241" i="1"/>
  <c r="D21" i="20" s="1"/>
  <c r="O236" i="1"/>
  <c r="S236" i="1"/>
  <c r="U67" i="1"/>
  <c r="Y67" i="1"/>
  <c r="V67" i="1"/>
  <c r="W67" i="1"/>
  <c r="Q236" i="1"/>
  <c r="R236" i="1"/>
  <c r="M39" i="1"/>
  <c r="F23" i="18" s="1"/>
  <c r="E59" i="8"/>
  <c r="F58" i="8"/>
  <c r="X41" i="1"/>
  <c r="L42" i="18" s="1"/>
  <c r="Y41" i="1"/>
  <c r="M42" i="18" s="1"/>
  <c r="W41" i="1"/>
  <c r="K42" i="18" s="1"/>
  <c r="V41" i="1"/>
  <c r="J42" i="18" s="1"/>
  <c r="E24" i="12"/>
  <c r="D25" i="12"/>
  <c r="D26" i="12" s="1"/>
  <c r="G27" i="12"/>
  <c r="F28" i="12"/>
  <c r="M35" i="1"/>
  <c r="F21" i="18" s="1"/>
  <c r="M17" i="1"/>
  <c r="F11" i="18" s="1"/>
  <c r="M37" i="1"/>
  <c r="F22" i="18" s="1"/>
  <c r="M19" i="1"/>
  <c r="F12" i="18" s="1"/>
  <c r="M15" i="1"/>
  <c r="F10" i="18" s="1"/>
  <c r="I35" i="19" l="1"/>
  <c r="Y92" i="1"/>
  <c r="M45" i="18" s="1"/>
  <c r="I34" i="19"/>
  <c r="O237" i="1"/>
  <c r="D16" i="20" s="1"/>
  <c r="D15" i="20"/>
  <c r="T237" i="1"/>
  <c r="I16" i="20" s="1"/>
  <c r="I15" i="20"/>
  <c r="R237" i="1"/>
  <c r="G16" i="20" s="1"/>
  <c r="G15" i="20"/>
  <c r="S237" i="1"/>
  <c r="H16" i="20" s="1"/>
  <c r="H15" i="20"/>
  <c r="P237" i="1"/>
  <c r="E16" i="20" s="1"/>
  <c r="E15" i="20"/>
  <c r="Q237" i="1"/>
  <c r="F16" i="20" s="1"/>
  <c r="F15" i="20"/>
  <c r="C66" i="19"/>
  <c r="B66" i="19"/>
  <c r="D66" i="19"/>
  <c r="F66" i="19"/>
  <c r="H66" i="19"/>
  <c r="M66" i="19"/>
  <c r="I66" i="19"/>
  <c r="E66" i="19"/>
  <c r="K66" i="19"/>
  <c r="L66" i="19"/>
  <c r="G66" i="19"/>
  <c r="J66" i="19"/>
  <c r="X91" i="1"/>
  <c r="X230" i="1" s="1"/>
  <c r="U92" i="1"/>
  <c r="I45" i="18" s="1"/>
  <c r="N91" i="1"/>
  <c r="N230" i="1" s="1"/>
  <c r="N239" i="1" s="1"/>
  <c r="C18" i="20" s="1"/>
  <c r="V91" i="1"/>
  <c r="J44" i="18" s="1"/>
  <c r="W91" i="1"/>
  <c r="K44" i="18" s="1"/>
  <c r="V92" i="1"/>
  <c r="J45" i="18" s="1"/>
  <c r="X241" i="1"/>
  <c r="M21" i="20" s="1"/>
  <c r="L46" i="18"/>
  <c r="Y241" i="1"/>
  <c r="N21" i="20" s="1"/>
  <c r="M46" i="18"/>
  <c r="V241" i="1"/>
  <c r="K21" i="20" s="1"/>
  <c r="J46" i="18"/>
  <c r="W241" i="1"/>
  <c r="L21" i="20" s="1"/>
  <c r="K46" i="18"/>
  <c r="X236" i="1"/>
  <c r="L45" i="18"/>
  <c r="U241" i="1"/>
  <c r="J21" i="20" s="1"/>
  <c r="I46" i="18"/>
  <c r="W92" i="1"/>
  <c r="Y91" i="1"/>
  <c r="E43" i="5"/>
  <c r="R229" i="1"/>
  <c r="V229" i="1"/>
  <c r="P229" i="1"/>
  <c r="Q229" i="1"/>
  <c r="W229" i="1"/>
  <c r="S229" i="1"/>
  <c r="X229" i="1"/>
  <c r="U229" i="1"/>
  <c r="C8" i="20"/>
  <c r="Y229" i="1"/>
  <c r="T229" i="1"/>
  <c r="O229" i="1"/>
  <c r="M93" i="1"/>
  <c r="F43" i="5"/>
  <c r="E34" i="8"/>
  <c r="G28" i="12"/>
  <c r="G29" i="12" s="1"/>
  <c r="H27" i="12"/>
  <c r="H28" i="12" s="1"/>
  <c r="F24" i="12"/>
  <c r="E25" i="12"/>
  <c r="E26" i="12" s="1"/>
  <c r="F29" i="12"/>
  <c r="B118" i="12" a="1"/>
  <c r="B118" i="12" s="1"/>
  <c r="J23" i="1" s="1"/>
  <c r="C14" i="18" s="1"/>
  <c r="O23" i="1"/>
  <c r="C33" i="18" s="1"/>
  <c r="P23" i="1"/>
  <c r="X239" i="1" l="1"/>
  <c r="M18" i="20" s="1"/>
  <c r="J8" i="20"/>
  <c r="M8" i="20"/>
  <c r="H8" i="20"/>
  <c r="L8" i="20"/>
  <c r="G8" i="20"/>
  <c r="F8" i="20"/>
  <c r="I8" i="20"/>
  <c r="E8" i="20"/>
  <c r="D8" i="20"/>
  <c r="N8" i="20"/>
  <c r="K8" i="20"/>
  <c r="X233" i="1"/>
  <c r="M12" i="20" s="1"/>
  <c r="C9" i="20"/>
  <c r="N233" i="1"/>
  <c r="C12" i="20" s="1"/>
  <c r="M9" i="20"/>
  <c r="Y236" i="1"/>
  <c r="Y237" i="1" s="1"/>
  <c r="X237" i="1"/>
  <c r="M16" i="20" s="1"/>
  <c r="M15" i="20"/>
  <c r="L44" i="18"/>
  <c r="B51" i="18"/>
  <c r="U236" i="1"/>
  <c r="B44" i="18"/>
  <c r="V230" i="1"/>
  <c r="V233" i="1" s="1"/>
  <c r="K12" i="20" s="1"/>
  <c r="P81" i="1"/>
  <c r="D33" i="18"/>
  <c r="W230" i="1"/>
  <c r="W233" i="1" s="1"/>
  <c r="L12" i="20" s="1"/>
  <c r="V236" i="1"/>
  <c r="M92" i="1"/>
  <c r="N231" i="1"/>
  <c r="C10" i="20" s="1"/>
  <c r="X231" i="1"/>
  <c r="M10" i="20" s="1"/>
  <c r="Y230" i="1"/>
  <c r="Y233" i="1" s="1"/>
  <c r="N12" i="20" s="1"/>
  <c r="M44" i="18"/>
  <c r="W236" i="1"/>
  <c r="K45" i="18"/>
  <c r="B50" i="18" s="1"/>
  <c r="G18" i="5"/>
  <c r="G38" i="5"/>
  <c r="G34" i="5"/>
  <c r="G41" i="5"/>
  <c r="G37" i="5"/>
  <c r="G33" i="5"/>
  <c r="G40" i="5"/>
  <c r="G36" i="5"/>
  <c r="G39" i="5"/>
  <c r="G35" i="5"/>
  <c r="M229" i="1"/>
  <c r="F52" i="8"/>
  <c r="G32" i="5"/>
  <c r="I32" i="5" s="1"/>
  <c r="F50" i="8"/>
  <c r="F51" i="8"/>
  <c r="O41" i="1"/>
  <c r="O81" i="1"/>
  <c r="O91" i="1" s="1"/>
  <c r="C44" i="18" s="1"/>
  <c r="M241" i="1"/>
  <c r="B21" i="20" s="1"/>
  <c r="H29" i="12"/>
  <c r="U23" i="1"/>
  <c r="I33" i="18" s="1"/>
  <c r="F25" i="12"/>
  <c r="F26" i="12" s="1"/>
  <c r="G24" i="12"/>
  <c r="G25" i="12" s="1"/>
  <c r="G26" i="12" s="1"/>
  <c r="P21" i="1"/>
  <c r="V239" i="1" l="1"/>
  <c r="K18" i="20" s="1"/>
  <c r="W239" i="1"/>
  <c r="L18" i="20" s="1"/>
  <c r="Y239" i="1"/>
  <c r="N18" i="20" s="1"/>
  <c r="C42" i="18"/>
  <c r="N15" i="20"/>
  <c r="W237" i="1"/>
  <c r="L16" i="20" s="1"/>
  <c r="L15" i="20"/>
  <c r="U237" i="1"/>
  <c r="J15" i="20"/>
  <c r="N238" i="1"/>
  <c r="N16" i="20"/>
  <c r="V237" i="1"/>
  <c r="K16" i="20" s="1"/>
  <c r="K15" i="20"/>
  <c r="N248" i="1"/>
  <c r="G26" i="20" s="1"/>
  <c r="B8" i="20"/>
  <c r="Y231" i="1"/>
  <c r="N10" i="20" s="1"/>
  <c r="N9" i="20"/>
  <c r="V231" i="1"/>
  <c r="K10" i="20" s="1"/>
  <c r="K9" i="20"/>
  <c r="W231" i="1"/>
  <c r="L10" i="20" s="1"/>
  <c r="L9" i="20"/>
  <c r="P80" i="1"/>
  <c r="P91" i="1" s="1"/>
  <c r="D44" i="18" s="1"/>
  <c r="D32" i="18"/>
  <c r="M236" i="1"/>
  <c r="B15" i="20" s="1"/>
  <c r="I38" i="5"/>
  <c r="H38" i="5"/>
  <c r="I39" i="5"/>
  <c r="H39" i="5"/>
  <c r="I37" i="5"/>
  <c r="H37" i="5"/>
  <c r="I36" i="5"/>
  <c r="H36" i="5"/>
  <c r="I41" i="5"/>
  <c r="H41" i="5"/>
  <c r="I40" i="5"/>
  <c r="H40" i="5"/>
  <c r="I34" i="5"/>
  <c r="H34" i="5"/>
  <c r="I35" i="5"/>
  <c r="H35" i="5"/>
  <c r="I33" i="5"/>
  <c r="H33" i="5"/>
  <c r="H18" i="5"/>
  <c r="I18" i="5"/>
  <c r="H32" i="5"/>
  <c r="G30" i="5"/>
  <c r="I30" i="5" s="1"/>
  <c r="G31" i="5"/>
  <c r="I31" i="5" s="1"/>
  <c r="G28" i="5"/>
  <c r="I28" i="5" s="1"/>
  <c r="G29" i="5"/>
  <c r="I29" i="5" s="1"/>
  <c r="G26" i="5"/>
  <c r="I26" i="5" s="1"/>
  <c r="G27" i="5"/>
  <c r="I27" i="5" s="1"/>
  <c r="G24" i="5"/>
  <c r="I24" i="5" s="1"/>
  <c r="G25" i="5"/>
  <c r="I25" i="5" s="1"/>
  <c r="G22" i="5"/>
  <c r="I22" i="5" s="1"/>
  <c r="G23" i="5"/>
  <c r="I23" i="5" s="1"/>
  <c r="G20" i="5"/>
  <c r="G21" i="5"/>
  <c r="I21" i="5" s="1"/>
  <c r="G19" i="5"/>
  <c r="I19" i="5" s="1"/>
  <c r="O230" i="1"/>
  <c r="U41" i="1"/>
  <c r="I42" i="18" s="1"/>
  <c r="U81" i="1"/>
  <c r="U91" i="1" s="1"/>
  <c r="I44" i="18" s="1"/>
  <c r="P41" i="1"/>
  <c r="D42" i="18" s="1"/>
  <c r="B117" i="12" a="1"/>
  <c r="B117" i="12" s="1"/>
  <c r="Q23" i="1"/>
  <c r="R23" i="1"/>
  <c r="Q21" i="1"/>
  <c r="O233" i="1" l="1"/>
  <c r="D12" i="20" s="1"/>
  <c r="O239" i="1"/>
  <c r="D18" i="20" s="1"/>
  <c r="I20" i="5"/>
  <c r="I43" i="5" s="1"/>
  <c r="H20" i="5"/>
  <c r="M237" i="1"/>
  <c r="B16" i="20" s="1"/>
  <c r="J16" i="20"/>
  <c r="O238" i="1"/>
  <c r="C17" i="20"/>
  <c r="E33" i="8"/>
  <c r="E35" i="8" s="1"/>
  <c r="O231" i="1"/>
  <c r="D10" i="20" s="1"/>
  <c r="D9" i="20"/>
  <c r="N232" i="1"/>
  <c r="C11" i="20" s="1"/>
  <c r="R81" i="1"/>
  <c r="F33" i="18"/>
  <c r="Q81" i="1"/>
  <c r="E33" i="18"/>
  <c r="P230" i="1"/>
  <c r="Q80" i="1"/>
  <c r="E32" i="18"/>
  <c r="G43" i="5"/>
  <c r="H31" i="5"/>
  <c r="H30" i="5"/>
  <c r="H29" i="5"/>
  <c r="H28" i="5"/>
  <c r="H27" i="5"/>
  <c r="H26" i="5"/>
  <c r="H25" i="5"/>
  <c r="H24" i="5"/>
  <c r="H23" i="5"/>
  <c r="H21" i="5"/>
  <c r="H19" i="5"/>
  <c r="H22" i="5"/>
  <c r="U230" i="1"/>
  <c r="Q41" i="1"/>
  <c r="E42" i="18" s="1"/>
  <c r="R21" i="1"/>
  <c r="F32" i="18" s="1"/>
  <c r="U233" i="1" l="1"/>
  <c r="J12" i="20" s="1"/>
  <c r="U239" i="1"/>
  <c r="J18" i="20" s="1"/>
  <c r="P233" i="1"/>
  <c r="E12" i="20" s="1"/>
  <c r="P239" i="1"/>
  <c r="E18" i="20" s="1"/>
  <c r="P238" i="1"/>
  <c r="D17" i="20"/>
  <c r="P231" i="1"/>
  <c r="E10" i="20" s="1"/>
  <c r="E9" i="20"/>
  <c r="U231" i="1"/>
  <c r="J10" i="20" s="1"/>
  <c r="J9" i="20"/>
  <c r="O232" i="1"/>
  <c r="D11" i="20" s="1"/>
  <c r="Q91" i="1"/>
  <c r="Q230" i="1" s="1"/>
  <c r="H43" i="5"/>
  <c r="R41" i="1"/>
  <c r="R80" i="1"/>
  <c r="R91" i="1" s="1"/>
  <c r="F44" i="18" s="1"/>
  <c r="S23" i="1"/>
  <c r="T23" i="1"/>
  <c r="T21" i="1"/>
  <c r="S21" i="1"/>
  <c r="Q233" i="1" l="1"/>
  <c r="F12" i="20" s="1"/>
  <c r="Q239" i="1"/>
  <c r="F18" i="20" s="1"/>
  <c r="F42" i="18"/>
  <c r="Q238" i="1"/>
  <c r="E17" i="20"/>
  <c r="Q231" i="1"/>
  <c r="F10" i="20" s="1"/>
  <c r="F9" i="20"/>
  <c r="P232" i="1"/>
  <c r="E11" i="20" s="1"/>
  <c r="E44" i="18"/>
  <c r="T81" i="1"/>
  <c r="H33" i="18"/>
  <c r="S81" i="1"/>
  <c r="G33" i="18"/>
  <c r="S80" i="1"/>
  <c r="G32" i="18"/>
  <c r="T80" i="1"/>
  <c r="H32" i="18"/>
  <c r="R230" i="1"/>
  <c r="M21" i="1"/>
  <c r="S41" i="1"/>
  <c r="G42" i="18" s="1"/>
  <c r="T41" i="1"/>
  <c r="H42" i="18" s="1"/>
  <c r="C118" i="12"/>
  <c r="M23" i="1"/>
  <c r="R233" i="1" l="1"/>
  <c r="G12" i="20" s="1"/>
  <c r="R239" i="1"/>
  <c r="G18" i="20" s="1"/>
  <c r="G9" i="20"/>
  <c r="M41" i="1"/>
  <c r="R238" i="1"/>
  <c r="F17" i="20"/>
  <c r="Q232" i="1"/>
  <c r="F11" i="20" s="1"/>
  <c r="S91" i="1"/>
  <c r="G44" i="18" s="1"/>
  <c r="L23" i="1"/>
  <c r="E14" i="18" s="1"/>
  <c r="F14" i="18"/>
  <c r="T91" i="1"/>
  <c r="L21" i="1"/>
  <c r="F13" i="18"/>
  <c r="R231" i="1"/>
  <c r="C117" i="12"/>
  <c r="B125" i="12" s="1"/>
  <c r="B127" i="12" s="1"/>
  <c r="L41" i="1" l="1"/>
  <c r="K41" i="1" s="1"/>
  <c r="E13" i="18"/>
  <c r="S238" i="1"/>
  <c r="G17" i="20"/>
  <c r="R232" i="1"/>
  <c r="G11" i="20" s="1"/>
  <c r="G10" i="20"/>
  <c r="S230" i="1"/>
  <c r="M91" i="1"/>
  <c r="T230" i="1"/>
  <c r="H44" i="18"/>
  <c r="B49" i="18" s="1"/>
  <c r="E26" i="8"/>
  <c r="E39" i="8" s="1"/>
  <c r="E41" i="8" s="1"/>
  <c r="F25" i="18"/>
  <c r="B53" i="18" s="1"/>
  <c r="S233" i="1" l="1"/>
  <c r="H12" i="20" s="1"/>
  <c r="S239" i="1"/>
  <c r="H18" i="20" s="1"/>
  <c r="T233" i="1"/>
  <c r="I12" i="20" s="1"/>
  <c r="T239" i="1"/>
  <c r="I18" i="20" s="1"/>
  <c r="E25" i="18"/>
  <c r="T238" i="1"/>
  <c r="H17" i="20"/>
  <c r="T231" i="1"/>
  <c r="I10" i="20" s="1"/>
  <c r="I9" i="20"/>
  <c r="S231" i="1"/>
  <c r="H9" i="20"/>
  <c r="M230" i="1"/>
  <c r="E25" i="8"/>
  <c r="J41" i="1"/>
  <c r="I17" i="20" l="1"/>
  <c r="U238" i="1"/>
  <c r="M231" i="1"/>
  <c r="B10" i="20" s="1"/>
  <c r="B9" i="20"/>
  <c r="S232" i="1"/>
  <c r="H10" i="20"/>
  <c r="N246" i="1"/>
  <c r="I12" i="5"/>
  <c r="E52" i="8" s="1"/>
  <c r="I9" i="5"/>
  <c r="J36" i="5" l="1"/>
  <c r="J41" i="5"/>
  <c r="J40" i="5"/>
  <c r="J34" i="5"/>
  <c r="J35" i="5"/>
  <c r="J33" i="5"/>
  <c r="J38" i="5"/>
  <c r="J39" i="5"/>
  <c r="J37" i="5"/>
  <c r="J17" i="20"/>
  <c r="V238" i="1"/>
  <c r="J32" i="5"/>
  <c r="J31" i="5"/>
  <c r="J30" i="5"/>
  <c r="H11" i="20"/>
  <c r="T232" i="1"/>
  <c r="N267" i="1"/>
  <c r="G42" i="20" s="1"/>
  <c r="G25" i="20"/>
  <c r="E51" i="8"/>
  <c r="E50" i="8"/>
  <c r="N250" i="1"/>
  <c r="G28" i="20" s="1"/>
  <c r="J23" i="5"/>
  <c r="J26" i="5"/>
  <c r="J19" i="5"/>
  <c r="J28" i="5"/>
  <c r="J22" i="5"/>
  <c r="J21" i="5"/>
  <c r="J20" i="5"/>
  <c r="J25" i="5"/>
  <c r="J24" i="5"/>
  <c r="J29" i="5"/>
  <c r="J27" i="5"/>
  <c r="E24" i="8"/>
  <c r="E46" i="8" s="1"/>
  <c r="E58" i="8" s="1"/>
  <c r="J18" i="5"/>
  <c r="W238" i="1" l="1"/>
  <c r="K17" i="20"/>
  <c r="U232" i="1"/>
  <c r="I11" i="20"/>
  <c r="X238" i="1" l="1"/>
  <c r="L17" i="20"/>
  <c r="V232" i="1"/>
  <c r="J11" i="20"/>
  <c r="Y238" i="1" l="1"/>
  <c r="N17" i="20" s="1"/>
  <c r="M17" i="20"/>
  <c r="W232" i="1"/>
  <c r="K11" i="20"/>
  <c r="X232" i="1" l="1"/>
  <c r="L11" i="20"/>
  <c r="Y232" i="1" l="1"/>
  <c r="N11" i="20" s="1"/>
  <c r="M11"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Kirwan, Bryon - NRCS, Champaign, IL</author>
    <author>lauren Cartwright</author>
  </authors>
  <commentList>
    <comment ref="H11" authorId="0" shapeId="0" xr:uid="{00000000-0006-0000-0000-000001000000}">
      <text>
        <r>
          <rPr>
            <sz val="9"/>
            <color indexed="81"/>
            <rFont val="Tahoma"/>
            <charset val="1"/>
          </rPr>
          <t xml:space="preserve">Minimum Plan Grazing Days
Southern Illinois     210 days
Central Illinois        180 days
Norhtern Illinois     150 days
</t>
        </r>
      </text>
    </comment>
    <comment ref="K15" authorId="0" shapeId="0" xr:uid="{00000000-0006-0000-0000-000002000000}">
      <text>
        <r>
          <rPr>
            <sz val="9"/>
            <color indexed="81"/>
            <rFont val="Tahoma"/>
            <family val="2"/>
          </rPr>
          <t>Recommended Intake Rates
Stockers/Replacement        3-3.5%
Cow/Calf pairs                   2.6%
Dry Cow                            2%
Lactating Cow                    3-4%
Dairy Cow                         2.5-3.5% + grain
Horse                                 2-3% + grain
Dry Sheep/Goat                 3% 
Lactating Sheep/Goat         3.5-4%
Doeling/Ewe                      3%</t>
        </r>
      </text>
    </comment>
    <comment ref="K17" authorId="0" shapeId="0" xr:uid="{BE256EA5-2C15-4C29-AE17-829948A8077F}">
      <text>
        <r>
          <rPr>
            <sz val="9"/>
            <color indexed="81"/>
            <rFont val="Tahoma"/>
            <charset val="1"/>
          </rPr>
          <t>Recommended Intake Rates
Stockers/Replacements     3%-3.5%
Cow/Calf Pairs                 2.6%
Dry Cow                          2.0%
Lactating Cow                  3.0%-4.0%
Dairy Cow                       2.5%-3.5% + grain
Horse                              2.0%-3.0% + grain
Dry Sheep/Goat               3.0%
Lactating Sheep/Goat       3.5%-4.0%
Doeling/Ewe                    3%</t>
        </r>
      </text>
    </comment>
    <comment ref="K19" authorId="0" shapeId="0" xr:uid="{72B65947-AB50-4AE3-85CE-1756261D7F73}">
      <text>
        <r>
          <rPr>
            <sz val="9"/>
            <color indexed="81"/>
            <rFont val="Tahoma"/>
            <charset val="1"/>
          </rPr>
          <t>Recommended Intake Rates
Stockers/Replacements             3.0%-3.5%
Cow/Calf Pairs                          2.6%
Dry Cow                                  2.0%
Lactating Cow                          3.0%-4.0%
Dairy Cow                               2.5%-3.5% + grain
Horse                                      2.0%-3.0% + grain
Dry Sheep/goat                       3.0%
Lactating Sheep/Goat               3.5%-4.0%
Doeling/Ewe                            3.0%</t>
        </r>
      </text>
    </comment>
    <comment ref="K21" authorId="0" shapeId="0" xr:uid="{B856D325-6562-4E39-BDB9-CBEB8EF8B646}">
      <text>
        <r>
          <rPr>
            <sz val="9"/>
            <color indexed="81"/>
            <rFont val="Tahoma"/>
            <family val="2"/>
          </rPr>
          <t xml:space="preserve">Recommended Intake Rates
Stockers/Replacements                                 3.0%-3.5%
Cow/Calf Pairs                                                        2.6%
Dry Cow                                                                      2.0%
Lactating Cow                                                       3.0%-4.0%
Dairy Cow                                                                  2.5%-3.5% + grain
Horse                                                                           2.0%-3.0% + grain
Dry Sheep/Goat                                                   3.0%
Lactating Sheep/Goat                                    3.5%-4.0%
Doeling/Ewe                                                           3.0%
</t>
        </r>
      </text>
    </comment>
    <comment ref="K23" authorId="0" shapeId="0" xr:uid="{CB2880CF-0ACD-455D-8A6C-051B11DEB6FB}">
      <text>
        <r>
          <rPr>
            <sz val="9"/>
            <color indexed="81"/>
            <rFont val="Tahoma"/>
            <charset val="1"/>
          </rPr>
          <t>Recommended Intake Rates
Stockers/Repalcements                 3.0%-3.5%
Cow/Calf Pairs                              2.6%
Dry Cow                                      2.0%
Lactating Cow                              3.0%-4.0%
Dairy Cow                                   2.5%-3.5% + grain
Horse                                           2.0%-3.0% + grain
Dry Sheep/Goat                           3.0%
Lactating Sheep/Goat                   3.5%-4.0%
Doeling/Ewe                                 3.0%</t>
        </r>
      </text>
    </comment>
    <comment ref="K26" authorId="0" shapeId="0" xr:uid="{5E90641A-949D-487F-908E-3910C5EE034C}">
      <text>
        <r>
          <rPr>
            <sz val="9"/>
            <color indexed="81"/>
            <rFont val="Tahoma"/>
            <charset val="1"/>
          </rPr>
          <t xml:space="preserve">Recommended Intake Rates
Lactating Cow      3.0%-4.0%
Lactating Goat      3.5%-4.0%
Dairy Cow           2.5%-3.5% + grain
</t>
        </r>
      </text>
    </comment>
    <comment ref="K27" authorId="0" shapeId="0" xr:uid="{D9B99CD3-9B1F-4110-8956-B2C006A2A488}">
      <text>
        <r>
          <rPr>
            <sz val="9"/>
            <color indexed="81"/>
            <rFont val="Tahoma"/>
            <charset val="1"/>
          </rPr>
          <t xml:space="preserve">Recommended Intake Rates
Dry Cow                  2.0%
Dry Goat                  3.0%
</t>
        </r>
      </text>
    </comment>
    <comment ref="K29" authorId="0" shapeId="0" xr:uid="{8951AA73-C47E-4D4F-B4B2-58DAFE7700E1}">
      <text>
        <r>
          <rPr>
            <sz val="9"/>
            <color indexed="81"/>
            <rFont val="Tahoma"/>
            <charset val="1"/>
          </rPr>
          <t xml:space="preserve">Recommended Intake Rates
Lactating Cow           3.0%-4.0%
Lactating Goat           3.5%-4.0%
Dairy Cow                2.5%-3.5% + grain
</t>
        </r>
      </text>
    </comment>
    <comment ref="K31" authorId="0" shapeId="0" xr:uid="{BF2A6EB3-3E2B-4BC1-AB42-21CFBAD1C77D}">
      <text>
        <r>
          <rPr>
            <sz val="9"/>
            <color indexed="81"/>
            <rFont val="Tahoma"/>
            <charset val="1"/>
          </rPr>
          <t xml:space="preserve">Recommended Intake Rates
Dry Cow         2.0%
Dry Goat         3.0%
</t>
        </r>
      </text>
    </comment>
    <comment ref="K33" authorId="0" shapeId="0" xr:uid="{739A90DC-E662-40C7-B22E-1F5EF9A9134F}">
      <text>
        <r>
          <rPr>
            <sz val="9"/>
            <color indexed="81"/>
            <rFont val="Tahoma"/>
            <charset val="1"/>
          </rPr>
          <t xml:space="preserve">Recommended Intake Rates
Working Bull           2.0%-2.6%
Non-working Bull    2.0%
</t>
        </r>
      </text>
    </comment>
    <comment ref="K35" authorId="0" shapeId="0" xr:uid="{1C4A004D-56D6-490F-A33C-06B2C03878F1}">
      <text>
        <r>
          <rPr>
            <sz val="9"/>
            <color indexed="81"/>
            <rFont val="Tahoma"/>
            <charset val="1"/>
          </rPr>
          <t xml:space="preserve">Recommended Intake Rates
Horse     2.0%-3.0% + grain
</t>
        </r>
      </text>
    </comment>
    <comment ref="K37" authorId="0" shapeId="0" xr:uid="{764FDF41-F0B7-4E2E-8C91-F8678FC37568}">
      <text>
        <r>
          <rPr>
            <sz val="9"/>
            <color indexed="81"/>
            <rFont val="Tahoma"/>
            <charset val="1"/>
          </rPr>
          <t xml:space="preserve">Recommended Intake Rates
Dry Sheep/Goats         3.0%
Lactating Sheep/Goats  3.5%-4.0%
Doeling/Ewe                3.0%
</t>
        </r>
      </text>
    </comment>
    <comment ref="K39" authorId="0" shapeId="0" xr:uid="{462B5958-ABF6-40B0-A3C7-1D3BBBDBBA5B}">
      <text>
        <r>
          <rPr>
            <sz val="9"/>
            <color indexed="81"/>
            <rFont val="Tahoma"/>
            <charset val="1"/>
          </rPr>
          <t xml:space="preserve">Recommended Intake Rates
Dry Sheep/Goats           3.0%
Lactating Sheep/Goats   3.5%-4.0%
Doeling/Ewe                  3.0%
</t>
        </r>
      </text>
    </comment>
    <comment ref="J103" authorId="0" shapeId="0" xr:uid="{00000000-0006-0000-0000-000003000000}">
      <text>
        <r>
          <rPr>
            <b/>
            <sz val="9"/>
            <color indexed="81"/>
            <rFont val="Tahoma"/>
            <family val="2"/>
          </rPr>
          <t>See Note on TFP, Total Forage Production below</t>
        </r>
        <r>
          <rPr>
            <sz val="9"/>
            <color indexed="81"/>
            <rFont val="Tahoma"/>
            <family val="2"/>
          </rPr>
          <t xml:space="preserve">
</t>
        </r>
      </text>
    </comment>
    <comment ref="L103" authorId="0" shapeId="0" xr:uid="{00000000-0006-0000-0000-000004000000}">
      <text>
        <r>
          <rPr>
            <sz val="9"/>
            <color indexed="81"/>
            <rFont val="Tahoma"/>
            <family val="2"/>
          </rPr>
          <t>Grazing Efficiency Table
# Pastures     Grazing Cycle    % Efficiency
1-4                continuious         25-30%
5                   7 day cycle          35%
6                   6 day cycle          40%
7                   5 day cycle          45%
8                   4 day cycle          50%
11                 3 day cycle           55%
16                 2 day cycle           60%
31                 1 day cycle           65%
63                 12 hour cycle       70%
Strip Grazing                            70-75%</t>
        </r>
      </text>
    </comment>
    <comment ref="L185" authorId="0" shapeId="0" xr:uid="{00000000-0006-0000-0000-000005000000}">
      <text>
        <r>
          <rPr>
            <b/>
            <sz val="9"/>
            <color indexed="81"/>
            <rFont val="Tahoma"/>
            <family val="2"/>
          </rPr>
          <t>suggested efficiency is 70%</t>
        </r>
        <r>
          <rPr>
            <sz val="9"/>
            <color indexed="81"/>
            <rFont val="Tahoma"/>
            <family val="2"/>
          </rPr>
          <t xml:space="preserve">
</t>
        </r>
      </text>
    </comment>
    <comment ref="L199" authorId="0" shapeId="0" xr:uid="{AC379601-8133-4435-A039-25FCA1129B57}">
      <text>
        <r>
          <rPr>
            <sz val="9"/>
            <color indexed="81"/>
            <rFont val="Tahoma"/>
            <charset val="1"/>
          </rPr>
          <t>Grazing Efficiency Table
# Pastures     Grazing Cycle    % Efficiency
1-4                continuious         25-30%
5                   7 day cycle          35%
6                   6 day cycle          40%
7                   5 day cycle          45%
8                   4 day cycle          50%
11                 3 day cycle           55%
16                 2 day cycle           60%
31                 1 day cycle           65%
63                 12 hour cycle       70%
Strip Grazing                            70-75%</t>
        </r>
      </text>
    </comment>
    <comment ref="K210" authorId="1" shapeId="0" xr:uid="{00000000-0006-0000-0000-000006000000}">
      <text>
        <r>
          <rPr>
            <b/>
            <sz val="12"/>
            <color indexed="81"/>
            <rFont val="Arial"/>
            <family val="2"/>
          </rPr>
          <t>Enter haying month as a number:  e.g. Jan = 1, Feb = 2, Mar = 3...</t>
        </r>
        <r>
          <rPr>
            <sz val="9"/>
            <color indexed="81"/>
            <rFont val="Tahoma"/>
            <family val="2"/>
          </rPr>
          <t xml:space="preserve">
</t>
        </r>
      </text>
    </comment>
    <comment ref="M213" authorId="0" shapeId="0" xr:uid="{00000000-0006-0000-0000-000007000000}">
      <text>
        <r>
          <rPr>
            <b/>
            <sz val="9"/>
            <color indexed="81"/>
            <rFont val="Tahoma"/>
            <family val="2"/>
          </rPr>
          <t>suggested efficiency is 70%:</t>
        </r>
        <r>
          <rPr>
            <sz val="9"/>
            <color indexed="81"/>
            <rFont val="Tahoma"/>
            <family val="2"/>
          </rPr>
          <t xml:space="preserve">
</t>
        </r>
      </text>
    </comment>
    <comment ref="N255" authorId="0" shapeId="0" xr:uid="{00000000-0006-0000-0000-000008000000}">
      <text>
        <r>
          <rPr>
            <sz val="9"/>
            <color indexed="81"/>
            <rFont val="Tahoma"/>
            <charset val="1"/>
          </rPr>
          <t xml:space="preserve">Hay lost in storage estimates can be found under the hay loss storage tab.
Add 5%-7% to the storage loss to account for animal wasteage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Economics Department</author>
    <author>William Edwards</author>
  </authors>
  <commentList>
    <comment ref="C5" authorId="0" shapeId="0" xr:uid="{00000000-0006-0000-0B00-000001000000}">
      <text>
        <r>
          <rPr>
            <sz val="8"/>
            <color indexed="81"/>
            <rFont val="Tahoma"/>
            <family val="2"/>
          </rPr>
          <t>Place the cursor over cells with red triangles to read comments.</t>
        </r>
      </text>
    </comment>
    <comment ref="E10" authorId="1" shapeId="0" xr:uid="{00000000-0006-0000-0B00-000002000000}">
      <text>
        <r>
          <rPr>
            <sz val="8"/>
            <color indexed="81"/>
            <rFont val="Tahoma"/>
            <family val="2"/>
          </rPr>
          <t>Tons harvested per acre per 
year, total for all cuttings.</t>
        </r>
      </text>
    </comment>
    <comment ref="E14" authorId="1" shapeId="0" xr:uid="{00000000-0006-0000-0B00-000003000000}">
      <text>
        <r>
          <rPr>
            <sz val="8"/>
            <color indexed="81"/>
            <rFont val="Tahoma"/>
            <family val="2"/>
          </rPr>
          <t>Tons needed for feed needs or to sell.</t>
        </r>
      </text>
    </comment>
    <comment ref="E44" authorId="1" shapeId="0" xr:uid="{00000000-0006-0000-0B00-000004000000}">
      <text>
        <r>
          <rPr>
            <sz val="8"/>
            <color indexed="81"/>
            <rFont val="Tahoma"/>
            <family val="2"/>
          </rPr>
          <t>Acres harvested x yield per acre</t>
        </r>
      </text>
    </comment>
    <comment ref="F44" authorId="1" shapeId="0" xr:uid="{00000000-0006-0000-0B00-000005000000}">
      <text>
        <r>
          <rPr>
            <sz val="8"/>
            <color indexed="81"/>
            <rFont val="Tahoma"/>
            <family val="2"/>
          </rPr>
          <t>Acres harvested x yield per acre</t>
        </r>
      </text>
    </comment>
    <comment ref="G44" authorId="1" shapeId="0" xr:uid="{00000000-0006-0000-0B00-000006000000}">
      <text>
        <r>
          <rPr>
            <sz val="8"/>
            <color indexed="81"/>
            <rFont val="Tahoma"/>
            <family val="2"/>
          </rPr>
          <t>Acres harvested x yield per acre</t>
        </r>
      </text>
    </comment>
    <comment ref="H44" authorId="1" shapeId="0" xr:uid="{00000000-0006-0000-0B00-000007000000}">
      <text>
        <r>
          <rPr>
            <sz val="8"/>
            <color indexed="81"/>
            <rFont val="Tahoma"/>
            <family val="2"/>
          </rPr>
          <t>Acres harvested x yield per acre</t>
        </r>
      </text>
    </comment>
    <comment ref="I44" authorId="1" shapeId="0" xr:uid="{00000000-0006-0000-0B00-000008000000}">
      <text>
        <r>
          <rPr>
            <sz val="8"/>
            <color indexed="81"/>
            <rFont val="Tahoma"/>
            <family val="2"/>
          </rPr>
          <t>Acres harvested x yield per acre</t>
        </r>
      </text>
    </comment>
    <comment ref="J44" authorId="1" shapeId="0" xr:uid="{00000000-0006-0000-0B00-000009000000}">
      <text>
        <r>
          <rPr>
            <sz val="8"/>
            <color indexed="81"/>
            <rFont val="Tahoma"/>
            <family val="2"/>
          </rPr>
          <t>Acres harvested x yield per acre</t>
        </r>
      </text>
    </comment>
    <comment ref="K44" authorId="1" shapeId="0" xr:uid="{00000000-0006-0000-0B00-00000A000000}">
      <text>
        <r>
          <rPr>
            <sz val="8"/>
            <color indexed="81"/>
            <rFont val="Tahoma"/>
            <family val="2"/>
          </rPr>
          <t>Acres harvested x yield per acre</t>
        </r>
      </text>
    </comment>
    <comment ref="L44" authorId="1" shapeId="0" xr:uid="{00000000-0006-0000-0B00-00000B000000}">
      <text>
        <r>
          <rPr>
            <sz val="8"/>
            <color indexed="81"/>
            <rFont val="Tahoma"/>
            <family val="2"/>
          </rPr>
          <t>Acres harvested x yield per acre</t>
        </r>
      </text>
    </comment>
    <comment ref="E46" authorId="1" shapeId="0" xr:uid="{00000000-0006-0000-0B00-00000C000000}">
      <text>
        <r>
          <rPr>
            <sz val="8"/>
            <color indexed="81"/>
            <rFont val="Tahoma"/>
            <family val="2"/>
          </rPr>
          <t>Tons harvested divided by weight per ton</t>
        </r>
      </text>
    </comment>
    <comment ref="F46" authorId="1" shapeId="0" xr:uid="{00000000-0006-0000-0B00-00000D000000}">
      <text>
        <r>
          <rPr>
            <sz val="8"/>
            <color indexed="81"/>
            <rFont val="Tahoma"/>
            <family val="2"/>
          </rPr>
          <t>Tons harvested divided by weight per ton</t>
        </r>
      </text>
    </comment>
    <comment ref="G46" authorId="1" shapeId="0" xr:uid="{00000000-0006-0000-0B00-00000E000000}">
      <text>
        <r>
          <rPr>
            <sz val="8"/>
            <color indexed="81"/>
            <rFont val="Tahoma"/>
            <family val="2"/>
          </rPr>
          <t>Tons harvested divided by weight per ton</t>
        </r>
      </text>
    </comment>
    <comment ref="H46" authorId="1" shapeId="0" xr:uid="{00000000-0006-0000-0B00-00000F000000}">
      <text>
        <r>
          <rPr>
            <sz val="8"/>
            <color indexed="81"/>
            <rFont val="Tahoma"/>
            <family val="2"/>
          </rPr>
          <t>Tons harvested divided by weight per ton</t>
        </r>
      </text>
    </comment>
    <comment ref="I46" authorId="1" shapeId="0" xr:uid="{00000000-0006-0000-0B00-000010000000}">
      <text>
        <r>
          <rPr>
            <sz val="8"/>
            <color indexed="81"/>
            <rFont val="Tahoma"/>
            <family val="2"/>
          </rPr>
          <t>Tons harvested divided by weight per ton</t>
        </r>
      </text>
    </comment>
    <comment ref="J46" authorId="1" shapeId="0" xr:uid="{00000000-0006-0000-0B00-000011000000}">
      <text>
        <r>
          <rPr>
            <sz val="8"/>
            <color indexed="81"/>
            <rFont val="Tahoma"/>
            <family val="2"/>
          </rPr>
          <t>Tons harvested divided by weight per ton</t>
        </r>
      </text>
    </comment>
    <comment ref="K46" authorId="1" shapeId="0" xr:uid="{00000000-0006-0000-0B00-000012000000}">
      <text>
        <r>
          <rPr>
            <sz val="8"/>
            <color indexed="81"/>
            <rFont val="Tahoma"/>
            <family val="2"/>
          </rPr>
          <t>Tons harvested divided by weight per ton</t>
        </r>
      </text>
    </comment>
    <comment ref="L46" authorId="1" shapeId="0" xr:uid="{00000000-0006-0000-0B00-000013000000}">
      <text>
        <r>
          <rPr>
            <sz val="8"/>
            <color indexed="81"/>
            <rFont val="Tahoma"/>
            <family val="2"/>
          </rPr>
          <t>Tons harvested divided by weight per ton</t>
        </r>
      </text>
    </comment>
    <comment ref="E47" authorId="1" shapeId="0" xr:uid="{00000000-0006-0000-0B00-000014000000}">
      <text>
        <r>
          <rPr>
            <sz val="8"/>
            <color indexed="81"/>
            <rFont val="Tahoma"/>
            <family val="2"/>
          </rPr>
          <t>Width x length (or diameter) of bale, x 
no. of bales, divided by no. of layers, 
plus 5% for edges</t>
        </r>
      </text>
    </comment>
    <comment ref="F47" authorId="1" shapeId="0" xr:uid="{00000000-0006-0000-0B00-000015000000}">
      <text>
        <r>
          <rPr>
            <sz val="8"/>
            <color indexed="81"/>
            <rFont val="Tahoma"/>
            <family val="2"/>
          </rPr>
          <t>Width x length (or diameter) of bale, x 
no. of bales, divided by no. of layers, 
plus 5% for edges</t>
        </r>
      </text>
    </comment>
    <comment ref="G47" authorId="1" shapeId="0" xr:uid="{00000000-0006-0000-0B00-000016000000}">
      <text>
        <r>
          <rPr>
            <sz val="8"/>
            <color indexed="81"/>
            <rFont val="Tahoma"/>
            <family val="2"/>
          </rPr>
          <t>Width x length (or diameter) of bale, x 
no. of bales, divided by no. of layers, 
plus 5% for edges</t>
        </r>
      </text>
    </comment>
    <comment ref="H47" authorId="1" shapeId="0" xr:uid="{00000000-0006-0000-0B00-000017000000}">
      <text>
        <r>
          <rPr>
            <sz val="8"/>
            <color indexed="81"/>
            <rFont val="Tahoma"/>
            <family val="2"/>
          </rPr>
          <t>Width x length (or diameter) of bale, x 
no. of bales, divided by no. of layers, 
plus 5% for edges</t>
        </r>
      </text>
    </comment>
    <comment ref="I47" authorId="1" shapeId="0" xr:uid="{00000000-0006-0000-0B00-000018000000}">
      <text>
        <r>
          <rPr>
            <sz val="8"/>
            <color indexed="81"/>
            <rFont val="Tahoma"/>
            <family val="2"/>
          </rPr>
          <t>Width x length (or diameter) of bale, x 
no. of bales, divided by no. of layers, 
plus 5% for edges</t>
        </r>
      </text>
    </comment>
    <comment ref="J47" authorId="1" shapeId="0" xr:uid="{00000000-0006-0000-0B00-000019000000}">
      <text>
        <r>
          <rPr>
            <sz val="8"/>
            <color indexed="81"/>
            <rFont val="Tahoma"/>
            <family val="2"/>
          </rPr>
          <t>Width x length (or diameter) of bale, x 
no. of bales, divided by no. of layers, 
plus 5% for edges</t>
        </r>
      </text>
    </comment>
    <comment ref="K47" authorId="1" shapeId="0" xr:uid="{00000000-0006-0000-0B00-00001A000000}">
      <text>
        <r>
          <rPr>
            <sz val="8"/>
            <color indexed="81"/>
            <rFont val="Tahoma"/>
            <family val="2"/>
          </rPr>
          <t>Width x length (or diameter) of bale, x 
no. of bales, divided by no. of layers, 
plus 5% for edges</t>
        </r>
      </text>
    </comment>
    <comment ref="L47" authorId="1" shapeId="0" xr:uid="{00000000-0006-0000-0B00-00001B000000}">
      <text>
        <r>
          <rPr>
            <sz val="8"/>
            <color indexed="81"/>
            <rFont val="Tahoma"/>
            <family val="2"/>
          </rPr>
          <t>Width x length (or diameter) of bale, x 
no. of bales, divided by no. of layers, 
plus 5% for edges</t>
        </r>
      </text>
    </comment>
    <comment ref="J48" authorId="1" shapeId="0" xr:uid="{00000000-0006-0000-0B00-00001C000000}">
      <text>
        <r>
          <rPr>
            <sz val="8"/>
            <color indexed="81"/>
            <rFont val="Tahoma"/>
            <family val="2"/>
          </rPr>
          <t>Construction cost per square foot x 
square feet needed for storage</t>
        </r>
      </text>
    </comment>
    <comment ref="K48" authorId="1" shapeId="0" xr:uid="{00000000-0006-0000-0B00-00001D000000}">
      <text>
        <r>
          <rPr>
            <sz val="8"/>
            <color indexed="81"/>
            <rFont val="Tahoma"/>
            <family val="2"/>
          </rPr>
          <t>Construction cost per square foot x 
square feet needed for storage</t>
        </r>
      </text>
    </comment>
    <comment ref="F49" authorId="1" shapeId="0" xr:uid="{00000000-0006-0000-0B00-00001E000000}">
      <text>
        <r>
          <rPr>
            <sz val="8"/>
            <color indexed="81"/>
            <rFont val="Tahoma"/>
            <family val="2"/>
          </rPr>
          <t>Cost per square foot for gravel or pallets x 
square feet needed for storage</t>
        </r>
      </text>
    </comment>
    <comment ref="G49" authorId="1" shapeId="0" xr:uid="{00000000-0006-0000-0B00-00001F000000}">
      <text>
        <r>
          <rPr>
            <sz val="8"/>
            <color indexed="81"/>
            <rFont val="Tahoma"/>
            <family val="2"/>
          </rPr>
          <t>Cost per square foot for gravel or pallets x 
square feet needed for storage</t>
        </r>
      </text>
    </comment>
    <comment ref="H49" authorId="1" shapeId="0" xr:uid="{00000000-0006-0000-0B00-000020000000}">
      <text>
        <r>
          <rPr>
            <sz val="8"/>
            <color indexed="81"/>
            <rFont val="Tahoma"/>
            <family val="2"/>
          </rPr>
          <t>Cost per square foot for gravel or pallets x 
square feet needed for storage</t>
        </r>
      </text>
    </comment>
    <comment ref="J51" authorId="1" shapeId="0" xr:uid="{00000000-0006-0000-0B00-000021000000}">
      <text>
        <r>
          <rPr>
            <sz val="8"/>
            <color indexed="81"/>
            <rFont val="Tahoma"/>
            <family val="2"/>
          </rPr>
          <t>Cost for depreciation, interest, 
repairs and maintenance, taxes 
and insurance</t>
        </r>
      </text>
    </comment>
    <comment ref="K51" authorId="1" shapeId="0" xr:uid="{00000000-0006-0000-0B00-000022000000}">
      <text>
        <r>
          <rPr>
            <sz val="8"/>
            <color indexed="81"/>
            <rFont val="Tahoma"/>
            <family val="2"/>
          </rPr>
          <t>Cost for depreciation, interest, 
repairs and maintenance, taxes 
and insurance</t>
        </r>
      </text>
    </comment>
    <comment ref="L51" authorId="1" shapeId="0" xr:uid="{00000000-0006-0000-0B00-000023000000}">
      <text>
        <r>
          <rPr>
            <sz val="8"/>
            <color indexed="81"/>
            <rFont val="Tahoma"/>
            <family val="2"/>
          </rPr>
          <t>Cost for depreciation, interest, 
repairs and maintenance, taxes 
and insurance</t>
        </r>
      </text>
    </comment>
    <comment ref="F52" authorId="1" shapeId="0" xr:uid="{00000000-0006-0000-0B00-000024000000}">
      <text>
        <r>
          <rPr>
            <sz val="8"/>
            <color indexed="81"/>
            <rFont val="Tahoma"/>
            <family val="2"/>
          </rPr>
          <t>Depreciation and interest 
on gravel or pallets</t>
        </r>
      </text>
    </comment>
    <comment ref="G52" authorId="1" shapeId="0" xr:uid="{00000000-0006-0000-0B00-000025000000}">
      <text>
        <r>
          <rPr>
            <sz val="8"/>
            <color indexed="81"/>
            <rFont val="Tahoma"/>
            <family val="2"/>
          </rPr>
          <t>Depreciation and interest 
on gravel or pallets</t>
        </r>
      </text>
    </comment>
    <comment ref="H52" authorId="1" shapeId="0" xr:uid="{00000000-0006-0000-0B00-000026000000}">
      <text>
        <r>
          <rPr>
            <sz val="8"/>
            <color indexed="81"/>
            <rFont val="Tahoma"/>
            <family val="2"/>
          </rPr>
          <t>Depreciation and interest 
on gravel or pallets</t>
        </r>
      </text>
    </comment>
    <comment ref="E53" authorId="1" shapeId="0" xr:uid="{00000000-0006-0000-0B00-000027000000}">
      <text>
        <r>
          <rPr>
            <sz val="8"/>
            <color indexed="81"/>
            <rFont val="Tahoma"/>
            <family val="2"/>
          </rPr>
          <t>Labor for storing bales x 
labor value per hour</t>
        </r>
      </text>
    </comment>
    <comment ref="F53" authorId="1" shapeId="0" xr:uid="{00000000-0006-0000-0B00-000028000000}">
      <text>
        <r>
          <rPr>
            <sz val="8"/>
            <color indexed="81"/>
            <rFont val="Tahoma"/>
            <family val="2"/>
          </rPr>
          <t>Labor for storing bales x 
labor value per hour</t>
        </r>
      </text>
    </comment>
    <comment ref="G53" authorId="1" shapeId="0" xr:uid="{00000000-0006-0000-0B00-000029000000}">
      <text>
        <r>
          <rPr>
            <sz val="8"/>
            <color indexed="81"/>
            <rFont val="Tahoma"/>
            <family val="2"/>
          </rPr>
          <t>Labor for storing bales x 
labor value per hour</t>
        </r>
      </text>
    </comment>
    <comment ref="H53" authorId="1" shapeId="0" xr:uid="{00000000-0006-0000-0B00-00002A000000}">
      <text>
        <r>
          <rPr>
            <sz val="8"/>
            <color indexed="81"/>
            <rFont val="Tahoma"/>
            <family val="2"/>
          </rPr>
          <t>Labor for storing bales x 
labor value per hour</t>
        </r>
      </text>
    </comment>
    <comment ref="I53" authorId="1" shapeId="0" xr:uid="{00000000-0006-0000-0B00-00002B000000}">
      <text>
        <r>
          <rPr>
            <sz val="8"/>
            <color indexed="81"/>
            <rFont val="Tahoma"/>
            <family val="2"/>
          </rPr>
          <t>Labor for storing bales x 
labor value per hour</t>
        </r>
      </text>
    </comment>
    <comment ref="J53" authorId="1" shapeId="0" xr:uid="{00000000-0006-0000-0B00-00002C000000}">
      <text>
        <r>
          <rPr>
            <sz val="8"/>
            <color indexed="81"/>
            <rFont val="Tahoma"/>
            <family val="2"/>
          </rPr>
          <t>Labor for storing bales x 
labor value per hour</t>
        </r>
      </text>
    </comment>
    <comment ref="K53" authorId="1" shapeId="0" xr:uid="{00000000-0006-0000-0B00-00002D000000}">
      <text>
        <r>
          <rPr>
            <sz val="8"/>
            <color indexed="81"/>
            <rFont val="Tahoma"/>
            <family val="2"/>
          </rPr>
          <t>Labor for storing bales x 
labor value per hour</t>
        </r>
      </text>
    </comment>
    <comment ref="L53" authorId="1" shapeId="0" xr:uid="{00000000-0006-0000-0B00-00002E000000}">
      <text>
        <r>
          <rPr>
            <sz val="8"/>
            <color indexed="81"/>
            <rFont val="Tahoma"/>
            <family val="2"/>
          </rPr>
          <t>Labor for storing bales x 
labor value per hour</t>
        </r>
      </text>
    </comment>
    <comment ref="G54" authorId="1" shapeId="0" xr:uid="{00000000-0006-0000-0B00-00002F000000}">
      <text>
        <r>
          <rPr>
            <sz val="8"/>
            <color indexed="81"/>
            <rFont val="Tahoma"/>
            <family val="2"/>
          </rPr>
          <t>Cost of covering per square foot x 
square feet needed (including sides), 
or cost of plastic wraps</t>
        </r>
      </text>
    </comment>
    <comment ref="H54" authorId="1" shapeId="0" xr:uid="{00000000-0006-0000-0B00-000030000000}">
      <text>
        <r>
          <rPr>
            <sz val="8"/>
            <color indexed="81"/>
            <rFont val="Tahoma"/>
            <family val="2"/>
          </rPr>
          <t>Cost of covering per square foot x 
square feet needed (including sides), 
or cost of plastic wraps</t>
        </r>
      </text>
    </comment>
    <comment ref="I54" authorId="1" shapeId="0" xr:uid="{00000000-0006-0000-0B00-000031000000}">
      <text>
        <r>
          <rPr>
            <sz val="8"/>
            <color indexed="81"/>
            <rFont val="Tahoma"/>
            <family val="2"/>
          </rPr>
          <t>Cost of covering per square foot x 
square feet needed (including sides), 
or cost of plastic wraps</t>
        </r>
      </text>
    </comment>
    <comment ref="E56" authorId="1" shapeId="0" xr:uid="{00000000-0006-0000-0B00-000032000000}">
      <text>
        <r>
          <rPr>
            <sz val="8"/>
            <color indexed="81"/>
            <rFont val="Tahoma"/>
            <family val="2"/>
          </rPr>
          <t>Tons of hay harvested per year x 
% storage loss  x hay value per ton</t>
        </r>
      </text>
    </comment>
    <comment ref="F56" authorId="1" shapeId="0" xr:uid="{00000000-0006-0000-0B00-000033000000}">
      <text>
        <r>
          <rPr>
            <sz val="8"/>
            <color indexed="81"/>
            <rFont val="Tahoma"/>
            <family val="2"/>
          </rPr>
          <t>Tons of hay harvested per year x 
% storage loss  x hay value per ton</t>
        </r>
      </text>
    </comment>
    <comment ref="G56" authorId="1" shapeId="0" xr:uid="{00000000-0006-0000-0B00-000034000000}">
      <text>
        <r>
          <rPr>
            <sz val="8"/>
            <color indexed="81"/>
            <rFont val="Tahoma"/>
            <family val="2"/>
          </rPr>
          <t>Tons of hay harvested per year x 
% storage loss  x hay value per ton</t>
        </r>
      </text>
    </comment>
    <comment ref="H56" authorId="1" shapeId="0" xr:uid="{00000000-0006-0000-0B00-000035000000}">
      <text>
        <r>
          <rPr>
            <sz val="8"/>
            <color indexed="81"/>
            <rFont val="Tahoma"/>
            <family val="2"/>
          </rPr>
          <t>Tons of hay harvested per year x 
% storage loss  x hay value per ton</t>
        </r>
      </text>
    </comment>
    <comment ref="I56" authorId="1" shapeId="0" xr:uid="{00000000-0006-0000-0B00-000036000000}">
      <text>
        <r>
          <rPr>
            <sz val="8"/>
            <color indexed="81"/>
            <rFont val="Tahoma"/>
            <family val="2"/>
          </rPr>
          <t>Tons of hay harvested per year x 
% storage loss  x hay value per ton</t>
        </r>
      </text>
    </comment>
    <comment ref="J56" authorId="1" shapeId="0" xr:uid="{00000000-0006-0000-0B00-000037000000}">
      <text>
        <r>
          <rPr>
            <sz val="8"/>
            <color indexed="81"/>
            <rFont val="Tahoma"/>
            <family val="2"/>
          </rPr>
          <t>Tons of hay harvested per year x 
% storage loss  x hay value per ton</t>
        </r>
      </text>
    </comment>
    <comment ref="K56" authorId="1" shapeId="0" xr:uid="{00000000-0006-0000-0B00-000038000000}">
      <text>
        <r>
          <rPr>
            <sz val="8"/>
            <color indexed="81"/>
            <rFont val="Tahoma"/>
            <family val="2"/>
          </rPr>
          <t>Tons of hay harvested per year x 
% storage loss  x hay value per ton</t>
        </r>
      </text>
    </comment>
    <comment ref="L56" authorId="1" shapeId="0" xr:uid="{00000000-0006-0000-0B00-000039000000}">
      <text>
        <r>
          <rPr>
            <sz val="8"/>
            <color indexed="81"/>
            <rFont val="Tahoma"/>
            <family val="2"/>
          </rPr>
          <t>Tons of hay harvested per year x 
% storage loss  x hay value per ton</t>
        </r>
      </text>
    </comment>
    <comment ref="E59" authorId="1" shapeId="0" xr:uid="{00000000-0006-0000-0B00-00003A000000}">
      <text>
        <r>
          <rPr>
            <sz val="8"/>
            <color indexed="81"/>
            <rFont val="Tahoma"/>
            <family val="2"/>
          </rPr>
          <t>Tons of hay harvested per 
year minus storage loss</t>
        </r>
      </text>
    </comment>
    <comment ref="F59" authorId="1" shapeId="0" xr:uid="{00000000-0006-0000-0B00-00003B000000}">
      <text>
        <r>
          <rPr>
            <sz val="8"/>
            <color indexed="81"/>
            <rFont val="Tahoma"/>
            <family val="2"/>
          </rPr>
          <t>Tons of hay harvested per 
year minus storage loss</t>
        </r>
      </text>
    </comment>
    <comment ref="G59" authorId="1" shapeId="0" xr:uid="{00000000-0006-0000-0B00-00003C000000}">
      <text>
        <r>
          <rPr>
            <sz val="8"/>
            <color indexed="81"/>
            <rFont val="Tahoma"/>
            <family val="2"/>
          </rPr>
          <t>Tons of hay harvested per 
year minus storage loss</t>
        </r>
      </text>
    </comment>
    <comment ref="H59" authorId="1" shapeId="0" xr:uid="{00000000-0006-0000-0B00-00003D000000}">
      <text>
        <r>
          <rPr>
            <sz val="8"/>
            <color indexed="81"/>
            <rFont val="Tahoma"/>
            <family val="2"/>
          </rPr>
          <t>Tons of hay harvested per 
year minus storage loss</t>
        </r>
      </text>
    </comment>
    <comment ref="I59" authorId="1" shapeId="0" xr:uid="{00000000-0006-0000-0B00-00003E000000}">
      <text>
        <r>
          <rPr>
            <sz val="8"/>
            <color indexed="81"/>
            <rFont val="Tahoma"/>
            <family val="2"/>
          </rPr>
          <t>Tons of hay harvested per 
year minus storage loss</t>
        </r>
      </text>
    </comment>
    <comment ref="J59" authorId="1" shapeId="0" xr:uid="{00000000-0006-0000-0B00-00003F000000}">
      <text>
        <r>
          <rPr>
            <sz val="8"/>
            <color indexed="81"/>
            <rFont val="Tahoma"/>
            <family val="2"/>
          </rPr>
          <t>Tons of hay harvested per 
year minus storage loss</t>
        </r>
      </text>
    </comment>
    <comment ref="K59" authorId="1" shapeId="0" xr:uid="{00000000-0006-0000-0B00-000040000000}">
      <text>
        <r>
          <rPr>
            <sz val="8"/>
            <color indexed="81"/>
            <rFont val="Tahoma"/>
            <family val="2"/>
          </rPr>
          <t>Tons of hay harvested per 
year minus storage loss</t>
        </r>
      </text>
    </comment>
    <comment ref="L59" authorId="1" shapeId="0" xr:uid="{00000000-0006-0000-0B00-000041000000}">
      <text>
        <r>
          <rPr>
            <sz val="8"/>
            <color indexed="81"/>
            <rFont val="Tahoma"/>
            <family val="2"/>
          </rPr>
          <t>Tons of hay harvested per 
year minus storage loss</t>
        </r>
      </text>
    </comment>
    <comment ref="E60" authorId="1" shapeId="0" xr:uid="{00000000-0006-0000-0B00-000042000000}">
      <text>
        <r>
          <rPr>
            <sz val="8"/>
            <color indexed="81"/>
            <rFont val="Tahoma"/>
            <family val="2"/>
          </rPr>
          <t>Total cost for storage divided by tons 
of hay available for feeding or selling</t>
        </r>
      </text>
    </comment>
    <comment ref="F60" authorId="1" shapeId="0" xr:uid="{00000000-0006-0000-0B00-000043000000}">
      <text>
        <r>
          <rPr>
            <sz val="8"/>
            <color indexed="81"/>
            <rFont val="Tahoma"/>
            <family val="2"/>
          </rPr>
          <t>Total cost for storage divided by tons 
of hay available for feeding or selling</t>
        </r>
      </text>
    </comment>
    <comment ref="G60" authorId="1" shapeId="0" xr:uid="{00000000-0006-0000-0B00-000044000000}">
      <text>
        <r>
          <rPr>
            <sz val="8"/>
            <color indexed="81"/>
            <rFont val="Tahoma"/>
            <family val="2"/>
          </rPr>
          <t>Total cost for storage divided by tons 
of hay available for feeding or selling</t>
        </r>
      </text>
    </comment>
    <comment ref="H60" authorId="1" shapeId="0" xr:uid="{00000000-0006-0000-0B00-000045000000}">
      <text>
        <r>
          <rPr>
            <sz val="8"/>
            <color indexed="81"/>
            <rFont val="Tahoma"/>
            <family val="2"/>
          </rPr>
          <t>Total cost for storage divided by tons 
of hay available for feeding or selling</t>
        </r>
      </text>
    </comment>
    <comment ref="I60" authorId="1" shapeId="0" xr:uid="{00000000-0006-0000-0B00-000046000000}">
      <text>
        <r>
          <rPr>
            <sz val="8"/>
            <color indexed="81"/>
            <rFont val="Tahoma"/>
            <family val="2"/>
          </rPr>
          <t>Total cost for storage divided by tons 
of hay available for feeding or selling</t>
        </r>
      </text>
    </comment>
    <comment ref="J60" authorId="1" shapeId="0" xr:uid="{00000000-0006-0000-0B00-000047000000}">
      <text>
        <r>
          <rPr>
            <sz val="8"/>
            <color indexed="81"/>
            <rFont val="Tahoma"/>
            <family val="2"/>
          </rPr>
          <t>Total cost for storage divided by tons 
of hay available for feeding or selling</t>
        </r>
      </text>
    </comment>
    <comment ref="K60" authorId="1" shapeId="0" xr:uid="{00000000-0006-0000-0B00-000048000000}">
      <text>
        <r>
          <rPr>
            <sz val="8"/>
            <color indexed="81"/>
            <rFont val="Tahoma"/>
            <family val="2"/>
          </rPr>
          <t>Total cost for storage divided by tons 
of hay available for feeding or selling</t>
        </r>
      </text>
    </comment>
    <comment ref="L60" authorId="1" shapeId="0" xr:uid="{00000000-0006-0000-0B00-000049000000}">
      <text>
        <r>
          <rPr>
            <sz val="8"/>
            <color indexed="81"/>
            <rFont val="Tahoma"/>
            <family val="2"/>
          </rPr>
          <t>Total cost for storage divided by tons 
of hay available for feeding or selling</t>
        </r>
      </text>
    </comment>
    <comment ref="E61" authorId="1" shapeId="0" xr:uid="{00000000-0006-0000-0B00-00004A000000}">
      <text>
        <r>
          <rPr>
            <sz val="8"/>
            <color indexed="81"/>
            <rFont val="Tahoma"/>
            <family val="2"/>
          </rPr>
          <t>Tons of hay available to feed x 
value of hay per ton, minus 
storage costs</t>
        </r>
      </text>
    </comment>
    <comment ref="F61" authorId="1" shapeId="0" xr:uid="{00000000-0006-0000-0B00-00004B000000}">
      <text>
        <r>
          <rPr>
            <sz val="8"/>
            <color indexed="81"/>
            <rFont val="Tahoma"/>
            <family val="2"/>
          </rPr>
          <t>Tons of hay available to feed x 
value of hay per ton, minus 
storage costs</t>
        </r>
      </text>
    </comment>
    <comment ref="G61" authorId="1" shapeId="0" xr:uid="{00000000-0006-0000-0B00-00004C000000}">
      <text>
        <r>
          <rPr>
            <sz val="8"/>
            <color indexed="81"/>
            <rFont val="Tahoma"/>
            <family val="2"/>
          </rPr>
          <t>Tons of hay available to feed x 
value of hay per ton, minus 
storage costs</t>
        </r>
      </text>
    </comment>
    <comment ref="H61" authorId="1" shapeId="0" xr:uid="{00000000-0006-0000-0B00-00004D000000}">
      <text>
        <r>
          <rPr>
            <sz val="8"/>
            <color indexed="81"/>
            <rFont val="Tahoma"/>
            <family val="2"/>
          </rPr>
          <t>Tons of hay available to feed x 
value of hay per ton, minus 
storage costs</t>
        </r>
      </text>
    </comment>
    <comment ref="I61" authorId="1" shapeId="0" xr:uid="{00000000-0006-0000-0B00-00004E000000}">
      <text>
        <r>
          <rPr>
            <sz val="8"/>
            <color indexed="81"/>
            <rFont val="Tahoma"/>
            <family val="2"/>
          </rPr>
          <t>Tons of hay available to feed x 
value of hay per ton, minus 
storage costs</t>
        </r>
      </text>
    </comment>
    <comment ref="J61" authorId="1" shapeId="0" xr:uid="{00000000-0006-0000-0B00-00004F000000}">
      <text>
        <r>
          <rPr>
            <sz val="8"/>
            <color indexed="81"/>
            <rFont val="Tahoma"/>
            <family val="2"/>
          </rPr>
          <t>Tons of hay available to feed x 
value of hay per ton, minus 
storage costs</t>
        </r>
      </text>
    </comment>
    <comment ref="K61" authorId="1" shapeId="0" xr:uid="{00000000-0006-0000-0B00-000050000000}">
      <text>
        <r>
          <rPr>
            <sz val="8"/>
            <color indexed="81"/>
            <rFont val="Tahoma"/>
            <family val="2"/>
          </rPr>
          <t>Tons of hay available to feed x 
value of hay per ton, minus 
storage costs</t>
        </r>
      </text>
    </comment>
    <comment ref="L61" authorId="1" shapeId="0" xr:uid="{00000000-0006-0000-0B00-000051000000}">
      <text>
        <r>
          <rPr>
            <sz val="8"/>
            <color indexed="81"/>
            <rFont val="Tahoma"/>
            <family val="2"/>
          </rPr>
          <t>Tons of hay available to feed x 
value of hay per ton, minus 
storage costs</t>
        </r>
      </text>
    </comment>
    <comment ref="E63" authorId="1" shapeId="0" xr:uid="{00000000-0006-0000-0B00-000052000000}">
      <text>
        <r>
          <rPr>
            <sz val="8"/>
            <color indexed="81"/>
            <rFont val="Tahoma"/>
            <family val="2"/>
          </rPr>
          <t>Storage cost plus production 
cost per ton of hay harvested, 
x tons of hay needed divided 
by (1 - % storage loss)</t>
        </r>
      </text>
    </comment>
    <comment ref="F63" authorId="1" shapeId="0" xr:uid="{00000000-0006-0000-0B00-000053000000}">
      <text>
        <r>
          <rPr>
            <sz val="8"/>
            <color indexed="81"/>
            <rFont val="Tahoma"/>
            <family val="2"/>
          </rPr>
          <t>Storage cost plus production 
cost per ton of hay harvested, 
x tons of hay needed divided 
by (1 - % storage loss)</t>
        </r>
      </text>
    </comment>
    <comment ref="G63" authorId="1" shapeId="0" xr:uid="{00000000-0006-0000-0B00-000054000000}">
      <text>
        <r>
          <rPr>
            <sz val="8"/>
            <color indexed="81"/>
            <rFont val="Tahoma"/>
            <family val="2"/>
          </rPr>
          <t>Storage cost plus production 
cost per ton of hay harvested, 
x tons of hay needed divided 
by (1 - % storage loss)</t>
        </r>
      </text>
    </comment>
    <comment ref="H63" authorId="1" shapeId="0" xr:uid="{00000000-0006-0000-0B00-000055000000}">
      <text>
        <r>
          <rPr>
            <sz val="8"/>
            <color indexed="81"/>
            <rFont val="Tahoma"/>
            <family val="2"/>
          </rPr>
          <t>Storage cost plus production 
cost per ton of hay harvested, 
x tons of hay needed divided 
by (1 - % storage loss)</t>
        </r>
      </text>
    </comment>
    <comment ref="I63" authorId="1" shapeId="0" xr:uid="{00000000-0006-0000-0B00-000056000000}">
      <text>
        <r>
          <rPr>
            <sz val="8"/>
            <color indexed="81"/>
            <rFont val="Tahoma"/>
            <family val="2"/>
          </rPr>
          <t>Storage cost plus production 
cost per ton of hay harvested, 
x tons of hay needed divided 
by (1 - % storage loss)</t>
        </r>
      </text>
    </comment>
    <comment ref="J63" authorId="1" shapeId="0" xr:uid="{00000000-0006-0000-0B00-000057000000}">
      <text>
        <r>
          <rPr>
            <sz val="8"/>
            <color indexed="81"/>
            <rFont val="Tahoma"/>
            <family val="2"/>
          </rPr>
          <t>Storage cost plus production 
cost per ton of hay harvested, 
x tons of hay needed divided 
by (1 - % storage loss)</t>
        </r>
      </text>
    </comment>
    <comment ref="K63" authorId="1" shapeId="0" xr:uid="{00000000-0006-0000-0B00-000058000000}">
      <text>
        <r>
          <rPr>
            <sz val="8"/>
            <color indexed="81"/>
            <rFont val="Tahoma"/>
            <family val="2"/>
          </rPr>
          <t>Storage cost plus production 
cost per ton of hay harvested, 
x tons of hay needed divided 
by (1 - % storage loss)</t>
        </r>
      </text>
    </comment>
    <comment ref="L63" authorId="1" shapeId="0" xr:uid="{00000000-0006-0000-0B00-000059000000}">
      <text>
        <r>
          <rPr>
            <sz val="8"/>
            <color indexed="81"/>
            <rFont val="Tahoma"/>
            <family val="2"/>
          </rPr>
          <t>Storage cost plus production 
cost per ton of hay harvested, 
x tons of hay needed divided 
by (1 - % storage loss)</t>
        </r>
      </text>
    </comment>
  </commentList>
</comments>
</file>

<file path=xl/sharedStrings.xml><?xml version="1.0" encoding="utf-8"?>
<sst xmlns="http://schemas.openxmlformats.org/spreadsheetml/2006/main" count="1715" uniqueCount="952">
  <si>
    <t>Total Balance for Operation considering Pasture and Hay (on and off farm sources)</t>
  </si>
  <si>
    <r>
      <t>If</t>
    </r>
    <r>
      <rPr>
        <sz val="11"/>
        <rFont val="Arial"/>
        <family val="2"/>
      </rPr>
      <t xml:space="preserve"> the grazing efficiency on grazed acres was </t>
    </r>
    <r>
      <rPr>
        <b/>
        <sz val="11"/>
        <rFont val="Arial"/>
        <family val="2"/>
      </rPr>
      <t>60%</t>
    </r>
    <r>
      <rPr>
        <sz val="11"/>
        <rFont val="Arial"/>
        <family val="2"/>
      </rPr>
      <t>, enough pasture forage is estimated to feed:</t>
    </r>
  </si>
  <si>
    <r>
      <t>If</t>
    </r>
    <r>
      <rPr>
        <sz val="11"/>
        <rFont val="Arial"/>
        <family val="2"/>
      </rPr>
      <t xml:space="preserve"> the grazing efficiency on grazed acres was </t>
    </r>
    <r>
      <rPr>
        <b/>
        <sz val="11"/>
        <rFont val="Arial"/>
        <family val="2"/>
      </rPr>
      <t>50%</t>
    </r>
    <r>
      <rPr>
        <sz val="11"/>
        <rFont val="Arial"/>
        <family val="2"/>
      </rPr>
      <t>, enough pasture forage is estimated to feed:</t>
    </r>
  </si>
  <si>
    <r>
      <t>If</t>
    </r>
    <r>
      <rPr>
        <sz val="11"/>
        <rFont val="Arial"/>
        <family val="2"/>
      </rPr>
      <t xml:space="preserve"> the grazing efficiency on grazed acres was </t>
    </r>
    <r>
      <rPr>
        <b/>
        <sz val="11"/>
        <rFont val="Arial"/>
        <family val="2"/>
      </rPr>
      <t>40%</t>
    </r>
    <r>
      <rPr>
        <sz val="11"/>
        <rFont val="Arial"/>
        <family val="2"/>
      </rPr>
      <t>, enough pasture forage is estimated to feed:</t>
    </r>
  </si>
  <si>
    <t xml:space="preserve">        For this operation, using the type and size of your livestock, it is estimated that the </t>
  </si>
  <si>
    <t xml:space="preserve">        forage produced from the pasture (grazing only during growing season) during a period of ………</t>
  </si>
  <si>
    <t>For your operation, using the type and average size of your livestock, according to these calculations, the estimated carrying capacity on this farm,</t>
  </si>
  <si>
    <r>
      <t xml:space="preserve">considering the </t>
    </r>
    <r>
      <rPr>
        <b/>
        <sz val="11"/>
        <rFont val="Arial"/>
        <family val="2"/>
      </rPr>
      <t>pasture and hay (on&amp;off farm sources)</t>
    </r>
    <r>
      <rPr>
        <sz val="11"/>
        <rFont val="Arial"/>
        <family val="2"/>
      </rPr>
      <t xml:space="preserve"> for a full 365 day period is:………. </t>
    </r>
  </si>
  <si>
    <t>This sheet is intended for the planner to print out a blank sheet, take it to the field and complete while talking to the producer and working with the producer.  It allows the entries required to complete the other Graze4 worksheets.</t>
  </si>
  <si>
    <r>
      <t xml:space="preserve">               For the next 3 calculations, forages from the grazed pasture </t>
    </r>
    <r>
      <rPr>
        <b/>
        <sz val="12"/>
        <rFont val="Arial"/>
        <family val="2"/>
      </rPr>
      <t xml:space="preserve">only </t>
    </r>
    <r>
      <rPr>
        <sz val="12"/>
        <rFont val="Arial"/>
        <family val="2"/>
      </rPr>
      <t>was</t>
    </r>
    <r>
      <rPr>
        <b/>
        <sz val="12"/>
        <rFont val="Arial"/>
        <family val="2"/>
      </rPr>
      <t xml:space="preserve"> </t>
    </r>
    <r>
      <rPr>
        <sz val="12"/>
        <rFont val="Arial"/>
        <family val="2"/>
      </rPr>
      <t>considered.  Hay is not included.</t>
    </r>
  </si>
  <si>
    <t>Pasture only</t>
  </si>
  <si>
    <t>The total usable grazing and haying acres are:</t>
  </si>
  <si>
    <t>The GRAZE4 program does not replace the next version of GLA (GSAT) or other existing tools.  It is simply another option or alternative to use as a tool for planning grazing systems.</t>
  </si>
  <si>
    <t xml:space="preserve">You need to navigate to the folder where you want to save the file.  You may consider storing the file in the toolkit customers folder.  This may be the most convenient and feasible location.  This way everyone will have access to it.  However, each time you save this file to a different name you are saving over 200 KB of information which over time can add up.  Just be aware that these files may need to be deleted in the future if drive space becomes limited.  </t>
  </si>
  <si>
    <t>It is highly recommended that planners with minimal grassland planning experience ask for assistance on interpretation of these spreadsheets before using GRAZE4 on a wide-scale basis.  This program is a quick and easy tool to use but it is extremely important that the user understand the numbers being generated.</t>
  </si>
  <si>
    <t>GRAZE4 is very simple to use.  Data like fields, forage mixtures, acres, and total forage production only need to be entered once to complete all worksheets.  Entering data, printing and reading the reports and graphs are fairly easy and straight-forward.    This program will work well for the majority of the grazing systems most offices deal with.  One-herd systems where the majority of the nutrition is from grazing are ideal situations for this program.</t>
  </si>
  <si>
    <t xml:space="preserve">GRAZE4 also has difficulty with grazing systems where a leader-follower system or “put and take” operation is practiced.    Multiple herds of different herds where one herd grazes, as an example, 365 days and the other herd 180 days will also be a problem with this program.  The more complicated systems should probably utilize GSAT for planning.  </t>
  </si>
  <si>
    <t xml:space="preserve">Some farms have several fields that have the same forage species in all fields.  To efficiently enter the forage species for several fields, first enter the specie for the first field and then do a copy and paste function for the rest of the fields that have the same mixture. </t>
  </si>
  <si>
    <r>
      <t>NOTE</t>
    </r>
    <r>
      <rPr>
        <sz val="10"/>
        <rFont val="Arial"/>
        <family val="2"/>
      </rPr>
      <t>: Regardless of which of the above resources you use, you need to make sure of the units being used in the guide (yield versus TFP) plus the type of management (ex. high versus medium level of management, low versus medium soil fertility...) being assumed to come up with estimates.</t>
    </r>
  </si>
  <si>
    <t>Sorghum/Sudan and Ryegrass DC</t>
  </si>
  <si>
    <t>N/A</t>
  </si>
  <si>
    <t>The total number of livestock used for these calculations is:</t>
  </si>
  <si>
    <t>Forages</t>
  </si>
  <si>
    <t>Printing Worksheets</t>
  </si>
  <si>
    <t>Name:</t>
  </si>
  <si>
    <t>System ID:</t>
  </si>
  <si>
    <t>County:</t>
  </si>
  <si>
    <t>Calculations for weighted averages for G.E., intake, # head</t>
  </si>
  <si>
    <t>Date:</t>
  </si>
  <si>
    <t>head X wt</t>
  </si>
  <si>
    <t>-</t>
  </si>
  <si>
    <t>Planned</t>
  </si>
  <si>
    <t xml:space="preserve">  Intake</t>
  </si>
  <si>
    <t xml:space="preserve">  Minimum Rest Period =</t>
  </si>
  <si>
    <t>days</t>
  </si>
  <si>
    <t>pounds</t>
  </si>
  <si>
    <t>Bulls</t>
  </si>
  <si>
    <t>Number</t>
  </si>
  <si>
    <t>Rate (%)</t>
  </si>
  <si>
    <t>Apr.</t>
  </si>
  <si>
    <t>May</t>
  </si>
  <si>
    <t>June</t>
  </si>
  <si>
    <t>July</t>
  </si>
  <si>
    <t>Aug.</t>
  </si>
  <si>
    <t>Sept.</t>
  </si>
  <si>
    <t>Oct.</t>
  </si>
  <si>
    <t>Nov.</t>
  </si>
  <si>
    <t>Dec.</t>
  </si>
  <si>
    <t>Jan.</t>
  </si>
  <si>
    <t>Feb.</t>
  </si>
  <si>
    <t>Mar.</t>
  </si>
  <si>
    <t xml:space="preserve">  Maximum Rest Period =</t>
  </si>
  <si>
    <t>Horses</t>
  </si>
  <si>
    <t>percent</t>
  </si>
  <si>
    <t>Sheep</t>
  </si>
  <si>
    <t>Goats</t>
  </si>
  <si>
    <t>Stockers</t>
  </si>
  <si>
    <t>Field Name</t>
  </si>
  <si>
    <t>Kind of Forages</t>
  </si>
  <si>
    <t>Field</t>
  </si>
  <si>
    <t>Minimum</t>
  </si>
  <si>
    <t>Maximum</t>
  </si>
  <si>
    <t>Animal Density</t>
  </si>
  <si>
    <t xml:space="preserve">Minimum </t>
  </si>
  <si>
    <t>or Number</t>
  </si>
  <si>
    <t>Acres</t>
  </si>
  <si>
    <t>Production</t>
  </si>
  <si>
    <t xml:space="preserve">Paddock </t>
  </si>
  <si>
    <t>Grazing</t>
  </si>
  <si>
    <t>TOTAL</t>
  </si>
  <si>
    <t>Factor</t>
  </si>
  <si>
    <t>Period</t>
  </si>
  <si>
    <t>per acre)</t>
  </si>
  <si>
    <t>Height</t>
  </si>
  <si>
    <t xml:space="preserve"> or Paddock)</t>
  </si>
  <si>
    <t>(no. of days)</t>
  </si>
  <si>
    <t>(inches)</t>
  </si>
  <si>
    <t>G.E. avg.=</t>
  </si>
  <si>
    <t>Total</t>
  </si>
  <si>
    <t xml:space="preserve">Grazing </t>
  </si>
  <si>
    <t xml:space="preserve">Usable </t>
  </si>
  <si>
    <t>Kind of Forage</t>
  </si>
  <si>
    <t>(Usable)</t>
  </si>
  <si>
    <t>Pounds</t>
  </si>
  <si>
    <t>Eff. (%)</t>
  </si>
  <si>
    <t>AVERAGES:</t>
  </si>
  <si>
    <t>TOTALS:</t>
  </si>
  <si>
    <t>Avg. Acres/Animal</t>
  </si>
  <si>
    <t>Pasture</t>
  </si>
  <si>
    <t>Mixes</t>
  </si>
  <si>
    <t>Mar</t>
  </si>
  <si>
    <t>Apr</t>
  </si>
  <si>
    <t>Jun</t>
  </si>
  <si>
    <t>Jul</t>
  </si>
  <si>
    <t>Aug</t>
  </si>
  <si>
    <t>Sep</t>
  </si>
  <si>
    <t>Oct</t>
  </si>
  <si>
    <t>Nov</t>
  </si>
  <si>
    <t>Dec</t>
  </si>
  <si>
    <t>Alfalfa</t>
  </si>
  <si>
    <t>2-3</t>
  </si>
  <si>
    <t>Big Bluestem</t>
  </si>
  <si>
    <t>Indiangrass</t>
  </si>
  <si>
    <t>Orchardgrass</t>
  </si>
  <si>
    <t>Orchardgrass/Red Clover</t>
  </si>
  <si>
    <t>Red Clover</t>
  </si>
  <si>
    <t>Switchgrass</t>
  </si>
  <si>
    <t>April</t>
  </si>
  <si>
    <t>August</t>
  </si>
  <si>
    <t>September</t>
  </si>
  <si>
    <t>October</t>
  </si>
  <si>
    <t>November</t>
  </si>
  <si>
    <t>December</t>
  </si>
  <si>
    <t>January</t>
  </si>
  <si>
    <t>February</t>
  </si>
  <si>
    <t>March</t>
  </si>
  <si>
    <t>days on month</t>
  </si>
  <si>
    <t>accum days prior</t>
  </si>
  <si>
    <t>avg wt for month</t>
  </si>
  <si>
    <t>accum days total</t>
  </si>
  <si>
    <t>month rel. to calving</t>
  </si>
  <si>
    <t>relative forage requirement</t>
  </si>
  <si>
    <t>Lbs/Year</t>
  </si>
  <si>
    <t>Lbs/Day</t>
  </si>
  <si>
    <t>(fields)</t>
  </si>
  <si>
    <t>Hay</t>
  </si>
  <si>
    <t>Harvest</t>
  </si>
  <si>
    <t>Weight</t>
  </si>
  <si>
    <t>TOTAL AVAILABLE PASTURE FORAGE  (Lbs.):</t>
  </si>
  <si>
    <t>Fescue- Hay before Winter stockpiled</t>
  </si>
  <si>
    <t>Tons/Year</t>
  </si>
  <si>
    <t>Corn silage</t>
  </si>
  <si>
    <t>Avg.</t>
  </si>
  <si>
    <t>Cut Height</t>
  </si>
  <si>
    <t>Cutting</t>
  </si>
  <si>
    <t>4-6</t>
  </si>
  <si>
    <t>3</t>
  </si>
  <si>
    <t>3-4</t>
  </si>
  <si>
    <t>2</t>
  </si>
  <si>
    <t>6-8</t>
  </si>
  <si>
    <t>4</t>
  </si>
  <si>
    <t>5</t>
  </si>
  <si>
    <t>6-10</t>
  </si>
  <si>
    <t>6-10 &amp; 2</t>
  </si>
  <si>
    <t>6</t>
  </si>
  <si>
    <t>Mechanically Harvested Forage</t>
  </si>
  <si>
    <t>Usable Forage</t>
  </si>
  <si>
    <t>Alfalfa Hay</t>
  </si>
  <si>
    <t>Bermudagrass Hay</t>
  </si>
  <si>
    <t>Big Bluestem Hay</t>
  </si>
  <si>
    <t>Bluegrass Hay</t>
  </si>
  <si>
    <t>Brome Hay</t>
  </si>
  <si>
    <t>Brome/Alfalfa Hay</t>
  </si>
  <si>
    <t>Brome/Birdsfoot Hay</t>
  </si>
  <si>
    <t>Caucasian Bluestem Hay</t>
  </si>
  <si>
    <t>Crabgrass Hay</t>
  </si>
  <si>
    <t>Crabgrass and Wheat/Rye DC Hay</t>
  </si>
  <si>
    <t>Eastern Gamagrass Hay</t>
  </si>
  <si>
    <t>Fescue Hay</t>
  </si>
  <si>
    <t>Fescue/Alfalfa Hay</t>
  </si>
  <si>
    <t>Fescue/Birdsfoot Hay</t>
  </si>
  <si>
    <t>Fescue/Ladino Hay</t>
  </si>
  <si>
    <t>Fescue/Lespedeza Hay</t>
  </si>
  <si>
    <t>Fescue/Lespedeza/Ladino Hay</t>
  </si>
  <si>
    <t>Fescue/Red Clover Hay</t>
  </si>
  <si>
    <t>Fescue/Red Clover/Ladino Hay</t>
  </si>
  <si>
    <t>Indian/Big Blue Hay</t>
  </si>
  <si>
    <t>Indiangrass Hay</t>
  </si>
  <si>
    <t>Johnsongrass Hay</t>
  </si>
  <si>
    <t>Lespedeza Hay</t>
  </si>
  <si>
    <t>Little Bluestem Hay</t>
  </si>
  <si>
    <t>Mixed Pasture (annual/perennial) Hay</t>
  </si>
  <si>
    <t>Orchardgrass Hay</t>
  </si>
  <si>
    <t>Orchardgrass/Alfalfa Hay</t>
  </si>
  <si>
    <t>Orchardgrass/Alfalfa/Ladino Hay</t>
  </si>
  <si>
    <t>Orchardgrass/Birdsfoot/Bluegrass Hay</t>
  </si>
  <si>
    <t>Orchardgrass/Ladino Hay</t>
  </si>
  <si>
    <t>Orchardgrass/Lespedeza Hay</t>
  </si>
  <si>
    <t>Orchardgrass/Lespedeza/Ladino Hay</t>
  </si>
  <si>
    <t>Orchardgrass/Red Clover Hay</t>
  </si>
  <si>
    <t>Red Clover Hay</t>
  </si>
  <si>
    <t>Reed Canary Hay</t>
  </si>
  <si>
    <t>Reed Canary/Alfalfa Hay</t>
  </si>
  <si>
    <t>Reed Canary/Ladino/Alsike Hay</t>
  </si>
  <si>
    <t>Reed Canary/Red Clover Hay</t>
  </si>
  <si>
    <t>Sorghum/Sudan Hay</t>
  </si>
  <si>
    <t>Sorghum/Sudan and Wheat/Rye DC Hay</t>
  </si>
  <si>
    <t>Switchgrass Hay</t>
  </si>
  <si>
    <t>Timothy/Alfalfa/Ladino Hay</t>
  </si>
  <si>
    <t>Timothy/Red Clover Hay</t>
  </si>
  <si>
    <t>Wheat/Rye Hay</t>
  </si>
  <si>
    <t>Boone</t>
  </si>
  <si>
    <t>Carroll</t>
  </si>
  <si>
    <t>Cass</t>
  </si>
  <si>
    <t>Christian</t>
  </si>
  <si>
    <t>Clark</t>
  </si>
  <si>
    <t>Clay</t>
  </si>
  <si>
    <t>Clinton</t>
  </si>
  <si>
    <t>Crawford</t>
  </si>
  <si>
    <t>DeKalb</t>
  </si>
  <si>
    <t>Douglas</t>
  </si>
  <si>
    <t>Franklin</t>
  </si>
  <si>
    <t>Greene</t>
  </si>
  <si>
    <t>Grundy</t>
  </si>
  <si>
    <t>Henry</t>
  </si>
  <si>
    <t>Jackson</t>
  </si>
  <si>
    <t>Jasper</t>
  </si>
  <si>
    <t>Jefferson</t>
  </si>
  <si>
    <t>Johnson</t>
  </si>
  <si>
    <t>Knox</t>
  </si>
  <si>
    <t>Lawrence</t>
  </si>
  <si>
    <t>Livingston</t>
  </si>
  <si>
    <t>Macon</t>
  </si>
  <si>
    <t>Madison</t>
  </si>
  <si>
    <t>Marion</t>
  </si>
  <si>
    <t>Mercer</t>
  </si>
  <si>
    <t>Monroe</t>
  </si>
  <si>
    <t>Montgomery</t>
  </si>
  <si>
    <t>Morgan</t>
  </si>
  <si>
    <t>Perry</t>
  </si>
  <si>
    <t>Pike</t>
  </si>
  <si>
    <t>Pulaski</t>
  </si>
  <si>
    <t>Putnam</t>
  </si>
  <si>
    <t>Randolph</t>
  </si>
  <si>
    <t>Saline</t>
  </si>
  <si>
    <t>Schuyler</t>
  </si>
  <si>
    <t>Scott</t>
  </si>
  <si>
    <t>Shelby</t>
  </si>
  <si>
    <t>Warren</t>
  </si>
  <si>
    <t>Washington</t>
  </si>
  <si>
    <t>Wayne</t>
  </si>
  <si>
    <t>The estimated total pounds of forage (haying and grazing) are:</t>
  </si>
  <si>
    <t>Crabgrass and Ryegrass DC</t>
  </si>
  <si>
    <t>intake/Year</t>
  </si>
  <si>
    <t>LIVESTOCK</t>
  </si>
  <si>
    <t>Head</t>
  </si>
  <si>
    <t>The estimated annual total livestock forage needs are:</t>
  </si>
  <si>
    <t>OR</t>
  </si>
  <si>
    <t>DIFFERENCES</t>
  </si>
  <si>
    <t>FORAGE</t>
  </si>
  <si>
    <t>CARRYING CAPACITY ESTIMATES</t>
  </si>
  <si>
    <t>By:</t>
  </si>
  <si>
    <t>The estimated average grazing efficiency used is:</t>
  </si>
  <si>
    <t>Native grass (prairie) Hay</t>
  </si>
  <si>
    <t xml:space="preserve">The average weight of all livestock used for these calculations is: </t>
  </si>
  <si>
    <t>Introduction</t>
  </si>
  <si>
    <t>Advantages and Disadvantages</t>
  </si>
  <si>
    <t>head</t>
  </si>
  <si>
    <t>The figures consider all hay sources and may be excessive. No minus sign means a surplus is estimated)</t>
  </si>
  <si>
    <t>(A minus sign equals estimated additional amount needs per year for the number of animals shown above.</t>
  </si>
  <si>
    <t>Entering Data</t>
  </si>
  <si>
    <t>If for some reason, you need to make changes in cells that are protected, here are the steps to unprotect the spreadsheet.</t>
  </si>
  <si>
    <t>To re-protect the sheet, follow the same steps (there is no password).</t>
  </si>
  <si>
    <t xml:space="preserve">   Protection</t>
  </si>
  <si>
    <t xml:space="preserve">     Unprotect Sheet</t>
  </si>
  <si>
    <t>Make changes as needed and re-protect the worksheet.</t>
  </si>
  <si>
    <t>Saving Data</t>
  </si>
  <si>
    <t xml:space="preserve">     DEFINITIONS</t>
  </si>
  <si>
    <r>
      <t xml:space="preserve">Select </t>
    </r>
    <r>
      <rPr>
        <i/>
        <sz val="10"/>
        <rFont val="Arial"/>
        <family val="2"/>
      </rPr>
      <t>Tools</t>
    </r>
  </si>
  <si>
    <r>
      <t xml:space="preserve">         in the block under </t>
    </r>
    <r>
      <rPr>
        <i/>
        <sz val="10"/>
        <rFont val="Arial"/>
        <family val="2"/>
      </rPr>
      <t>File Name</t>
    </r>
    <r>
      <rPr>
        <sz val="10"/>
        <rFont val="Arial"/>
        <family val="2"/>
      </rPr>
      <t>, type in the unique name you want to save that file as.</t>
    </r>
  </si>
  <si>
    <r>
      <t xml:space="preserve">            Click </t>
    </r>
    <r>
      <rPr>
        <i/>
        <sz val="10"/>
        <rFont val="Arial"/>
        <family val="2"/>
      </rPr>
      <t>OK</t>
    </r>
  </si>
  <si>
    <t>Total Forage Production</t>
  </si>
  <si>
    <t xml:space="preserve">Estimating total forage production (TFP) is tough.  First off, you have to remember that total forage production is not the same as "yield".  Yield usually considers what is actually removed and harvested whether by the animal or machine.  Total forage production is the yield plus the growth that is left below what the animal eats or machine cuts.   </t>
  </si>
  <si>
    <t xml:space="preserve">The Time Control Grazing Worksheet no longer calculates the carrying capacity (shown on summary).  It shows the minimum and maximum grazing days based on the size of the pastures and production, and calculates the animal density per acre.  The Min/Max grazing days are a guide for the producer.  Minimum grazing days for when forages are growing fast, maximum for when forages are growing slower.  The 528a standard and specification will give you guidelines on what is acceptable.  This worksheet also has the capacity of 24 fields to be entered which are carried over from step 1.  </t>
  </si>
  <si>
    <t>Additional Hay or forage purchased or brought in from off-farm sources is:</t>
  </si>
  <si>
    <t>The estimated total pounds of forage available through grazing are:</t>
  </si>
  <si>
    <t xml:space="preserve">The estimated difference between the total forage and animal needs is:   </t>
  </si>
  <si>
    <t>% of animal weight</t>
  </si>
  <si>
    <t>The estimated average daily intake rate used is:</t>
  </si>
  <si>
    <t>Numbers</t>
  </si>
  <si>
    <t>Average Weights</t>
  </si>
  <si>
    <t>Livestock Class</t>
  </si>
  <si>
    <t>Field Worksheet</t>
  </si>
  <si>
    <t>Field #</t>
  </si>
  <si>
    <t>Grazing efficiency</t>
  </si>
  <si>
    <t>Both hay &amp; pasture?</t>
  </si>
  <si>
    <t>___________________________________________________________________________________</t>
  </si>
  <si>
    <t>Hay TFP or yield****</t>
  </si>
  <si>
    <t>This sheet is a means to explain the worksheets that you are providing to them.  Print it out and check the sheets that you are including in the plan.</t>
  </si>
  <si>
    <t xml:space="preserve">However, excess hay beyond the needs of animals (during hay feeding periods) shown under "carrying capacity for pasture"  was not considered.  </t>
  </si>
  <si>
    <t>days*</t>
  </si>
  <si>
    <t xml:space="preserve">head** </t>
  </si>
  <si>
    <t xml:space="preserve">        *Normally 250-270 days; **For stocker operations with less than a 240 day duration on the system, the above calculations may be incorrect.</t>
  </si>
  <si>
    <t>The above calculation was based on the following amount of hay available……..…………………..………….</t>
  </si>
  <si>
    <t>included</t>
  </si>
  <si>
    <t>not included</t>
  </si>
  <si>
    <t xml:space="preserve"> TIME CONTROL GRAZING WORKSHEET</t>
  </si>
  <si>
    <t>Time Control Grazing Worksheet</t>
  </si>
  <si>
    <t xml:space="preserve">Take time to review these sheets and understand them.  If they are confusing, let us know so we can go over them with you.  All these worksheets were completed using the best information available to the person(s) doing the planning.  They are based on estimates of needs and production.  Wet years, dry years are not considered and will obviously make a difference in the numbers being generated.  Averages were used.  </t>
  </si>
  <si>
    <t xml:space="preserve">        is enough to supply the forage needs of (does not include the typical hay feeding months)…….</t>
  </si>
  <si>
    <t>Intake Rate Lactating Months</t>
  </si>
  <si>
    <t>Intake Rate Dry Months</t>
  </si>
  <si>
    <t>CowCalf2</t>
  </si>
  <si>
    <t>CowCalf3</t>
  </si>
  <si>
    <t>from CowCalf1 UserForm</t>
  </si>
  <si>
    <t>from CowCalf2 UserForm</t>
  </si>
  <si>
    <t>from CowCalf3 UserForm</t>
  </si>
  <si>
    <t>CowCalf1</t>
  </si>
  <si>
    <t>Additional Input from user for calculations (input from user form)</t>
  </si>
  <si>
    <t>Stockers2</t>
  </si>
  <si>
    <t>Stockers1</t>
  </si>
  <si>
    <t>Starting Weight</t>
  </si>
  <si>
    <t>Enter ADG</t>
  </si>
  <si>
    <t>Month IN</t>
  </si>
  <si>
    <t>Month OUT</t>
  </si>
  <si>
    <t>Stockers 2</t>
  </si>
  <si>
    <t>Cow/Calf Pairs1</t>
  </si>
  <si>
    <t>Cow/Calf Pairs2</t>
  </si>
  <si>
    <t>Cow/Calf Pairs3</t>
  </si>
  <si>
    <t>Dairy1</t>
  </si>
  <si>
    <t>Dairy2</t>
  </si>
  <si>
    <t>Step 1 Balance Worksheet Calculations</t>
  </si>
  <si>
    <t>Cow Calf</t>
  </si>
  <si>
    <t>Dairy</t>
  </si>
  <si>
    <t>Input box for lactating month start and lactating month finish</t>
  </si>
  <si>
    <t>Stockers Herd 1</t>
  </si>
  <si>
    <t>Stockers Herd 2</t>
  </si>
  <si>
    <t xml:space="preserve">Weighted lbs/head </t>
  </si>
  <si>
    <t>Completed by:</t>
  </si>
  <si>
    <t>Cow/Calf Pairs Herd 1</t>
  </si>
  <si>
    <t>Cow/Calf Pairs Herd 2</t>
  </si>
  <si>
    <t>Cow/Calf Pairs Herd 3</t>
  </si>
  <si>
    <t>Select Livestock Class (select as many as needed)</t>
  </si>
  <si>
    <t>Min Grazing Ht. (in)</t>
  </si>
  <si>
    <t>Min Haying Ht (in)</t>
  </si>
  <si>
    <t xml:space="preserve"> </t>
  </si>
  <si>
    <t>LIVESTOCK-FORAGE BALANCE WORKSHEET</t>
  </si>
  <si>
    <t>General Info</t>
  </si>
  <si>
    <t>LIVESTOCK NEEDS AND DEMAND SCHEDULE</t>
  </si>
  <si>
    <t>Forage Demand by Month (Lbs/month)</t>
  </si>
  <si>
    <t>Sept</t>
  </si>
  <si>
    <t>Jan</t>
  </si>
  <si>
    <t>Feb</t>
  </si>
  <si>
    <t>Add (+) or Remove (-) Rows</t>
  </si>
  <si>
    <t xml:space="preserve"> Ht. (in)</t>
  </si>
  <si>
    <t>SUMMARY OF LIVESTOCK NEEDS AND PASTURE FORAGE PRODUCTION</t>
  </si>
  <si>
    <t>Total Difference (Lbs):</t>
  </si>
  <si>
    <t>Accumulated Balance (Lbs) by month:</t>
  </si>
  <si>
    <t>lbs/ac</t>
  </si>
  <si>
    <t xml:space="preserve">Fields Hayed In Conjunction With Grazing </t>
  </si>
  <si>
    <t>Totals</t>
  </si>
  <si>
    <t>Harvested</t>
  </si>
  <si>
    <t>Field/</t>
  </si>
  <si>
    <t>lactating mo start</t>
  </si>
  <si>
    <t>lactating mo finish</t>
  </si>
  <si>
    <t>UserFrom Options Control Source</t>
  </si>
  <si>
    <t>Total Forage Demand</t>
  </si>
  <si>
    <t>Check Box Control Source</t>
  </si>
  <si>
    <t>Grazing System:  Total Forage Available (Lbs):</t>
  </si>
  <si>
    <t>Grazing System:  Total Forage Needs (Lbs):</t>
  </si>
  <si>
    <t>Total Forage Demand:  Grazing System</t>
  </si>
  <si>
    <t>Alternative Pasture:  Total Forage Available (Lbs):</t>
  </si>
  <si>
    <t>Alternative Pasture:  Total Forage Needs (Lbs):</t>
  </si>
  <si>
    <t>Dry Lot:  Total Forage Available (Lbs):</t>
  </si>
  <si>
    <t>Dry Lot:  Total Forage Needs (Lbs):</t>
  </si>
  <si>
    <t>0</t>
  </si>
  <si>
    <t>Past</t>
  </si>
  <si>
    <t>Alt Past</t>
  </si>
  <si>
    <t>Dry Lot</t>
  </si>
  <si>
    <t>Paddock</t>
  </si>
  <si>
    <t xml:space="preserve">Dry Dairy Herd </t>
  </si>
  <si>
    <t>Dairy (&lt;12 mo lactation)</t>
  </si>
  <si>
    <t>Lactating Dairy Herd</t>
  </si>
  <si>
    <t>Year Round Lactation</t>
  </si>
  <si>
    <t>Dry Cows</t>
  </si>
  <si>
    <t>Lactating Cows</t>
  </si>
  <si>
    <t>Dry Cow Userfor Options Control Source</t>
  </si>
  <si>
    <t>Lactating Cow Userfor Options Control Source</t>
  </si>
  <si>
    <t>Alt Grazing Month finish</t>
  </si>
  <si>
    <t>Alt Grazing month start</t>
  </si>
  <si>
    <t>Lactating Herd Pasture System</t>
  </si>
  <si>
    <t>Dairy &lt;12Mo Lactation</t>
  </si>
  <si>
    <t>Dairy Year Round Lactation</t>
  </si>
  <si>
    <t>UserForm Option Control Source</t>
  </si>
  <si>
    <t xml:space="preserve">Input Boxes for Month on and off pasture </t>
  </si>
  <si>
    <t>Input Boxes for Month on and off pasture (second time period)</t>
  </si>
  <si>
    <t>First month on</t>
  </si>
  <si>
    <t>Last month on</t>
  </si>
  <si>
    <t>Alt Past Once</t>
  </si>
  <si>
    <t>Dry Lot Once</t>
  </si>
  <si>
    <t>Alt Past Twice</t>
  </si>
  <si>
    <t>Dry Lot Twice</t>
  </si>
  <si>
    <t>Second Breeding</t>
  </si>
  <si>
    <t>Consolidated based on Form Inputs (one breeding period or two breeding periods</t>
  </si>
  <si>
    <t>First Breeding or year round pasture system</t>
  </si>
  <si>
    <t>Bulls Pasture System</t>
  </si>
  <si>
    <t>Dairy (&lt;12mo lactation) Pasture System</t>
  </si>
  <si>
    <t>Dairy - year round lactation</t>
  </si>
  <si>
    <t>Cow Calf 1</t>
  </si>
  <si>
    <t>Cow Calf 2</t>
  </si>
  <si>
    <t>Cow Calf 3</t>
  </si>
  <si>
    <t>Herd 1 Pasture System</t>
  </si>
  <si>
    <t>Herd 2 Pasture System</t>
  </si>
  <si>
    <t>Herd 3 Pasture System</t>
  </si>
  <si>
    <t>Herd 1</t>
  </si>
  <si>
    <t>Herd 2</t>
  </si>
  <si>
    <t>Herd 3</t>
  </si>
  <si>
    <t>Cow Calf Alternative pasture options</t>
  </si>
  <si>
    <t>User Form Option Control Source</t>
  </si>
  <si>
    <t>Past Year Round</t>
  </si>
  <si>
    <t>Alternative Pasture</t>
  </si>
  <si>
    <t>CowCalf 1</t>
  </si>
  <si>
    <t>First Month on</t>
  </si>
  <si>
    <t>Last Month on</t>
  </si>
  <si>
    <t>CowCalf 2</t>
  </si>
  <si>
    <t>Input Boxes for Month on and off alternative pasture/dry lot</t>
  </si>
  <si>
    <t>Dairy (&lt;12 mo lactation) Alternative Pasture</t>
  </si>
  <si>
    <t>Dairy (&lt;12 mo lactation) Dry Lot</t>
  </si>
  <si>
    <t>Lactating Herd Alternative Pasture</t>
  </si>
  <si>
    <t>Lactating Herd Dry Lot</t>
  </si>
  <si>
    <t>Dry Dairy Herd Alternative Pasture</t>
  </si>
  <si>
    <t>Dry Dairy Herd Dry Lot</t>
  </si>
  <si>
    <t>Bulls Alternative Pasture</t>
  </si>
  <si>
    <t>Bulls Dry Lot</t>
  </si>
  <si>
    <t>Herd 1 Alternative Pasture</t>
  </si>
  <si>
    <t>Herd 1 Dry Lot</t>
  </si>
  <si>
    <t>Herd 2 Alternative Pasture</t>
  </si>
  <si>
    <t>Herd 2 Dry Lot</t>
  </si>
  <si>
    <t>Herd 3 Alternative Pasture</t>
  </si>
  <si>
    <t>Herd 3 Dry Lot</t>
  </si>
  <si>
    <t>Total Forage Demand:  Dry Lot</t>
  </si>
  <si>
    <t>Dairy &lt;12 mo</t>
  </si>
  <si>
    <t>Total (lbs/year) =</t>
  </si>
  <si>
    <t xml:space="preserve">Goats </t>
  </si>
  <si>
    <t>Horses Alt Pasture Options</t>
  </si>
  <si>
    <t>First Month On</t>
  </si>
  <si>
    <t>Last Month On</t>
  </si>
  <si>
    <t>Alt Pasture</t>
  </si>
  <si>
    <t>Pasture System</t>
  </si>
  <si>
    <t>Total Usable Acres Grazed</t>
  </si>
  <si>
    <t>Paddock Equivalency Value</t>
  </si>
  <si>
    <t>Grazing Efficiency (%)</t>
  </si>
  <si>
    <t>Calculate Pasture Grazing Efficiency:</t>
  </si>
  <si>
    <t>You can override the calculated Pasture Grazing Efficiency at any time by manually entering a value in the associated cells.  Alternatively, you can allow the model to calculate the Pasture Grazing Efficiency at any time by re-selecting the "Calculate Pasture Grazing Efficiency" button.</t>
  </si>
  <si>
    <t>Selecting the "Calculate Pasture Grazing Efficiency" button will calculate the pasture grazing efficiency for each field/paddock by dividing the Total Usable Acres Grazed by the Acres of each field/paddock to generate a Paddock Equivalency Value.  The Paddock Equivalency Value is used to return the associated Pasture Grazing Efficiency value based on the table below.</t>
  </si>
  <si>
    <t>Total Forage Demand:  Alternative Pasture</t>
  </si>
  <si>
    <t xml:space="preserve">GRAZING SYSTEM PASTURE FORAGE PRODUCTION </t>
  </si>
  <si>
    <t>Grazing System Pasture Forage Available by Month (Lbs/month)</t>
  </si>
  <si>
    <t>Alternative Pasture Forage Available by Month (Lbs/month)</t>
  </si>
  <si>
    <t>SUMMARY:  FEED AND FORAGE BALANCE</t>
  </si>
  <si>
    <t>Intake Rate =</t>
  </si>
  <si>
    <t>Number of Herds =</t>
  </si>
  <si>
    <t>Animal Numbers =</t>
  </si>
  <si>
    <t xml:space="preserve">  Grazing Efficiency =</t>
  </si>
  <si>
    <t>Avg Animal Weight =</t>
  </si>
  <si>
    <t>(Lbs/Acre)</t>
  </si>
  <si>
    <t xml:space="preserve">(Lbs/Field </t>
  </si>
  <si>
    <t>(Lbs of animal</t>
  </si>
  <si>
    <t>The class(es) of livestock used to make these calculations is:</t>
  </si>
  <si>
    <t>Cow Calf Herd 1</t>
  </si>
  <si>
    <t>Cow Calf Herd 2</t>
  </si>
  <si>
    <t>Cow Calf Herd 3</t>
  </si>
  <si>
    <r>
      <t>Total Forage Production</t>
    </r>
    <r>
      <rPr>
        <sz val="11"/>
        <color rgb="FF000000"/>
        <rFont val="Arial"/>
        <family val="2"/>
      </rPr>
      <t xml:space="preserve">= The total above ground biomass in pounds of dry matter per acre (this is not the harvested yield).  </t>
    </r>
    <r>
      <rPr>
        <u/>
        <sz val="11"/>
        <color rgb="FF000000"/>
        <rFont val="Arial"/>
        <family val="2"/>
      </rPr>
      <t/>
    </r>
  </si>
  <si>
    <r>
      <rPr>
        <u/>
        <sz val="11"/>
        <rFont val="Arial"/>
        <family val="2"/>
      </rPr>
      <t>Paddock Factor</t>
    </r>
    <r>
      <rPr>
        <sz val="11"/>
        <rFont val="Arial"/>
        <family val="2"/>
      </rPr>
      <t>= A factor related to the relative size and production of each field</t>
    </r>
  </si>
  <si>
    <r>
      <t>Minimum Grazing Period</t>
    </r>
    <r>
      <rPr>
        <sz val="11"/>
        <color rgb="FF000000"/>
        <rFont val="Arial"/>
        <family val="2"/>
      </rPr>
      <t>= The approxiamate grazing time in each field during fast forage growth.  Based on minimum rest periods</t>
    </r>
  </si>
  <si>
    <r>
      <rPr>
        <u/>
        <sz val="11"/>
        <color rgb="FF000000"/>
        <rFont val="Arial"/>
        <family val="2"/>
      </rPr>
      <t>Animal Density</t>
    </r>
    <r>
      <rPr>
        <sz val="11"/>
        <color rgb="FF000000"/>
        <rFont val="Arial"/>
        <family val="2"/>
      </rPr>
      <t>= The pounds of animals per acre concentrated on a field at one time</t>
    </r>
  </si>
  <si>
    <r>
      <t>Maximum Grazing Periods</t>
    </r>
    <r>
      <rPr>
        <sz val="11"/>
        <color rgb="FF000000"/>
        <rFont val="Arial"/>
        <family val="2"/>
      </rPr>
      <t>= The approxiamate grazing time in each field during slow forage growth.  Based on maximum rest periods</t>
    </r>
  </si>
  <si>
    <r>
      <t>Minimum and Maximum Rest Periods</t>
    </r>
    <r>
      <rPr>
        <sz val="11"/>
        <color rgb="FF000000"/>
        <rFont val="Arial"/>
        <family val="2"/>
      </rPr>
      <t>= The number of days forage should be given rest be grazing again</t>
    </r>
  </si>
  <si>
    <r>
      <t>Minimum Grazing Height</t>
    </r>
    <r>
      <rPr>
        <sz val="11"/>
        <color rgb="FF000000"/>
        <rFont val="Arial"/>
        <family val="2"/>
      </rPr>
      <t>= Forage should not be grazed below these heights</t>
    </r>
  </si>
  <si>
    <r>
      <t>Intake rate</t>
    </r>
    <r>
      <rPr>
        <sz val="11"/>
        <color rgb="FF000000"/>
        <rFont val="Arial"/>
        <family val="2"/>
      </rPr>
      <t>= The daily consumption as a percentage of the animals body weight; Guide- 2.0% for maintenance, 3.0% for average production, 4.0% for high production, for beef cows (year round) use 2.6%.</t>
    </r>
  </si>
  <si>
    <r>
      <t>WS or CS</t>
    </r>
    <r>
      <rPr>
        <sz val="11"/>
        <color rgb="FF000000"/>
        <rFont val="Arial"/>
        <family val="2"/>
      </rPr>
      <t>= warm season forage or cool season forage</t>
    </r>
  </si>
  <si>
    <r>
      <t>Carrying</t>
    </r>
    <r>
      <rPr>
        <sz val="11"/>
        <color rgb="FF000000"/>
        <rFont val="Arial"/>
        <family val="2"/>
      </rPr>
      <t xml:space="preserve"> </t>
    </r>
    <r>
      <rPr>
        <u/>
        <sz val="11"/>
        <color rgb="FF000000"/>
        <rFont val="Arial"/>
        <family val="2"/>
      </rPr>
      <t>Capacity</t>
    </r>
    <r>
      <rPr>
        <sz val="11"/>
        <color rgb="FF000000"/>
        <rFont val="Arial"/>
        <family val="2"/>
      </rPr>
      <t>= The number of animals, based on weight of animals, a given farm may be able to provide forage for a given period.</t>
    </r>
  </si>
  <si>
    <t>DEFINITIONS</t>
  </si>
  <si>
    <t>Only enter the additional information needed as indicated by the yellow cells.  The remaining cells and infomration will populate automatically based on the information entered into the Livestock Forage Balance Worksheet.</t>
  </si>
  <si>
    <t>GRAZE4.XLSM</t>
  </si>
  <si>
    <t xml:space="preserve">The GRAZE4 program was originally developed for use to plan, implement and document grazing systems in southwest Missouri.  It utilized the electronic J.S.Agron.1 (Livestock Forage Balance worksheet) developed by staff in Area 5 (Cape Girardeau) plus incorporated the Time Control Grazing Worksheet (known to most in this area as GRAZWS1.wk1 and sent to the field offices 9/14/95 by IRM transmittal). GRAZE4 made improvements to both tools plus added an easy to use graph that plots the amount of forage needed per month against the amount available.  This simple graph does not require any manipulation by the user except simply printing it out.  The Livestock-Forage Balance worksheet can be used independent of the other worksheets.  The Time Control Grazing worksheet requires the Livestock Forage Balance worksheet to be completed first.  Version 3.0 incorporated a means to separate hay fields and fields that are both hayed and grazed from the fields that are solely used for pasture.  It also added features to make it easier to maneuver, "start over", and to print.  It also added a summary for the system.  </t>
  </si>
  <si>
    <t xml:space="preserve">For Technical Concerns with the Functionality of the Model Contact:  </t>
  </si>
  <si>
    <t xml:space="preserve"> (double click for drop down menu)</t>
  </si>
  <si>
    <r>
      <t xml:space="preserve">Version (3.1) incorporated the following updates:  1)  The font (text) has been enlarged in the drop-down menus for the "Kind fo Forage" column on the Balance Worksheet and the "Fields hayed…only" column on the Hay Inventory.  </t>
    </r>
    <r>
      <rPr>
        <b/>
        <i/>
        <u/>
        <sz val="10"/>
        <rFont val="Arial"/>
        <family val="2"/>
      </rPr>
      <t>Double-click in the cell to access the drop-down menu</t>
    </r>
    <r>
      <rPr>
        <sz val="10"/>
        <rFont val="Arial"/>
        <family val="2"/>
      </rPr>
      <t>.  2)  Several species of forage have been added.  They are timothy, birdsfoot trefoil, white/ladino clover, redtop, alsike clover, Kentucky bluegrass, perennial ryegrass, turnips, and oats.  3)  Any new forage growth occurring in March that is not eaten is "rolled over" - added to the accumulated balance for April.  For specific questions about these changes please contact Lauren Cartwright, Agricultural Economist 573-876-9415.</t>
    </r>
  </si>
  <si>
    <t>1)  The previous three worksheets; "step 1 Balance Worksheet", "step 3 Avail. vs. Needs Graph", and step 4 Hay Inventory" have been consolidated into one worksheet "LivestockForageBalance".</t>
  </si>
  <si>
    <t>The current version (3.2) incorporates several upgrades and an updated user interface. :</t>
  </si>
  <si>
    <t xml:space="preserve">3) LivestockForageBalance Worksheet:  </t>
  </si>
  <si>
    <t>b)  Once the livestock class or classes are selected and the associated rows are visible,most livestock classes will require the user to enter additional information by selecting the "…Mgt Info"  button next to the livestock class name.  Clicking this button will open up another window with instructions.</t>
  </si>
  <si>
    <t>You must have Macros Enabled in order to utilize the full functionality of the model.</t>
  </si>
  <si>
    <t>d)  When entering the fields/paddocks for the Grazing System Pasture Forage Production, the user has the option to model a hay cutting on the pasture prior to grazing by selecting the "Yes" button associated with that particular field/paddock.  If the field/paddock will be hayed (by selecting the "Yes"option), then that field will be automatically entered into the Hay Production and Inventory area where the user can enter the associated hay yield information.</t>
  </si>
  <si>
    <t>e) The user can automatically calculate the Pasture Grazing Efficiency by selecting the button at the bottom of the Grazing System Pasture Forage Production sectionof the worksheet called "Calculate Pasture Grazing Efficiency".  The user can also override the calculated Pasture Grazing Efficiency at any time by simply typing the value into the cell.</t>
  </si>
  <si>
    <t>Once you have the program on the screen, take a minute to wander around the program.  You will see tabs on the bottom of the page that takes you to different worksheets.  You may want to play with the "zoom" to make the page and font size fit your eyes and the screen size you are using.</t>
  </si>
  <si>
    <t>There are basically 5 tabs on the bottom.  The "LivestockForageBalance" tab is the main worksheet to run the model.  The "Time ControlWorksheet" requires information from the "LovestockForageBalance".  The remaining tabs; "Instructions", "Field Worksheet", and "Explanation Sheet for LO" are all independent support information.</t>
  </si>
  <si>
    <r>
      <t xml:space="preserve">Most of the program has been protected so changes cannot be made in the formulas or data entered in the cells.  A “cell” is the area in the EXCEL spreadsheet defined by the columns shown on the top (A,B,C...) and the rows shown on the left side (1,2,3...).   In a different color (may be </t>
    </r>
    <r>
      <rPr>
        <b/>
        <sz val="10"/>
        <rFont val="Arial"/>
        <family val="2"/>
      </rPr>
      <t>yellow</t>
    </r>
    <r>
      <rPr>
        <sz val="10"/>
        <rFont val="Arial"/>
        <family val="2"/>
      </rPr>
      <t xml:space="preserve"> on most computers), you will see the unprotected cells where an entry is needed or allowed.  Cells that are not shaded are </t>
    </r>
    <r>
      <rPr>
        <b/>
        <sz val="10"/>
        <rFont val="Arial"/>
        <family val="2"/>
      </rPr>
      <t>protected</t>
    </r>
    <r>
      <rPr>
        <sz val="10"/>
        <rFont val="Arial"/>
        <family val="2"/>
      </rPr>
      <t xml:space="preserve"> from edits.   To delete an entry in an unprotected yellow cell, highlight that cell and hit delete. The mouse can be used to “block “ several cells and then hit delete.  </t>
    </r>
  </si>
  <si>
    <t>Livestock Forage Balance Worksheet</t>
  </si>
  <si>
    <t xml:space="preserve">This worksheet calculates the monthly needs of the livestock along with the pasture forage availability by month and any hay either produced on farm or puchased off farm.  </t>
  </si>
  <si>
    <t>Livestock Needs and Demand Schedule</t>
  </si>
  <si>
    <t xml:space="preserve">This section calculates the monthly forage demand of the livestock being modeled.  Depending on the class of livestock, the user will enter required information for the model to use to calculate the demand.  The first step is to select the class (or classes) of livestock to model by clicking the checkbox next to the name.  You can remove an erroneous selection at any time by unchecking the checkbox.  You can select as many livestock classes as needed.  There are no limits or restrictions.  Each livestock class will require the user to input additional information.  </t>
  </si>
  <si>
    <r>
      <rPr>
        <u/>
        <sz val="10"/>
        <rFont val="Arial"/>
        <family val="2"/>
      </rPr>
      <t>Stockers:</t>
    </r>
    <r>
      <rPr>
        <sz val="10"/>
        <rFont val="Arial"/>
        <family val="2"/>
      </rPr>
      <t xml:space="preserve">  One or two separate herds are available to model.  Management info for Stockers includes the starting weight, ADG and the months on the grazing system.  </t>
    </r>
  </si>
  <si>
    <r>
      <rPr>
        <u/>
        <sz val="10"/>
        <rFont val="Arial"/>
        <family val="2"/>
      </rPr>
      <t>Bulls:</t>
    </r>
    <r>
      <rPr>
        <sz val="10"/>
        <rFont val="Arial"/>
        <family val="2"/>
      </rPr>
      <t xml:space="preserve">  The bull livestock class provides several management options.  You can keep the bull on the grazing system year round or you can only move the bull(s) to the grazing system only during a breeding period and otherwise keep them on an alternative pasture or dry lot.  There are also options for one or two breeding seasons where the bull(s) may be moved to the grazing system twice in one year.</t>
    </r>
  </si>
  <si>
    <r>
      <t>Horses:</t>
    </r>
    <r>
      <rPr>
        <sz val="10"/>
        <rFont val="Arial"/>
        <family val="2"/>
      </rPr>
      <t xml:space="preserve">  The horses livestock class also offer the option to manage the horse herd on the grazing system year round, or move the herd to an alternative pasture or dry lot for part of the year.</t>
    </r>
  </si>
  <si>
    <r>
      <t xml:space="preserve">Summary: </t>
    </r>
    <r>
      <rPr>
        <sz val="10"/>
        <rFont val="Arial"/>
        <family val="2"/>
      </rPr>
      <t xml:space="preserve">  After all livestock demand information has been entered, the model provides a summary of the total forage demand by month for the Grazing System, Alternative Pasture and/or Dry Lot.</t>
    </r>
  </si>
  <si>
    <t>Grazing System Pasture Forage Production</t>
  </si>
  <si>
    <t xml:space="preserve">For each field/paddock, enter the field number (identifier), kind of forage (double-click in the cell to access a drop down menu to select the forage type), acres, yield (total forage production), and the grazing efficiency.  The model takes into account the forage you have selected and the associated growth curve for that forage being pastured.  This worksheet simply multiples the pounds per acre of total above ground production X acres X grazing efficiency X the % growth for that month. </t>
  </si>
  <si>
    <t>If any fields are managed by haying and then used as pasture, this option can be captured in the model by selecting the "Yes" button provided as an option with each field/paddock entered.  Selecting the "yes" button will prompt the user to input the month that the haying will occur.  The model will reserve the forage production up to the haying month towards hay production only, and only the growth after the hay is cut will be available and calculated as part of the pasture forage availablilty.  The field will also be automatically added into the hay production and inventory section below where the actual hay production amount will be captured.  At any time, the user can select the "No" button to remove the haying option from any field/paddock reverting that field to grazing production only.</t>
  </si>
  <si>
    <t xml:space="preserve">At this time there is not an option to graze and then hay a field.  </t>
  </si>
  <si>
    <r>
      <rPr>
        <b/>
        <sz val="18"/>
        <rFont val="Arial"/>
        <family val="2"/>
      </rPr>
      <t>*</t>
    </r>
    <r>
      <rPr>
        <b/>
        <sz val="12"/>
        <rFont val="Arial"/>
        <family val="2"/>
      </rPr>
      <t xml:space="preserve"> TFP - Total Forage Production</t>
    </r>
  </si>
  <si>
    <r>
      <t>TFP</t>
    </r>
    <r>
      <rPr>
        <b/>
        <sz val="18"/>
        <color theme="1"/>
        <rFont val="Arial"/>
        <family val="2"/>
      </rPr>
      <t>*</t>
    </r>
  </si>
  <si>
    <t>Lbs</t>
  </si>
  <si>
    <t>Estimated carry over hay that is stored on the property:</t>
  </si>
  <si>
    <t>(This includes the grazing system and any alternative pasture)</t>
  </si>
  <si>
    <t>The estimated total pounds of forage from hay (carry over) or harvested forage (on and off farm) are:</t>
  </si>
  <si>
    <r>
      <t xml:space="preserve">Notes:  </t>
    </r>
    <r>
      <rPr>
        <sz val="12"/>
        <rFont val="Arial"/>
        <family val="2"/>
      </rPr>
      <t>(Use this area to make any notes specific to the model)</t>
    </r>
  </si>
  <si>
    <r>
      <t>TFP</t>
    </r>
    <r>
      <rPr>
        <b/>
        <sz val="18"/>
        <rFont val="Arial"/>
        <family val="2"/>
      </rPr>
      <t>*</t>
    </r>
  </si>
  <si>
    <t xml:space="preserve">FORAGE GROWTH CURVES </t>
  </si>
  <si>
    <t xml:space="preserve">                                            These curves are used to calculate the monthly pasture forage available for the grazing system, and the production pounds of hay for fields that are hayed and then pastured</t>
  </si>
  <si>
    <t>TFP</t>
  </si>
  <si>
    <t xml:space="preserve">Haying </t>
  </si>
  <si>
    <t>Month</t>
  </si>
  <si>
    <t>Haying Month Drop Fown</t>
  </si>
  <si>
    <t>HAY PRODUCTION AND INVENTORY FOR FIELDS HAYED, SILAGE, HAYLAGE ONLY</t>
  </si>
  <si>
    <t>Fields will populate automatically if haying is selected above for any fields. Only enter the Hay Harvest Efficiency (%), the other fields populate automatically based upon the information entered above.  The Total Production Pounds is calculated by multiplying the percent of growth that has occured at the time of haying based upon the Forage Growth Curves.</t>
  </si>
  <si>
    <t>For a difference of:</t>
  </si>
  <si>
    <t>Hay Inventory</t>
  </si>
  <si>
    <t>%</t>
  </si>
  <si>
    <t>The available harvested hay is:</t>
  </si>
  <si>
    <t>The available carryover hay is:</t>
  </si>
  <si>
    <t>The available purchased hay is:</t>
  </si>
  <si>
    <t xml:space="preserve">        The balance between ALL sources of feed and the needs of the livestock is (+/-):  </t>
  </si>
  <si>
    <r>
      <t>The estimated storage/feeding loss is</t>
    </r>
    <r>
      <rPr>
        <b/>
        <sz val="14"/>
        <rFont val="Arial"/>
        <family val="2"/>
      </rPr>
      <t>*</t>
    </r>
    <r>
      <rPr>
        <b/>
        <sz val="12"/>
        <rFont val="Arial"/>
        <family val="2"/>
      </rPr>
      <t xml:space="preserve">:  </t>
    </r>
  </si>
  <si>
    <t>The estimated total pounds of forage provided through grazing are:</t>
  </si>
  <si>
    <t>The estimated harvested pounds of hay is:</t>
  </si>
  <si>
    <r>
      <t>The estimated harvested pounds of hay available (from this farm) are</t>
    </r>
    <r>
      <rPr>
        <sz val="14"/>
        <rFont val="Arial"/>
        <family val="2"/>
      </rPr>
      <t>*</t>
    </r>
    <r>
      <rPr>
        <sz val="12"/>
        <rFont val="Arial"/>
        <family val="2"/>
      </rPr>
      <t>:</t>
    </r>
  </si>
  <si>
    <r>
      <t>The additional available hay or forage purchased or brought in from other sources is</t>
    </r>
    <r>
      <rPr>
        <sz val="14"/>
        <rFont val="Arial"/>
        <family val="2"/>
      </rPr>
      <t>*</t>
    </r>
    <r>
      <rPr>
        <sz val="12"/>
        <rFont val="Arial"/>
        <family val="2"/>
      </rPr>
      <t>:</t>
    </r>
  </si>
  <si>
    <r>
      <t>The additional available hay or forage stored on farm as carry over</t>
    </r>
    <r>
      <rPr>
        <sz val="14"/>
        <rFont val="Arial"/>
        <family val="2"/>
      </rPr>
      <t>*</t>
    </r>
    <r>
      <rPr>
        <sz val="12"/>
        <rFont val="Arial"/>
        <family val="2"/>
      </rPr>
      <t>:</t>
    </r>
  </si>
  <si>
    <r>
      <t>(</t>
    </r>
    <r>
      <rPr>
        <i/>
        <sz val="14"/>
        <rFont val="Arial"/>
        <family val="2"/>
      </rPr>
      <t>*</t>
    </r>
    <r>
      <rPr>
        <i/>
        <sz val="12"/>
        <rFont val="Arial"/>
        <family val="2"/>
      </rPr>
      <t xml:space="preserve"> Incorporates storage/feedling loss)</t>
    </r>
  </si>
  <si>
    <t>Lbs dry matter</t>
  </si>
  <si>
    <t xml:space="preserve">ALTERNATIVE PASTURE FORAGE PRODUCTION </t>
  </si>
  <si>
    <t>(only utilize this section if you have selected to manage any of your livestock on an alternative pasture in the Livestock Needs and Demand Schedule above)</t>
  </si>
  <si>
    <t>DETAILED SUMMARY</t>
  </si>
  <si>
    <t>Wet Tolerance</t>
  </si>
  <si>
    <t>Drought Tolerance</t>
  </si>
  <si>
    <t>SPECIES</t>
  </si>
  <si>
    <t>SOIL       Sa&lt;-L-&gt; Cy</t>
  </si>
  <si>
    <t>CyU</t>
  </si>
  <si>
    <t>GNS</t>
  </si>
  <si>
    <t>GrO</t>
  </si>
  <si>
    <t>GrP</t>
  </si>
  <si>
    <t>GrU</t>
  </si>
  <si>
    <t>LyO</t>
  </si>
  <si>
    <t>LyP</t>
  </si>
  <si>
    <t>LyU</t>
  </si>
  <si>
    <t>MDU</t>
  </si>
  <si>
    <t>ShU</t>
  </si>
  <si>
    <t>SyO</t>
  </si>
  <si>
    <t>WCB</t>
  </si>
  <si>
    <t>WCU</t>
  </si>
  <si>
    <t>WLB</t>
  </si>
  <si>
    <t>WLO</t>
  </si>
  <si>
    <t>WtP</t>
  </si>
  <si>
    <t>LEGUMES</t>
  </si>
  <si>
    <t>N</t>
  </si>
  <si>
    <t>M</t>
  </si>
  <si>
    <t>ALFALFA</t>
  </si>
  <si>
    <t>L</t>
  </si>
  <si>
    <t>---</t>
  </si>
  <si>
    <t>H</t>
  </si>
  <si>
    <t>ALSIKE CLOVER</t>
  </si>
  <si>
    <t>LC</t>
  </si>
  <si>
    <t>BIRDSFOOT TREFOIL</t>
  </si>
  <si>
    <t>CROWNVETCH</t>
  </si>
  <si>
    <t>LADINO CLOVER</t>
  </si>
  <si>
    <t>ANN. LESPEDEZA</t>
  </si>
  <si>
    <t>SLC</t>
  </si>
  <si>
    <t>RED CLOVER</t>
  </si>
  <si>
    <t>COOL SEASON GRASSES</t>
  </si>
  <si>
    <t>BLUEGRASS</t>
  </si>
  <si>
    <t>ORCHARDGRASS</t>
  </si>
  <si>
    <t>RED FESCUE</t>
  </si>
  <si>
    <t>REDTOP</t>
  </si>
  <si>
    <t>REED CANARYGRASS</t>
  </si>
  <si>
    <t>SMOOTH BROME</t>
  </si>
  <si>
    <t>TALL FESCUE</t>
  </si>
  <si>
    <t>TIMOTHY</t>
  </si>
  <si>
    <t>WARM SEASON GRASSES</t>
  </si>
  <si>
    <t>BERMUDAGRASS</t>
  </si>
  <si>
    <t>SL</t>
  </si>
  <si>
    <t>BIG BLUESTEM</t>
  </si>
  <si>
    <t>CAUCASIAN BLUESTEM</t>
  </si>
  <si>
    <t>INDIANGRASS</t>
  </si>
  <si>
    <t>LITTLE BLUESTEM</t>
  </si>
  <si>
    <t>SIDEOATS GRAMA</t>
  </si>
  <si>
    <t>SWITCHGRASS</t>
  </si>
  <si>
    <t>EASTERN GAMAGRASS</t>
  </si>
  <si>
    <t>* For High inputs add 30%</t>
  </si>
  <si>
    <t xml:space="preserve">TABLE 1: RELATIVE ADAPTABILITY OF SELECTED FORAGE SPECIES TO FORAGE SUITABILITY GROUPS; EXPRESSED AS ESTIMATED YIELDS, THOUSANDS OF POUNDS PER ACRE, WHEN OUTSIDE INPUTS ARE MODERATE*. </t>
  </si>
  <si>
    <t>Dairy, Seasonal</t>
  </si>
  <si>
    <t xml:space="preserve">Start by using the "Save As" option to save a copy of the model to your computer.  Enter the general information for the producer you are working with into the yellow cells.  Then select the livestock class (or classes) to model by slecting the check box next to the livestock class name.  You can select as many livestock classes to model as needed.  If you selected a livestock class in error, clicking the check box again will remove that livestock class from the chosen options.   Depending on the livestock class chosen, there may be additional management information to enter by selecting the button for "Mgt Info" next to the livestock class name.    Enter the managment information within the button (if available) and then enter the required information in the yellow cells to capture the total forage demand.  For Cow/Calf, Dairy, Bulls, and Horses livestock classes the "Mgt Info" button will have options to manage the animals on the grazing system all year or an alternative pasture or a dry lot for a portion of the year.  The selected option will be reflected directly below the livestock class name. </t>
  </si>
  <si>
    <t>Use this input area to capture the forage production on alternative pastures(s) that may be used to meet some of the livestock forage needs separate from the main grazing system (as indicated by specific livestock class management in the Livestock Needs and Demands section above).  Add additional fields by selecting the "+" icon.  You may enter up to 6 separate fields.  The yellow cells are for user inputs.   An alternative pasture is typically some unmanaged acreage where animals are moved to graze when peak productivity is not required, such as when dairy cows are dry or heifers are not lactating, or when bulls are not with cows for breeding.</t>
  </si>
  <si>
    <t>a)  Check boxes are available to select the livestock class or classes to be modeled, so only those being modeled are visible.</t>
  </si>
  <si>
    <t>c)  The livestock classes for Cow Calf, Dairy, Bulls and Horses have the option to select to manage these herds on the grazing system year round, or you can now also select to move them to either an alternative pasture or dry lot for appropriate periods of time. These selections can be made within the "...Mgt Info"buttons next to the livestock class name.  If an alternative pasture or dry lot is selected, the model will the track the forage demand of the grazing system separate from the forage demand of the alternative pasture or forage demand of the dry lot. Where an alternative pasture will be utilized for a portion of the year, an additional input area is available to enter the forage production infomation of the alternative pasture.</t>
  </si>
  <si>
    <t>f)  The Total Production Pounds for hay calculation (for both the fields hayed and pastured, and hayed only) is calculated based on the forage growth curves utilizing themonth of haying input.</t>
  </si>
  <si>
    <t>4)  The Time Control Worksheet has been updated to automatically show the appropriate number of rows based on the number of fields/paddocks entered in the Livestock Forage Balance worksheet.</t>
  </si>
  <si>
    <t>5)  The Field Worksheet has been updated to include additional information that is included in the model</t>
  </si>
  <si>
    <t>If you want to save the data for an individual, save the file as a different file name.  The GRAZE4_ver3.2.xlsm file should be the file you bring up when you start working on a new system.  By following these guidelines, the original file should remain clean and clear of any potential bugs that may take place as you use the program.  Use the below steps if you want to save files for individual producers:</t>
  </si>
  <si>
    <r>
      <rPr>
        <u/>
        <sz val="10"/>
        <rFont val="Arial"/>
        <family val="2"/>
      </rPr>
      <t>Cow Calf Pairs:</t>
    </r>
    <r>
      <rPr>
        <sz val="10"/>
        <rFont val="Arial"/>
        <family val="2"/>
      </rPr>
      <t xml:space="preserve">  Up to three separate herds are available to model.  Once the checkbox(es) is(are) selected a button will be available next to the livestock class name called "Herd X Mgt Info".  Selecting this box will open a form for the user to enter the calving month and select a management option.  The herd may be managed on the grazing system year round, moved to an alternative pasture for part of the year, or moved to a dry lot for part of the year.  If either the alternative pasture or dry lot option is selected, the user will be prompted to enter the months associated with the alternative management. </t>
    </r>
    <r>
      <rPr>
        <b/>
        <sz val="10"/>
        <rFont val="Arial"/>
        <family val="2"/>
      </rPr>
      <t xml:space="preserve">Note:  Whe using the radio buttons to select the management option, be sure that the radio button shows as selected (filled).  If not, then re-select the option.  The selected management option will be reflected on the worksheet in the row just below the livestock class name.   </t>
    </r>
    <r>
      <rPr>
        <sz val="10"/>
        <rFont val="Arial"/>
        <family val="2"/>
      </rPr>
      <t xml:space="preserve">In addition to entering the Management information, also enter the information in yellow cells of the spreadsheet.  </t>
    </r>
  </si>
  <si>
    <r>
      <t>Dairy:</t>
    </r>
    <r>
      <rPr>
        <sz val="10"/>
        <rFont val="Arial"/>
        <family val="2"/>
      </rPr>
      <t xml:space="preserve">  There are two Dairy options, a seasonal dairy or an annual dairy.  The seasonal dairy is for herds that will be managed where all cows are not lactating during a period of the year.  The management info needed is lactation period and how the cows will be managed during the non-lactation period (remain on grazing system, move to alternative pasture, or move to a dry lot).  The annual dairy is for herds where some portion of the cows are lactating and being milked year round.  In this option, you always have a portion of the herd that is dry and a portion that is lactating.  Enter the management information for each segment of the dairy herd.  For example; a 100 cow dairy where 20% of the herd is dry at any time.  Enter 80 lactating cows and 20 dry cows into the planned number and the associated intake rates.  Under the management buttons enter how the lactating cows are managed and how the dry cows are managed.  </t>
    </r>
  </si>
  <si>
    <r>
      <t>Goats and Sheep:</t>
    </r>
    <r>
      <rPr>
        <sz val="10"/>
        <rFont val="Arial"/>
        <family val="2"/>
      </rPr>
      <t xml:space="preserve">   In this version, goats and sheep livestock classes do not have any alternative management options, the user will simply enter the basic info in the yellow cells.  The model assumes all grazing is done on the grazing system.</t>
    </r>
  </si>
  <si>
    <t>This section calculates the grazing system pasture forage supply provided by the producer's land.  The grazing system forage production calculation is intended to capture the forage produced on the main grazing system that is managed specifically for grazing and will typically be the managed rotational grazing system.  The model allows up to 24 fields/paddocks to be entered by selecting the "+" icon..</t>
  </si>
  <si>
    <t>After all fields are entered, the user can automatically calclate the Pasture Grazing Efficiency % by selecting the "Calculate Pasture Grazing Efficiency" button.  Selecting the "Calculate Pasture Grazing Efficiency" button will calculate the pasture grazing efficiency for each field/paddock by dividing the Total Usable Acres Grazed by the Acres of each field/paddock to generate a Paddock Equivalency Value.  The Paddock Equivalency Value is used to return the associated Pasture Grazing Efficiency value based on a table provided in the model.  The user can override this calculation at any time by simply typing an efficiency value into the associated cell.  To return to the calculated efficiency values, simply select the "Calculate" button again.</t>
  </si>
  <si>
    <t xml:space="preserve">It is up to the planner to make the best estimate they can.  As a rule of thumb, if you know hay yields, for example 2 tons, then take the yield (4000 lbs) divided by 0.7 to give an estimated TFP.  In this case 5700 lbs TFP.  The TFP will depend on several factors that you need to consider.  The soil, the fertility, the forage chracteristics (density, vigor, species...), and the management should all be considered.  There are several resources that can be used as guides to help determine TFP.  An experienced grassland planner should always be considered a resource.  The farmer himself should be considered, especially if he/she have records of production.  A soil survey can be used and will have information on production.  The FOTG, section II will have information on TFP.  This guide splits production by the Pasture Suitability Group (PSG) and may encompase several soils within the PSG.  Old GLA records and tables have this information (although not many planners will have this). </t>
  </si>
  <si>
    <t xml:space="preserve">To use this worksheet, the user has to complete the Livestock Forage Balance Worksheet FIRST.  </t>
  </si>
  <si>
    <t>Once the Livestock Forage Balance worksheet is completed, the Time Control Grazing worksheet only requires three entries.  The cells that require manual entry by the user are: Minimum and Maximum Rest Periods (from the 528a standard and specifications), and Number of Herds.  Entries like name, system ID, county, date, fields, acres, and total forage production is carried directly over from the Livestock Forage Balance worksheet.  Data like grazing efficiency, animal weights, animal numbers, and intake rate are also derived from the other worksheet and weighted averages are calculated and automatically entered.  Minimum grazing heights are populated automatically as well.</t>
  </si>
  <si>
    <t>Graph on Availability Versus Needs, by Month</t>
  </si>
  <si>
    <r>
      <t xml:space="preserve">This graph gives a visual representation of what is occurring on this farm over the year.  It does a good job of showing deficits such as during the summer, when warm season perennials or annuals may fill the gap, or during the winter months when forages have ceased production.  Also, it will typically show the surplus of forage in the spring/early summer months, when hay is typically harvested.  This graph is only looking at </t>
    </r>
    <r>
      <rPr>
        <i/>
        <sz val="10"/>
        <rFont val="Arial"/>
        <family val="2"/>
      </rPr>
      <t>forages produced on pasture fields and does not reflect the forages harvested for hay</t>
    </r>
    <r>
      <rPr>
        <sz val="10"/>
        <rFont val="Arial"/>
        <family val="2"/>
      </rPr>
      <t>.  A third line in the graph also shows the accumulated balance of forage over the year.  The accumulated balance captures forage that was not eaten during high growth periods and thus available for the animals in future months.  When the accumulated balance is below zero, supplemental forage is required.</t>
    </r>
  </si>
  <si>
    <t>Alternative Pasture Forage Production</t>
  </si>
  <si>
    <t>This section captures forage produced for livestock that are managed for some period of time on an alternative pasture.  An alternative pasture is typically some unmanaged acreage where animals are moved to graze when peak productivity is not required, such as when dairy cows are dry or heifers are not lactating, or when bulls are not with cows for breeding.</t>
  </si>
  <si>
    <t xml:space="preserve">Only utilize this section if you have selected to manage any of your livestock on an alternative pasture in the Livestock Needs and Demand Schedule.   This additional input allows a comparison of the livestock demand and forage available during the period of time the alternative pasture is utilized.  </t>
  </si>
  <si>
    <t>Hay Production and Inventory for Fields Hayed, Silage, Haylage Only</t>
  </si>
  <si>
    <t>Where a field will be hayed and then grazed, you will need to enter the Hay Harvest Efficiency (%).   The Hay Total Production Pounds is calculated by multiplying the percent of growth that has occured at the time of haying based upon the Forage Growth Curves.</t>
  </si>
  <si>
    <t>This section allows you to inventory hay fields in the system.  You enter the field numbers, species, acres, total forage production, and the harvest efficiency.  As a rule of thumb for haying operations, the harvest efficiency is usually 70%.  The Hay Total Production Pounds is calculated by multiplying the percent of growth that has occured at the time of haying based upon the Forage Growth Curves.</t>
  </si>
  <si>
    <t xml:space="preserve">The Summary Feed and Forage Balance has options where you can also enter the amount of hay or forage purchased or brought into the system from off-farm sources.  This can be important in situations where no hay is cut (or a percentage of the hay) on this farm (the forage produced on the farm does not support the entire herd for the period that are retained on this system).  Most likely if this hay is not accounted for the carrying capacity will not reflect the ability to carrying more animals during hay feeding times.  In otherwords the summary page will show a lower carrying capacity because hay is not shown as being brought in.  However, planners should be aware and recognize signs of potential overgrazing during the growing season and not use the "additional off-farm" feed simply to balance the system for the desired herd size when in actuality the system cannot carry the herd except during periods of fast growth.  </t>
  </si>
  <si>
    <t xml:space="preserve">Time Control Grazing Worksheet </t>
  </si>
  <si>
    <t xml:space="preserve">You access the Detailed Summary by selecting the "View Detailed Summary" button from the Livestock Forage Balance worksheet.  The button is located next to the Summary Feed and Forage Balance.  By opening the summary using the button it enables the model to automatically insert information into the Summary sheet based on the inputs provided.   </t>
  </si>
  <si>
    <t>As the name implies, this sheet summarizes the information from other steps in a concise meaningful format for the landowner.  It estimates the carrying capacity for the operation and also estimates the carrying capacity at different levels of grazing efficiencies.  There is one user entry required to estimate the carrying capacity on the pasture only.  The definitions for terms used on all worksheets are also located on the bottom of this page.</t>
  </si>
  <si>
    <t>Click the button called "Save As…"</t>
  </si>
  <si>
    <t>Summary of Livestock Needs and Pasture Forage Production</t>
  </si>
  <si>
    <r>
      <t xml:space="preserve">The alternative pasture summary captures any livestock forage demand on alternative pasture and compares that with the alternative pasture forage production.  If an alternative pasture is </t>
    </r>
    <r>
      <rPr>
        <b/>
        <i/>
        <sz val="10"/>
        <rFont val="Arial"/>
        <family val="2"/>
      </rPr>
      <t>not</t>
    </r>
    <r>
      <rPr>
        <sz val="10"/>
        <rFont val="Arial"/>
        <family val="2"/>
      </rPr>
      <t xml:space="preserve"> utilized as part of the livestock management system (indicated by </t>
    </r>
    <r>
      <rPr>
        <b/>
        <i/>
        <sz val="10"/>
        <rFont val="Arial"/>
        <family val="2"/>
      </rPr>
      <t>not</t>
    </r>
    <r>
      <rPr>
        <sz val="10"/>
        <rFont val="Arial"/>
        <family val="2"/>
      </rPr>
      <t xml:space="preserve"> selecting this management option for any livestock classes in the Livestock Needs and Demand Schedule area and </t>
    </r>
    <r>
      <rPr>
        <b/>
        <i/>
        <sz val="10"/>
        <rFont val="Arial"/>
        <family val="2"/>
      </rPr>
      <t xml:space="preserve">not </t>
    </r>
    <r>
      <rPr>
        <sz val="10"/>
        <rFont val="Arial"/>
        <family val="2"/>
      </rPr>
      <t xml:space="preserve">entering data into the Alternative Pasture Forage Production section) then this summary area will remain blank.  </t>
    </r>
  </si>
  <si>
    <r>
      <t xml:space="preserve">The dry lot summary captures any livestock forage demand during the period of time they are confined to a dry lot.  Any forage demand on a dry lot must be met with hay.  If a dry lot is </t>
    </r>
    <r>
      <rPr>
        <b/>
        <i/>
        <sz val="10"/>
        <rFont val="Arial"/>
        <family val="2"/>
      </rPr>
      <t>not</t>
    </r>
    <r>
      <rPr>
        <sz val="10"/>
        <rFont val="Arial"/>
        <family val="2"/>
      </rPr>
      <t xml:space="preserve"> utilized as part of the livestock management system (indicated by </t>
    </r>
    <r>
      <rPr>
        <b/>
        <i/>
        <sz val="10"/>
        <rFont val="Arial"/>
        <family val="2"/>
      </rPr>
      <t>not</t>
    </r>
    <r>
      <rPr>
        <sz val="10"/>
        <rFont val="Arial"/>
        <family val="2"/>
      </rPr>
      <t xml:space="preserve"> selecting this management option for any livestock classes in the Livestock Needs and Demand Schedule area) then this summary area will remain blank.</t>
    </r>
  </si>
  <si>
    <t>Summary: Feed and Forage Balance</t>
  </si>
  <si>
    <t xml:space="preserve">This section is an expansion of the summary provided in previous versions.  Since the management options allow management on alternative pasture and/or dry lot for a portion of the year for some livestock classes, the summary has been expanded to include these alternative options,so the user can balance all forage needs of the entire operation for all livestock. </t>
  </si>
  <si>
    <t xml:space="preserve">This summary provides an overview of the total forage demands and total forage supplied (from both the grazing system and alternative pasture if that is being utilized).  </t>
  </si>
  <si>
    <t>The summary then calculates the hay inventory that is available to make up and deficiencies in the pasture forage supply and livestock demands.  Additionally, this section can be used to estimate if there will be extra hay produced on farm that could be sold, or capture hay that must be purchased to make up any deficiencies.  A hay carry over inventory input has been added to capture any hay that may already be stored on site.  This input can also be utilized for multi year planning, where you run the model for year one and have some extra hay, then run another iteration of the model to represent a second year of management and that extra hay produced in year 1 can be entered as carry over for year 2.</t>
  </si>
  <si>
    <t>Detailed Summary Worksheet</t>
  </si>
  <si>
    <t>Explanation Sheet for Landowner Worksheet</t>
  </si>
  <si>
    <t xml:space="preserve">2)  The "Detailed Summary" worksheet is available by selecting a button called "View Detailed Summary" at the end of the "LivestockForageBalance" worksheet.  By opening the summary using the button it enables the model to automatically insert information into the Summary sheet based on the inputs provided.   </t>
  </si>
  <si>
    <t>Back to top</t>
  </si>
  <si>
    <r>
      <t xml:space="preserve">Table of Contents:  </t>
    </r>
    <r>
      <rPr>
        <b/>
        <sz val="10"/>
        <rFont val="Arial"/>
        <family val="2"/>
      </rPr>
      <t>Select to jump to topic</t>
    </r>
  </si>
  <si>
    <t>Intake Rate (%)</t>
  </si>
  <si>
    <t>Cow Calf Operation (Includes Bulls)</t>
  </si>
  <si>
    <t>Management Details</t>
  </si>
  <si>
    <t>Grazing System All Year</t>
  </si>
  <si>
    <t>Month In</t>
  </si>
  <si>
    <t>Month Out</t>
  </si>
  <si>
    <t xml:space="preserve">Dry Lot </t>
  </si>
  <si>
    <t>Herd ID</t>
  </si>
  <si>
    <t>Livestock Class/Herd ID</t>
  </si>
  <si>
    <t>Lactating Intake Rate (%)</t>
  </si>
  <si>
    <t>Dry Intake Rate (%)</t>
  </si>
  <si>
    <t>Lactating month start</t>
  </si>
  <si>
    <t>Lactating month end</t>
  </si>
  <si>
    <t>Alternative Pasture when Dry</t>
  </si>
  <si>
    <t>Dry Lot when Dry</t>
  </si>
  <si>
    <t>Lactating Herd</t>
  </si>
  <si>
    <t>Dry Herd</t>
  </si>
  <si>
    <t>Month Hayed</t>
  </si>
  <si>
    <t>Pasture, Pasture/Hay, and/or Alternative Pasture Forage Production</t>
  </si>
  <si>
    <t>Additional Hay Production</t>
  </si>
  <si>
    <t>Purchased Hay:</t>
  </si>
  <si>
    <t>Carry Over Hay:</t>
  </si>
  <si>
    <t>Comments</t>
  </si>
  <si>
    <t xml:space="preserve">Comments/notes: </t>
  </si>
  <si>
    <t>Grazing System    All Year</t>
  </si>
  <si>
    <t>Grazing System   All Year</t>
  </si>
  <si>
    <t>Month in</t>
  </si>
  <si>
    <t>Month out</t>
  </si>
  <si>
    <t>Calving month</t>
  </si>
  <si>
    <t>Avg Daily Gain</t>
  </si>
  <si>
    <t>Acres*</t>
  </si>
  <si>
    <t>Pasture TFP or yield**</t>
  </si>
  <si>
    <t>* might choose to ignore acres during field visit and address back at office.</t>
  </si>
  <si>
    <t>** whether TFP or yield, note which one and make appropriate interpretation and conversion.</t>
  </si>
  <si>
    <t>TFP or yield**</t>
  </si>
  <si>
    <t>*might choose to ignore acres during field visit and address back at office.</t>
  </si>
  <si>
    <t>Start Weight</t>
  </si>
  <si>
    <t xml:space="preserve">* For the model a singe herd will be modeled as a portion of the herd as lactating and a portion dry at any point in time.  For example; a 100 cow dairy where on average 20% of the herd are dry at any point in time.  Enter the data as 80 cows for the lactating herd and 20 cows for the dry herd.  </t>
  </si>
  <si>
    <t>Additional Hay Information (buy hay or bring in hay, how much…)</t>
  </si>
  <si>
    <t>Producer Name: _____________________________________</t>
  </si>
  <si>
    <t>System ID: ____________________ Date: __________</t>
  </si>
  <si>
    <t>County: __________________  Completed By: _________________________________</t>
  </si>
  <si>
    <t>Cow Calf Operation (includes Bulls)</t>
  </si>
  <si>
    <t>Stockers Operation</t>
  </si>
  <si>
    <t>Seasonal Dairy Operation</t>
  </si>
  <si>
    <t>Annual Dairy Operation</t>
  </si>
  <si>
    <t>Horse Operation</t>
  </si>
  <si>
    <t>Sheep and/or Goats Operation</t>
  </si>
  <si>
    <t>Hay Category</t>
  </si>
  <si>
    <t>Annual Dairy Operation *</t>
  </si>
  <si>
    <t>Sheep/Goats Operation</t>
  </si>
  <si>
    <t>To utilize the field worksheet for collecting data, first use the checkboxes to select the livestock class(es) on the farm you will be visiting.  Select as many as needed.  Then Select the "Print Field Worksheet" button, this will open to a print preview screen where you can review and make any adjustments to the page setup prior to printing.</t>
  </si>
  <si>
    <t>Livestock Inventory and Demand Summary for:</t>
  </si>
  <si>
    <t>Alt Pasture or Dry Lot</t>
  </si>
  <si>
    <t>Time Frame for</t>
  </si>
  <si>
    <t>Grazing System Total Demand</t>
  </si>
  <si>
    <t>Alternative Pasture Total Demand</t>
  </si>
  <si>
    <t>Dry Lot Total Demand</t>
  </si>
  <si>
    <t>Annual Totals</t>
  </si>
  <si>
    <t xml:space="preserve">Grazing System </t>
  </si>
  <si>
    <t xml:space="preserve">Alternative Pasture </t>
  </si>
  <si>
    <t>Pasture Forage Production Summary for:</t>
  </si>
  <si>
    <t>TFP *</t>
  </si>
  <si>
    <t>* TFP = Total Forage Production - Total forage production is the total amount of forage produced (factors in both the amount of forage that is available to grazing or haying plus the remaining growth that is left behind after grazing or haying)</t>
  </si>
  <si>
    <t xml:space="preserve">Hay </t>
  </si>
  <si>
    <t xml:space="preserve">Then </t>
  </si>
  <si>
    <t>Graze?</t>
  </si>
  <si>
    <t>Hay Cut</t>
  </si>
  <si>
    <t>If Yes,</t>
  </si>
  <si>
    <t>Grazing System</t>
  </si>
  <si>
    <t>Total Forage Available (Lbs)</t>
  </si>
  <si>
    <t>Total Forage Needs (Lbs)</t>
  </si>
  <si>
    <t>Total Difference (Lbs)</t>
  </si>
  <si>
    <t>Accumulated Balance (Lbs) by Month</t>
  </si>
  <si>
    <t>Feed and Forage Balance Summary</t>
  </si>
  <si>
    <t>The estimated storage/feeding loss is:</t>
  </si>
  <si>
    <t>Print Options</t>
  </si>
  <si>
    <t>Select the buttons for the items from this worksheet to print.  Each selection will open a print preview window where you can make adjustments to the print setup before printing.</t>
  </si>
  <si>
    <t xml:space="preserve">Printing Information on the Livestock Forage Balance worksheet:  WIthin the summary area of the Livestock Forage Balance worksheet a box is available with multiple buttons to print the information entered into the worksheet in a print-friendly format.  Select the button for the area of the Livestock Forage Balance worksheet you want to print, and a Print Preview screen will open with the selected infomation. You can review the print setup and make any adjustments before printing.  </t>
  </si>
  <si>
    <t>Additionally, print buttons are available to print the Time Control Worksheet, Instructions, Detailed Summary, Field Worksheet, and Explanation Sheet for the Landowner.  The print buttons for these areas of the tool are available within these specific worksheets.</t>
  </si>
  <si>
    <t>Hay Production Summary for:</t>
  </si>
  <si>
    <t>Fields Hayed in Conjunction with Grazing</t>
  </si>
  <si>
    <t>TFP*</t>
  </si>
  <si>
    <t>Livestock Inventory and Demand Summary</t>
  </si>
  <si>
    <t>Pasture Forage Production Summary</t>
  </si>
  <si>
    <t>Hay Production Summary</t>
  </si>
  <si>
    <t>Alternative Pasture Forage Availability versus Livestock Needs Graph</t>
  </si>
  <si>
    <t>Grazing System Forage Availability versus Livestock Needs Graph</t>
  </si>
  <si>
    <t>Detailed Summary Sheet</t>
  </si>
  <si>
    <t xml:space="preserve">This sheet captures the forage production on the grazing system per month based on seasonal growth curves per species.  Additionally, if an alternative pasture is being utilized the summary shows the forage production for the alternative pasture(s) modeled.   </t>
  </si>
  <si>
    <t>This sheet contains information about the livestock you plan to have (and possibly the livestock you currently have) on a particular piece of ground.  Information like numbers, weights, their daily intake rates are included.  The sheet makes estimates of their forage demand.  This sheet also captures any management decisions for some livestock classes to capture if you livestock will stay on the grazing system year round, spend some of the year on an alternative pasture or spend some time of the year on a dry lot.  An alternative pasture is typically some unmanaged acreage where animals are moved to graze when peak productivity is not required, such as when dairy cows are dry or heifers are not lactating, or when bulls are not with cows for breeding.  The total forage demand by management option is summarized.</t>
  </si>
  <si>
    <t>This sheet shows a summary of the hay produced on the farm.  This includes hay produced on fields that are hayed and grazed, and fields that are used for haying only.</t>
  </si>
  <si>
    <t xml:space="preserve">This sheet ties the infomration from the previous sheets together and shows a comparison by month of the forage demand and produced.  The sedon part of the sheet is a feed and forage balance which provides an overall estimate of total forage available (including hay) and forage demand. </t>
  </si>
  <si>
    <t>This graph looks at information from the Livestock-Forage Balance sheet and gives a visual display of the estimated needs of the animal from the grazing system versus the grazing system production by each month.  This graph only considers the grazing system (does not include hay).  This graph may help visualize the needs and surpluses of your system over the course of a year.  Additionally, the graph shows the accumulated balance.  Accumulated balance factors in forage that is not utilized the previous month that is still available to the animals to graze.  A negative accumulated balance indicates the need for supplemental forage, such as hay, to meet the livestock needs.</t>
  </si>
  <si>
    <t xml:space="preserve">This sheet summarizes all the information from the previous sheets and provides an analysis of the system.  It identifies the needs and what is available and shows deficits and surpluses.  It also allows an estimate of the carrying capacity of the farm(s) at the current level or planned level.  It may also make some predictions in the carrying capacity if you were to increase the grazing efficiency on the farm- by improving the level of management.  </t>
  </si>
  <si>
    <t>Explanation Sheet for Attached Documents for</t>
  </si>
  <si>
    <t>Same as the Grazing System Forage Availability versus Livestock Needs Graph, but for the Alternative pasture(s) if that is part of the system being modeled.</t>
  </si>
  <si>
    <t>Document Name and Explanation</t>
  </si>
  <si>
    <t>HayMonth cell links</t>
  </si>
  <si>
    <t>Seasonal Dairy</t>
  </si>
  <si>
    <t>Notes:</t>
  </si>
  <si>
    <t>Annual Dairy</t>
  </si>
  <si>
    <t xml:space="preserve">    Will hay be cut on this field?</t>
  </si>
  <si>
    <t>Use this input area to capture the pasture forage production of the grazing system.  Add additional paddocks by selecting the "+" icon.  You may enter up to 24 separate fields/paddocks.  The yellow cells are for user inputs.  If hay will be cut on a field/paddock (in addition to being used as part of the grazing system), select the "Y" icon and enter the month hay will be cut.  Entering haying information here will automatically add the field/paddock to the "Fields Hayed in Conjunction with Grazing" area below where you will be able to enter details about the hay production.  You can override the haying information at any time by selecting the "N" icon to revert the field back to a pasture only field.   The Pasture Grazing Efficiency information can be entered manually or you can allow the model to calculate.  Select the "What is this?" button below to learn more about this feature.</t>
  </si>
  <si>
    <t/>
  </si>
  <si>
    <t>Use this input are to capture any additional hay production on fields that are not part of the grazing system.   Add additional fields by selecting the "+" icon.  You may enter up to 10 separate fields.  The yellow cells are for user inputs.   The Total Production Pounds is calculated by multiplying the percent of growth that has occured at the time of haying (Haying Month) based upon the Forage Growth Curves.  Enter the Haying Month as a number (eg. Jan = 1, Feb = 2, Mar = 3, etc.)</t>
  </si>
  <si>
    <t>Averages</t>
  </si>
  <si>
    <t>double click for drop down</t>
  </si>
  <si>
    <t xml:space="preserve"> Number</t>
  </si>
  <si>
    <t>____________________________________________________________________________</t>
  </si>
  <si>
    <t>version 3.3</t>
  </si>
  <si>
    <t xml:space="preserve">   When grazing efficiency is increased, total production will likely increase as well. Some increases in the production was assumed </t>
  </si>
  <si>
    <t xml:space="preserve">   (5%,10%,15%) to come up with the carrying capacity estimates if the grazing efficiency for this operation was increased.</t>
  </si>
  <si>
    <t>Alfalfa/Orchardgrass</t>
  </si>
  <si>
    <t>Big Bluestem/Indiangrass</t>
  </si>
  <si>
    <t>Bluegrass, Kentucky/Dutch Wh. Clover</t>
  </si>
  <si>
    <t>Bluegrass, KY/Tall Fescue/Ladino Cl.</t>
  </si>
  <si>
    <t>Bluegrass, KY/Orchardgrass/Red Cl.</t>
  </si>
  <si>
    <t>Bluegrass, KY/Tall Fescue/Red Cl.</t>
  </si>
  <si>
    <t>Brush, (for Goat pasture)</t>
  </si>
  <si>
    <t>Brush, Grass, and Forbes for Goats</t>
  </si>
  <si>
    <t>Chicory</t>
  </si>
  <si>
    <t>Corn (Green Grazed)</t>
  </si>
  <si>
    <t>Corn Stalk Residue</t>
  </si>
  <si>
    <t>Eastern Gama Grass</t>
  </si>
  <si>
    <t>Fescue, Tall (not stockpiled)</t>
  </si>
  <si>
    <t>Fescue, Tall (stockpiled)</t>
  </si>
  <si>
    <t>Millet, Pearl</t>
  </si>
  <si>
    <t>Orchardgrass/Ladino Clover</t>
  </si>
  <si>
    <t>Orchardgrass/Red Clover (stockpiled)</t>
  </si>
  <si>
    <t>Orchardgrass/Tall Fescue/Ladino Clover</t>
  </si>
  <si>
    <t>Orchardgrass/Tall Fescue/Red Clover</t>
  </si>
  <si>
    <t>Reed Canarygrass</t>
  </si>
  <si>
    <t>Rye, Cereal (Aug. seeded)</t>
  </si>
  <si>
    <t>Ryegrass, Italian/Annual (Aug. seeded)</t>
  </si>
  <si>
    <t>Ryegrass, Perennial/Ladino Clover</t>
  </si>
  <si>
    <t>Ryegrass, Perennial/Red Clover</t>
  </si>
  <si>
    <t>Sorghum-sudangrass</t>
  </si>
  <si>
    <t>Triticale, Fall seeded</t>
  </si>
  <si>
    <t>Adams</t>
  </si>
  <si>
    <t>Alexander</t>
  </si>
  <si>
    <t>Bond</t>
  </si>
  <si>
    <t>Brown</t>
  </si>
  <si>
    <t>Bureau</t>
  </si>
  <si>
    <t>Calhoun</t>
  </si>
  <si>
    <t>Champaign</t>
  </si>
  <si>
    <t>Coles</t>
  </si>
  <si>
    <t>Cook</t>
  </si>
  <si>
    <t>Cumberland</t>
  </si>
  <si>
    <t>De Witt</t>
  </si>
  <si>
    <t>DuPage</t>
  </si>
  <si>
    <t>Edgar</t>
  </si>
  <si>
    <t>Edwards</t>
  </si>
  <si>
    <t>Effingham</t>
  </si>
  <si>
    <t>Fayette</t>
  </si>
  <si>
    <t>Ford</t>
  </si>
  <si>
    <t>Fulton</t>
  </si>
  <si>
    <t>Gallatin</t>
  </si>
  <si>
    <t>Hamilton</t>
  </si>
  <si>
    <t>Hancock</t>
  </si>
  <si>
    <t>Hardin</t>
  </si>
  <si>
    <t>Henderson</t>
  </si>
  <si>
    <t>Iroquois</t>
  </si>
  <si>
    <t>Jersey</t>
  </si>
  <si>
    <t>Jo Daviess</t>
  </si>
  <si>
    <t>Kane</t>
  </si>
  <si>
    <t>Kankakee</t>
  </si>
  <si>
    <t>Kendall</t>
  </si>
  <si>
    <t>La Salle</t>
  </si>
  <si>
    <t>Lake</t>
  </si>
  <si>
    <t>Lee</t>
  </si>
  <si>
    <t>Logan</t>
  </si>
  <si>
    <t>McDonough</t>
  </si>
  <si>
    <t>McHenry</t>
  </si>
  <si>
    <t>McLean</t>
  </si>
  <si>
    <t>Macoupin</t>
  </si>
  <si>
    <t>Marshall</t>
  </si>
  <si>
    <t>Mason</t>
  </si>
  <si>
    <t>Massac</t>
  </si>
  <si>
    <t>Menard</t>
  </si>
  <si>
    <t>Moultrie</t>
  </si>
  <si>
    <t>Ogle</t>
  </si>
  <si>
    <t>Peoria</t>
  </si>
  <si>
    <t>Piatt</t>
  </si>
  <si>
    <t>Pope</t>
  </si>
  <si>
    <t>Richland</t>
  </si>
  <si>
    <t>Rock Island</t>
  </si>
  <si>
    <t>Sangamon</t>
  </si>
  <si>
    <t>St. Clair</t>
  </si>
  <si>
    <t>Stark</t>
  </si>
  <si>
    <t>Stephenson</t>
  </si>
  <si>
    <t>Tazewell</t>
  </si>
  <si>
    <t>Union</t>
  </si>
  <si>
    <t>Vermilion</t>
  </si>
  <si>
    <t>Wabash</t>
  </si>
  <si>
    <t>White</t>
  </si>
  <si>
    <t>Whiteside</t>
  </si>
  <si>
    <t>Will</t>
  </si>
  <si>
    <t>Williamson</t>
  </si>
  <si>
    <t>Winnebago</t>
  </si>
  <si>
    <t>Woodford</t>
  </si>
  <si>
    <t>Monthly Balance by %:</t>
  </si>
  <si>
    <t>August, 1999; revised April 2000, revised December 2003; revised December 2010; revised April 2013, September 2017.</t>
  </si>
  <si>
    <t>Oroginally developed in NRCS, Missouri, Area 4 by Pat Adams, Area Resource Conservationist (Springfield, MO) for use in inventory, documentation, and planning for Prescribed Grazing systems.</t>
  </si>
  <si>
    <t>For Assistance Contact: Roger Staff at 618.703.3007 or</t>
  </si>
  <si>
    <t>Matt Bunger at 309.585.6377</t>
  </si>
  <si>
    <t>Bryon Kirwan, State Economist, 217.353.6638</t>
  </si>
  <si>
    <t>This version of the GRAZE4 program was developed using EXCEL 2010.  Please report any compatibility problems to Bryon Kirwan.</t>
  </si>
  <si>
    <r>
      <t xml:space="preserve">This sheet utilized the information from the Livestock Forage Balance worksheet, and adds a grazing time component.  A few major items to look at are the minimum and maximum grazing days, the animal density, and the minimum grazing heights.  The grazing days are the range of days livestock should reside (graze) in that particular field.  The "minimum days" for when forage is growing fast, "maximum days" for when forage is growing slow.  By using these guides, a proper rest period should be achieved.  The animal density can be a measure of how well the forage will be utilized.  The lower the density, the more opportunities for wasted forage, more "picky" eating, and less utilization.  The minimum grazing heights are extremely important and should be adhered to for proper management.  They are based on the kind of forage in that field.  Definitions for some of the terms used are available on the Time Control Grazing Worksheet.  </t>
    </r>
    <r>
      <rPr>
        <sz val="11"/>
        <color rgb="FFFF0000"/>
        <rFont val="Arial"/>
        <family val="2"/>
      </rPr>
      <t>Note, The MIN and MAX grazing days should not exceed the days identified in CPS 528, Table 2 for the forage and paddocks planned</t>
    </r>
  </si>
  <si>
    <t>Another resource that can be found in the FOTG section II is called "Productivity of Missouri Soils". This resource gives the index for soils and links the index to production levels for hay and pasture.  Since this guide has not been revised since 1995, there may be some new soils that are not included.  However, a soil scientist, can help estimate the index based on the characteristics of the soil.  Illinois has different references within the eFOTG.  Illinois users look at IL info.</t>
  </si>
  <si>
    <t>Footnote: at least 4 months of the grazing season must provide at least 90% (or more) of forage needs from Mid April to Mid October for Southern and Central IL, 3 months of 90% or more for Northern IL.</t>
  </si>
  <si>
    <t>Tons/Acre</t>
  </si>
  <si>
    <t xml:space="preserve">                                 Balance by Percentage</t>
  </si>
  <si>
    <t>OPT. Production</t>
  </si>
  <si>
    <t>AVE. Production</t>
  </si>
  <si>
    <t>Hay Storage Cost Comparison</t>
  </si>
  <si>
    <t>Ag Decision Maker -- Iowa State University Extension</t>
  </si>
  <si>
    <r>
      <t xml:space="preserve">For information on hay costs, see Information File A1-15, </t>
    </r>
    <r>
      <rPr>
        <u/>
        <sz val="11"/>
        <color indexed="45"/>
        <rFont val="Cambria"/>
        <family val="2"/>
        <scheme val="major"/>
      </rPr>
      <t>Iowa Pasture Cost Improvement Budgets.</t>
    </r>
  </si>
  <si>
    <t>Place the cursor over cells with red triangles to read comments.</t>
  </si>
  <si>
    <t>Enter your input values in shaded cells.</t>
  </si>
  <si>
    <t>General Information</t>
  </si>
  <si>
    <t>Unit</t>
  </si>
  <si>
    <t>Acres of hay produced annually</t>
  </si>
  <si>
    <t>acres</t>
  </si>
  <si>
    <t xml:space="preserve">  </t>
  </si>
  <si>
    <t>Average yield, total for all cuttings</t>
  </si>
  <si>
    <t>tons/acre</t>
  </si>
  <si>
    <t>Width of bale</t>
  </si>
  <si>
    <t>feet</t>
  </si>
  <si>
    <t>Length or diameter of bale</t>
  </si>
  <si>
    <t>Average weight of bale</t>
  </si>
  <si>
    <t>Tons of hay needed to meet annual needs</t>
  </si>
  <si>
    <t>tons/year</t>
  </si>
  <si>
    <t>Value of hay at harvest, on farm</t>
  </si>
  <si>
    <t>$/ton</t>
  </si>
  <si>
    <t>Estimated cost of production for hay</t>
  </si>
  <si>
    <t>Long term interest rate for building investment</t>
  </si>
  <si>
    <t>Value of labor used for storing hay</t>
  </si>
  <si>
    <t>$/hour</t>
  </si>
  <si>
    <t>Storage Loss</t>
  </si>
  <si>
    <t>Bare ground, no cover</t>
  </si>
  <si>
    <t>Outside, on gravel, no cover</t>
  </si>
  <si>
    <t>Outside, on gravel, under tarp</t>
  </si>
  <si>
    <t>Outside, bare ground, under tarp</t>
  </si>
  <si>
    <t>Outside, on bare ground, plastic wraps</t>
  </si>
  <si>
    <t>Under roof, no sides</t>
  </si>
  <si>
    <t>Inside, new building</t>
  </si>
  <si>
    <t>Inside, existing building</t>
  </si>
  <si>
    <t>Price of hay</t>
  </si>
  <si>
    <t>Expected spoilage &amp; dry matter loss
(click here for research data)</t>
  </si>
  <si>
    <t>Outside Storage</t>
  </si>
  <si>
    <t>Initial cost of gravel base or pallets, per square foot</t>
  </si>
  <si>
    <t>$/sq. foot</t>
  </si>
  <si>
    <t>Expected years of life for gravel base or pallets</t>
  </si>
  <si>
    <t>years</t>
  </si>
  <si>
    <t>Cost of canvas or plastic tarps, per square foot</t>
  </si>
  <si>
    <t>$</t>
  </si>
  <si>
    <t>Expected years of life for covering</t>
  </si>
  <si>
    <t>Cost for plastic bale wraps, each</t>
  </si>
  <si>
    <t>$/wrap</t>
  </si>
  <si>
    <t>Inside Storage</t>
  </si>
  <si>
    <t>Construction cost of new building, per square foot</t>
  </si>
  <si>
    <t>Expected years of life of new building</t>
  </si>
  <si>
    <t>Approximate value of existing building, per square foot</t>
  </si>
  <si>
    <t>Repair and maintenance rate, annual</t>
  </si>
  <si>
    <t>% of value</t>
  </si>
  <si>
    <t>Property tax and insurance rate, annual</t>
  </si>
  <si>
    <t>Other Information</t>
  </si>
  <si>
    <t>Number of layers of stacked bales</t>
  </si>
  <si>
    <t>layers</t>
  </si>
  <si>
    <t>Total labor needed for storing, covering, and uncovering</t>
  </si>
  <si>
    <t>hours/year</t>
  </si>
  <si>
    <t>Cost Comparison</t>
  </si>
  <si>
    <t>Type of storage</t>
  </si>
  <si>
    <t>Tons of hay harvested per year</t>
  </si>
  <si>
    <t>Number of bales stored per year</t>
  </si>
  <si>
    <t>bales/year</t>
  </si>
  <si>
    <t>Storage area needed--square feet</t>
  </si>
  <si>
    <t>square feet</t>
  </si>
  <si>
    <t>Initial investment for building</t>
  </si>
  <si>
    <t>Initial investment for gravel or pallets for storage site</t>
  </si>
  <si>
    <t>Ownership cost per year for building</t>
  </si>
  <si>
    <t>$/year</t>
  </si>
  <si>
    <t>Ownership cost per year for storage site</t>
  </si>
  <si>
    <t xml:space="preserve">Labor cost for storage per year </t>
  </si>
  <si>
    <t>Cost of coverings per year</t>
  </si>
  <si>
    <t>Total cost per year for storage</t>
  </si>
  <si>
    <t>Value of spoilage and dry matter loss</t>
  </si>
  <si>
    <t>Total cost for storage including storage loss</t>
  </si>
  <si>
    <t>Tons of hay available for feeding or selling</t>
  </si>
  <si>
    <t>Total cost for storage, incl. storage loss, per ton avail. for feeding</t>
  </si>
  <si>
    <t xml:space="preserve">Value of hay available to feed minus cost of storage </t>
  </si>
  <si>
    <t>Total cost to meet annual hay needs</t>
  </si>
  <si>
    <t>Version 1.0</t>
  </si>
  <si>
    <t>Author: William Edwards</t>
  </si>
  <si>
    <t>Ann Johanns</t>
  </si>
  <si>
    <t>Date Printed:</t>
  </si>
  <si>
    <t>. . . and justice for all</t>
  </si>
  <si>
    <t>The U.S. Department of Agriculture (USDA) prohibits discrimination in all its programs and activities on the basis of race, color, national origin, gender, religion, age, disability, political beliefs, sexual orientation, and marital or family status. (Not all prohibited bases apply to all programs.) Many materials can be made available in alternative formats for ADA clients. To file a complaint of discrimination, write USDA, Office of Civil Rights, Room 326-W, Whitten Building, 14th and Independence Avenue, SW, Washington, DC 20250-9410 or call 202-720-5964.</t>
  </si>
  <si>
    <t>Issued in furtherance of Cooperative Extension work, Acts of May 8 and June 30, 1914, in cooperation with the U.S. Department of Agriculture. Gerald A. Miller, interim director, Cooperative Extension Service, Iowa State University of Science and Technology, Ames, Iowa.</t>
  </si>
  <si>
    <t>Plan Grazing Days:</t>
  </si>
  <si>
    <t>Grand Total Percentage/Feed Balance</t>
  </si>
  <si>
    <t>Select OPTIMUM yields when:</t>
  </si>
  <si>
    <t>1.  Paddocks fertilized regularly, OR</t>
  </si>
  <si>
    <t>2.  Paddocks have productive legumes in stand, OR</t>
  </si>
  <si>
    <t>3.  Grazing rotation is 7 days or less, OR</t>
  </si>
  <si>
    <t>4.  Pasture Condition Scoresheet is 31 or Greater</t>
  </si>
  <si>
    <t>1.  Paddocks are fertilized regularly, OR</t>
  </si>
  <si>
    <t>if none of the above, select AVERAGE yields</t>
  </si>
  <si>
    <r>
      <rPr>
        <u/>
        <sz val="11"/>
        <color rgb="FF000000"/>
        <rFont val="Arial"/>
        <family val="2"/>
      </rPr>
      <t>Grazing Efficiency</t>
    </r>
    <r>
      <rPr>
        <sz val="11"/>
        <color rgb="FF000000"/>
        <rFont val="Arial"/>
        <family val="2"/>
      </rPr>
      <t>= The percent of total forage utilized by the animal; Guide- 1-4 fields-</t>
    </r>
    <r>
      <rPr>
        <u/>
        <sz val="11"/>
        <color rgb="FF000000"/>
        <rFont val="Arial"/>
        <family val="2"/>
      </rPr>
      <t>&lt;</t>
    </r>
    <r>
      <rPr>
        <sz val="11"/>
        <color rgb="FF000000"/>
        <rFont val="Arial"/>
        <family val="2"/>
      </rPr>
      <t xml:space="preserve"> 25%-30%; 5 fields- 35%; 6 fields- 40%; 7 fields- 45%; 8 fields- 50%; 11 fields- 55%; 16 fields-60%; 31 fields -65%; 63 fields-70%; strip grazing- 70% -75% (harvest efficiency).</t>
    </r>
  </si>
  <si>
    <r>
      <rPr>
        <u/>
        <sz val="11"/>
        <color rgb="FF000000"/>
        <rFont val="Arial"/>
        <family val="2"/>
      </rPr>
      <t>Grazing Efficiency= The percent of total forage utilized by the animal; Guide- 1-4 fields-&lt; 25%-30%; 5 fields- 35%; 6 fields- 40%; 7 fields- 45%; 8 fields- 50%; 11 fields- 55%; 16 fields-60%; 31 fields -65%; 63 fields-70%; strip grazing- 70% -75% (harvest efficiency).</t>
    </r>
    <r>
      <rPr>
        <sz val="11"/>
        <color rgb="FF000000"/>
        <rFont val="Arial"/>
        <family val="2"/>
      </rPr>
      <t>.</t>
    </r>
  </si>
  <si>
    <t>Turnips (Fall seeded)</t>
  </si>
  <si>
    <t>Turnips/C. Rye (Fall seeded)</t>
  </si>
  <si>
    <t>Turnips/C. Rye/Oats (Fall seeded)</t>
  </si>
  <si>
    <t>Turnips/Oats (Fall seeded)</t>
  </si>
  <si>
    <t>Pasture Mixes (Table 3-1 Northern IL optimum)</t>
  </si>
  <si>
    <t>Alfalfa/Smooth Bromegrass</t>
  </si>
  <si>
    <t>Birdsfoot Trefoil/cool season grass</t>
  </si>
  <si>
    <t>Bluegrass, KY/Orchardgrass/Ladino Cl.</t>
  </si>
  <si>
    <t>Bromegrass, Smooth</t>
  </si>
  <si>
    <t>Bromegrass, Smooth/Ladino Clover</t>
  </si>
  <si>
    <t>Bromegrass, Smooth/Red Clover</t>
  </si>
  <si>
    <t>.</t>
  </si>
  <si>
    <t xml:space="preserve">Fescue, Tall/Ladino Clover </t>
  </si>
  <si>
    <t xml:space="preserve">Fescue, Tall/Red Clover </t>
  </si>
  <si>
    <t>Fescue, Tall/Red Clover (stock piled)</t>
  </si>
  <si>
    <t>Oats (August seeding)</t>
  </si>
  <si>
    <t>Oats (March-April seeding)</t>
  </si>
  <si>
    <t>Timothy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</si>
</sst>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5" formatCode="&quot;$&quot;#,##0_);\(&quot;$&quot;#,##0\)"/>
    <numFmt numFmtId="7" formatCode="&quot;$&quot;#,##0.00_);\(&quot;$&quot;#,##0.00\)"/>
    <numFmt numFmtId="42" formatCode="_(&quot;$&quot;* #,##0_);_(&quot;$&quot;* \(#,##0\);_(&quot;$&quot;* &quot;-&quot;_);_(@_)"/>
    <numFmt numFmtId="44" formatCode="_(&quot;$&quot;* #,##0.00_);_(&quot;$&quot;* \(#,##0.00\);_(&quot;$&quot;* &quot;-&quot;??_);_(@_)"/>
    <numFmt numFmtId="43" formatCode="_(* #,##0.00_);_(* \(#,##0.00\);_(* &quot;-&quot;??_);_(@_)"/>
    <numFmt numFmtId="164" formatCode="General_)"/>
    <numFmt numFmtId="165" formatCode="0.0_)"/>
    <numFmt numFmtId="166" formatCode="0_)"/>
    <numFmt numFmtId="167" formatCode="0.00_)"/>
    <numFmt numFmtId="168" formatCode="0.0"/>
    <numFmt numFmtId="169" formatCode="0.000"/>
    <numFmt numFmtId="170" formatCode="0;\-0;;@"/>
    <numFmt numFmtId="171" formatCode="#,###"/>
    <numFmt numFmtId="172" formatCode="#,##0.0"/>
    <numFmt numFmtId="173" formatCode="#,###.0"/>
    <numFmt numFmtId="174" formatCode="_(* #,##0_);_(* \(#,##0\);_(* &quot;-&quot;??_);_(@_)"/>
    <numFmt numFmtId="175" formatCode="&quot;$&quot;#,##0.0_);\(&quot;$&quot;#,##0.0\)"/>
    <numFmt numFmtId="176" formatCode="0.0%"/>
    <numFmt numFmtId="177" formatCode="_(&quot;$&quot;* #,##0_);_(&quot;$&quot;* \(#,##0\);_(&quot;$&quot;* &quot;-&quot;??_);_(@_)"/>
  </numFmts>
  <fonts count="111">
    <font>
      <sz val="10"/>
      <name val="Courier"/>
    </font>
    <font>
      <sz val="11"/>
      <color theme="1"/>
      <name val="Calibri"/>
      <family val="2"/>
      <scheme val="minor"/>
    </font>
    <font>
      <sz val="10"/>
      <name val="Courier"/>
      <family val="3"/>
    </font>
    <font>
      <sz val="10"/>
      <color indexed="8"/>
      <name val="Courier"/>
      <family val="3"/>
    </font>
    <font>
      <b/>
      <sz val="10"/>
      <color indexed="8"/>
      <name val="Arial"/>
      <family val="2"/>
    </font>
    <font>
      <b/>
      <sz val="12"/>
      <name val="Arial"/>
      <family val="2"/>
    </font>
    <font>
      <sz val="14"/>
      <name val="Arial"/>
      <family val="2"/>
    </font>
    <font>
      <sz val="11"/>
      <name val="Arial"/>
      <family val="2"/>
    </font>
    <font>
      <sz val="10"/>
      <name val="Arial"/>
      <family val="2"/>
    </font>
    <font>
      <sz val="11"/>
      <color indexed="10"/>
      <name val="Arial"/>
      <family val="2"/>
    </font>
    <font>
      <sz val="12"/>
      <color indexed="8"/>
      <name val="Arial"/>
      <family val="2"/>
    </font>
    <font>
      <sz val="11"/>
      <name val="Courier"/>
      <family val="3"/>
    </font>
    <font>
      <sz val="12"/>
      <name val="Arial"/>
      <family val="2"/>
    </font>
    <font>
      <sz val="12"/>
      <name val="Courier"/>
      <family val="3"/>
    </font>
    <font>
      <b/>
      <sz val="11"/>
      <name val="Arial"/>
      <family val="2"/>
    </font>
    <font>
      <sz val="12"/>
      <color indexed="8"/>
      <name val="Arial"/>
      <family val="2"/>
    </font>
    <font>
      <b/>
      <sz val="16"/>
      <name val="Arial"/>
      <family val="2"/>
    </font>
    <font>
      <b/>
      <sz val="10"/>
      <name val="Courier"/>
      <family val="3"/>
    </font>
    <font>
      <sz val="8"/>
      <name val="Courier"/>
      <family val="3"/>
    </font>
    <font>
      <b/>
      <sz val="10"/>
      <name val="Courier"/>
      <family val="3"/>
    </font>
    <font>
      <b/>
      <sz val="12"/>
      <color indexed="8"/>
      <name val="Arial"/>
      <family val="2"/>
    </font>
    <font>
      <b/>
      <sz val="11"/>
      <name val="Arial"/>
      <family val="2"/>
    </font>
    <font>
      <b/>
      <sz val="14"/>
      <name val="Arial"/>
      <family val="2"/>
    </font>
    <font>
      <sz val="12"/>
      <color indexed="10"/>
      <name val="Arial"/>
      <family val="2"/>
    </font>
    <font>
      <b/>
      <sz val="12"/>
      <color indexed="8"/>
      <name val="Arial"/>
      <family val="2"/>
    </font>
    <font>
      <u/>
      <sz val="12"/>
      <name val="Arial"/>
      <family val="2"/>
    </font>
    <font>
      <sz val="10"/>
      <name val="Courier"/>
      <family val="3"/>
    </font>
    <font>
      <b/>
      <sz val="10"/>
      <name val="Arial"/>
      <family val="2"/>
    </font>
    <font>
      <sz val="9"/>
      <name val="Courier"/>
      <family val="3"/>
    </font>
    <font>
      <i/>
      <sz val="10"/>
      <name val="Arial"/>
      <family val="2"/>
    </font>
    <font>
      <b/>
      <sz val="14"/>
      <color indexed="8"/>
      <name val="Arial"/>
      <family val="2"/>
    </font>
    <font>
      <b/>
      <sz val="14"/>
      <name val="Arial"/>
      <family val="2"/>
    </font>
    <font>
      <sz val="8"/>
      <name val="Arial"/>
      <family val="2"/>
    </font>
    <font>
      <sz val="18"/>
      <name val="ESRI Geometric Symbols"/>
    </font>
    <font>
      <b/>
      <i/>
      <sz val="10"/>
      <name val="Arial"/>
      <family val="2"/>
    </font>
    <font>
      <b/>
      <i/>
      <u/>
      <sz val="10"/>
      <name val="Arial"/>
      <family val="2"/>
    </font>
    <font>
      <sz val="11"/>
      <color theme="1"/>
      <name val="Calibri"/>
      <family val="2"/>
      <scheme val="minor"/>
    </font>
    <font>
      <sz val="10"/>
      <color rgb="FFFF0000"/>
      <name val="Courier"/>
      <family val="3"/>
    </font>
    <font>
      <sz val="12"/>
      <color rgb="FFFF0000"/>
      <name val="Arial"/>
      <family val="2"/>
    </font>
    <font>
      <b/>
      <sz val="12"/>
      <color rgb="FFFF0000"/>
      <name val="Arial"/>
      <family val="2"/>
    </font>
    <font>
      <sz val="10"/>
      <color rgb="FFFF0000"/>
      <name val="Arial"/>
      <family val="2"/>
    </font>
    <font>
      <sz val="12"/>
      <color theme="1"/>
      <name val="Arial"/>
      <family val="2"/>
    </font>
    <font>
      <sz val="12"/>
      <color theme="0"/>
      <name val="Arial"/>
      <family val="2"/>
    </font>
    <font>
      <b/>
      <sz val="18"/>
      <name val="Arial"/>
      <family val="2"/>
    </font>
    <font>
      <i/>
      <sz val="12"/>
      <name val="Arial"/>
      <family val="2"/>
    </font>
    <font>
      <b/>
      <sz val="12"/>
      <color theme="1"/>
      <name val="Arial"/>
      <family val="2"/>
    </font>
    <font>
      <b/>
      <sz val="10"/>
      <color theme="1"/>
      <name val="Arial"/>
      <family val="2"/>
    </font>
    <font>
      <sz val="10"/>
      <color theme="1"/>
      <name val="Arial"/>
      <family val="2"/>
    </font>
    <font>
      <u/>
      <sz val="10"/>
      <color theme="10"/>
      <name val="Courier"/>
      <family val="3"/>
    </font>
    <font>
      <sz val="12"/>
      <color theme="0" tint="-0.34998626667073579"/>
      <name val="Arial"/>
      <family val="2"/>
    </font>
    <font>
      <b/>
      <sz val="14"/>
      <color theme="1"/>
      <name val="Arial"/>
      <family val="2"/>
    </font>
    <font>
      <u/>
      <sz val="11"/>
      <color rgb="FF000000"/>
      <name val="Arial"/>
      <family val="2"/>
    </font>
    <font>
      <sz val="11"/>
      <color rgb="FF000000"/>
      <name val="Arial"/>
      <family val="2"/>
    </font>
    <font>
      <u/>
      <sz val="11"/>
      <name val="Arial"/>
      <family val="2"/>
    </font>
    <font>
      <i/>
      <sz val="10"/>
      <name val="Courier"/>
      <family val="3"/>
    </font>
    <font>
      <i/>
      <sz val="11"/>
      <name val="Arial"/>
      <family val="2"/>
    </font>
    <font>
      <sz val="9"/>
      <name val="Arial"/>
      <family val="2"/>
    </font>
    <font>
      <u/>
      <sz val="10"/>
      <name val="Arial"/>
      <family val="2"/>
    </font>
    <font>
      <b/>
      <sz val="18"/>
      <color theme="1"/>
      <name val="Arial"/>
      <family val="2"/>
    </font>
    <font>
      <i/>
      <sz val="14"/>
      <name val="Arial"/>
      <family val="2"/>
    </font>
    <font>
      <b/>
      <i/>
      <sz val="14"/>
      <color theme="1"/>
      <name val="Arial"/>
      <family val="2"/>
    </font>
    <font>
      <i/>
      <sz val="12"/>
      <color theme="1"/>
      <name val="Arial"/>
      <family val="2"/>
    </font>
    <font>
      <sz val="10"/>
      <color rgb="FFFF0000"/>
      <name val="Segoe UI"/>
      <family val="2"/>
    </font>
    <font>
      <i/>
      <sz val="14"/>
      <color theme="1"/>
      <name val="Arial"/>
      <family val="2"/>
    </font>
    <font>
      <u/>
      <sz val="11"/>
      <color theme="10"/>
      <name val="Arial"/>
      <family val="2"/>
    </font>
    <font>
      <sz val="11"/>
      <color rgb="FFFF0000"/>
      <name val="Arial"/>
      <family val="2"/>
    </font>
    <font>
      <u/>
      <sz val="10"/>
      <color theme="10"/>
      <name val="Arial Narrow"/>
      <family val="2"/>
    </font>
    <font>
      <i/>
      <sz val="8"/>
      <name val="Arial"/>
      <family val="2"/>
    </font>
    <font>
      <sz val="11"/>
      <name val="Arial Narrow"/>
      <family val="2"/>
    </font>
    <font>
      <b/>
      <sz val="11"/>
      <name val="Arial Narrow"/>
      <family val="2"/>
    </font>
    <font>
      <b/>
      <sz val="11"/>
      <color theme="1"/>
      <name val="Arial Narrow"/>
      <family val="2"/>
    </font>
    <font>
      <b/>
      <sz val="12"/>
      <name val="Arial Narrow"/>
      <family val="2"/>
    </font>
    <font>
      <i/>
      <sz val="12"/>
      <name val="Arial Narrow"/>
      <family val="2"/>
    </font>
    <font>
      <sz val="10"/>
      <name val="Arial Narrow"/>
      <family val="2"/>
    </font>
    <font>
      <sz val="12"/>
      <name val="Arial Narrow"/>
      <family val="2"/>
    </font>
    <font>
      <sz val="14"/>
      <name val="Arial Narrow"/>
      <family val="2"/>
    </font>
    <font>
      <b/>
      <sz val="10"/>
      <name val="Arial Narrow"/>
      <family val="2"/>
    </font>
    <font>
      <b/>
      <sz val="14"/>
      <name val="Arial Narrow"/>
      <family val="2"/>
    </font>
    <font>
      <b/>
      <sz val="13"/>
      <name val="Arial Narrow"/>
      <family val="2"/>
    </font>
    <font>
      <i/>
      <sz val="11"/>
      <name val="Arial Narrow"/>
      <family val="2"/>
    </font>
    <font>
      <sz val="11"/>
      <color theme="1"/>
      <name val="Arial"/>
      <family val="2"/>
    </font>
    <font>
      <sz val="9"/>
      <color indexed="81"/>
      <name val="Tahoma"/>
      <family val="2"/>
    </font>
    <font>
      <b/>
      <sz val="12"/>
      <color indexed="81"/>
      <name val="Arial"/>
      <family val="2"/>
    </font>
    <font>
      <b/>
      <i/>
      <sz val="12"/>
      <color theme="1"/>
      <name val="Arial"/>
      <family val="2"/>
    </font>
    <font>
      <b/>
      <sz val="11.5"/>
      <name val="Arial"/>
      <family val="2"/>
    </font>
    <font>
      <sz val="12"/>
      <name val="Calibri"/>
      <family val="2"/>
      <scheme val="minor"/>
    </font>
    <font>
      <sz val="10"/>
      <name val="Courier"/>
    </font>
    <font>
      <b/>
      <sz val="9"/>
      <color indexed="81"/>
      <name val="Tahoma"/>
      <family val="2"/>
    </font>
    <font>
      <b/>
      <sz val="12"/>
      <color rgb="FF7030A0"/>
      <name val="Arial"/>
      <family val="2"/>
    </font>
    <font>
      <b/>
      <sz val="11"/>
      <color indexed="9"/>
      <name val="Cambria"/>
      <family val="2"/>
      <scheme val="major"/>
    </font>
    <font>
      <sz val="11"/>
      <name val="Cambria"/>
      <family val="2"/>
      <scheme val="major"/>
    </font>
    <font>
      <sz val="11"/>
      <color theme="1"/>
      <name val="Cambria"/>
      <family val="2"/>
      <scheme val="major"/>
    </font>
    <font>
      <b/>
      <sz val="11"/>
      <color indexed="63"/>
      <name val="Cambria"/>
      <family val="2"/>
      <scheme val="major"/>
    </font>
    <font>
      <b/>
      <sz val="11"/>
      <name val="Cambria"/>
      <family val="2"/>
      <scheme val="major"/>
    </font>
    <font>
      <u/>
      <sz val="11"/>
      <color indexed="45"/>
      <name val="Cambria"/>
      <family val="2"/>
      <scheme val="major"/>
    </font>
    <font>
      <u/>
      <sz val="11"/>
      <color indexed="12"/>
      <name val="Cambria"/>
      <family val="2"/>
      <scheme val="major"/>
    </font>
    <font>
      <i/>
      <sz val="11"/>
      <name val="Cambria"/>
      <family val="2"/>
      <scheme val="major"/>
    </font>
    <font>
      <sz val="11"/>
      <color indexed="10"/>
      <name val="Cambria"/>
      <family val="2"/>
      <scheme val="major"/>
    </font>
    <font>
      <u/>
      <sz val="11"/>
      <name val="Cambria"/>
      <family val="2"/>
      <scheme val="major"/>
    </font>
    <font>
      <sz val="11"/>
      <color indexed="9"/>
      <name val="Cambria"/>
      <family val="2"/>
      <scheme val="major"/>
    </font>
    <font>
      <u val="singleAccounting"/>
      <sz val="11"/>
      <name val="Cambria"/>
      <family val="2"/>
      <scheme val="major"/>
    </font>
    <font>
      <b/>
      <u/>
      <sz val="11"/>
      <name val="Cambria"/>
      <family val="2"/>
      <scheme val="major"/>
    </font>
    <font>
      <sz val="11"/>
      <color indexed="45"/>
      <name val="Cambria"/>
      <family val="2"/>
      <scheme val="major"/>
    </font>
    <font>
      <sz val="11"/>
      <color indexed="63"/>
      <name val="Cambria"/>
      <family val="2"/>
      <scheme val="major"/>
    </font>
    <font>
      <sz val="8"/>
      <color indexed="81"/>
      <name val="Tahoma"/>
      <family val="2"/>
    </font>
    <font>
      <sz val="9"/>
      <color indexed="81"/>
      <name val="Tahoma"/>
      <charset val="1"/>
    </font>
    <font>
      <sz val="12"/>
      <color rgb="FF0070C0"/>
      <name val="Arial"/>
      <family val="2"/>
    </font>
    <font>
      <b/>
      <sz val="13"/>
      <color rgb="FF7030A0"/>
      <name val="Arial"/>
      <family val="2"/>
    </font>
    <font>
      <sz val="12"/>
      <color rgb="FFC00000"/>
      <name val="Arial"/>
      <family val="2"/>
    </font>
    <font>
      <b/>
      <sz val="12"/>
      <color rgb="FFC00000"/>
      <name val="Arial"/>
      <family val="2"/>
    </font>
    <font>
      <sz val="12"/>
      <color rgb="FF7030A0"/>
      <name val="Arial"/>
      <family val="2"/>
    </font>
  </fonts>
  <fills count="22">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rgb="FFFFFF9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2" tint="-0.249977111117893"/>
        <bgColor indexed="64"/>
      </patternFill>
    </fill>
    <fill>
      <patternFill patternType="solid">
        <fgColor theme="6" tint="0.39997558519241921"/>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rgb="FFFAE75C"/>
        <bgColor indexed="64"/>
      </patternFill>
    </fill>
    <fill>
      <patternFill patternType="solid">
        <fgColor rgb="FFFDF4B5"/>
        <bgColor indexed="64"/>
      </patternFill>
    </fill>
    <fill>
      <patternFill patternType="solid">
        <fgColor theme="6" tint="-0.249977111117893"/>
        <bgColor indexed="64"/>
      </patternFill>
    </fill>
    <fill>
      <patternFill patternType="solid">
        <fgColor rgb="FFFF0000"/>
        <bgColor indexed="64"/>
      </patternFill>
    </fill>
    <fill>
      <patternFill patternType="solid">
        <fgColor rgb="FFFF0000"/>
        <bgColor indexed="54"/>
      </patternFill>
    </fill>
    <fill>
      <patternFill patternType="solid">
        <fgColor indexed="26"/>
        <bgColor indexed="64"/>
      </patternFill>
    </fill>
  </fills>
  <borders count="15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style="thin">
        <color indexed="64"/>
      </left>
      <right style="double">
        <color indexed="64"/>
      </right>
      <top style="thin">
        <color indexed="64"/>
      </top>
      <bottom style="thin">
        <color indexed="64"/>
      </bottom>
      <diagonal/>
    </border>
    <border>
      <left/>
      <right style="double">
        <color indexed="64"/>
      </right>
      <top/>
      <bottom/>
      <diagonal/>
    </border>
    <border>
      <left/>
      <right style="double">
        <color indexed="64"/>
      </right>
      <top style="thin">
        <color indexed="64"/>
      </top>
      <bottom/>
      <diagonal/>
    </border>
    <border>
      <left/>
      <right style="double">
        <color indexed="64"/>
      </right>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theme="1"/>
      </top>
      <bottom/>
      <diagonal/>
    </border>
    <border>
      <left style="thin">
        <color theme="1"/>
      </left>
      <right style="thin">
        <color theme="1"/>
      </right>
      <top style="thin">
        <color theme="1"/>
      </top>
      <bottom style="thin">
        <color theme="1"/>
      </bottom>
      <diagonal/>
    </border>
    <border>
      <left style="thin">
        <color theme="1"/>
      </left>
      <right/>
      <top style="thin">
        <color theme="1"/>
      </top>
      <bottom/>
      <diagonal/>
    </border>
    <border>
      <left/>
      <right style="thin">
        <color theme="1"/>
      </right>
      <top style="thin">
        <color theme="1"/>
      </top>
      <bottom/>
      <diagonal/>
    </border>
    <border>
      <left style="thin">
        <color theme="1"/>
      </left>
      <right/>
      <top/>
      <bottom style="thin">
        <color indexed="64"/>
      </bottom>
      <diagonal/>
    </border>
    <border>
      <left/>
      <right style="thin">
        <color theme="1"/>
      </right>
      <top/>
      <bottom style="thin">
        <color indexed="64"/>
      </bottom>
      <diagonal/>
    </border>
    <border>
      <left style="thin">
        <color theme="1"/>
      </left>
      <right/>
      <top style="thin">
        <color indexed="64"/>
      </top>
      <bottom/>
      <diagonal/>
    </border>
    <border>
      <left/>
      <right style="thin">
        <color theme="1"/>
      </right>
      <top style="thin">
        <color indexed="64"/>
      </top>
      <bottom/>
      <diagonal/>
    </border>
    <border>
      <left style="thin">
        <color theme="1"/>
      </left>
      <right/>
      <top/>
      <bottom/>
      <diagonal/>
    </border>
    <border>
      <left/>
      <right style="thin">
        <color theme="1"/>
      </right>
      <top/>
      <bottom/>
      <diagonal/>
    </border>
    <border>
      <left style="thin">
        <color theme="1"/>
      </left>
      <right style="thin">
        <color indexed="64"/>
      </right>
      <top/>
      <bottom style="thin">
        <color indexed="64"/>
      </bottom>
      <diagonal/>
    </border>
    <border>
      <left style="thin">
        <color indexed="64"/>
      </left>
      <right style="thin">
        <color theme="1"/>
      </right>
      <top/>
      <bottom style="thin">
        <color indexed="64"/>
      </bottom>
      <diagonal/>
    </border>
    <border>
      <left style="thin">
        <color indexed="64"/>
      </left>
      <right style="thin">
        <color theme="1"/>
      </right>
      <top style="thin">
        <color indexed="64"/>
      </top>
      <bottom style="thin">
        <color indexed="64"/>
      </bottom>
      <diagonal/>
    </border>
    <border>
      <left style="thin">
        <color theme="1"/>
      </left>
      <right style="thin">
        <color indexed="64"/>
      </right>
      <top style="thin">
        <color indexed="64"/>
      </top>
      <bottom style="thin">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top style="thin">
        <color indexed="64"/>
      </top>
      <bottom style="thin">
        <color theme="1"/>
      </bottom>
      <diagonal/>
    </border>
    <border>
      <left/>
      <right style="thin">
        <color indexed="64"/>
      </right>
      <top style="thin">
        <color indexed="64"/>
      </top>
      <bottom style="thin">
        <color theme="1"/>
      </bottom>
      <diagonal/>
    </border>
    <border>
      <left style="thin">
        <color indexed="64"/>
      </left>
      <right style="thin">
        <color indexed="64"/>
      </right>
      <top style="thin">
        <color indexed="64"/>
      </top>
      <bottom style="thin">
        <color theme="1"/>
      </bottom>
      <diagonal/>
    </border>
    <border>
      <left style="thin">
        <color indexed="64"/>
      </left>
      <right style="thin">
        <color theme="1"/>
      </right>
      <top style="thin">
        <color indexed="64"/>
      </top>
      <bottom style="thin">
        <color theme="1"/>
      </bottom>
      <diagonal/>
    </border>
    <border>
      <left style="medium">
        <color indexed="64"/>
      </left>
      <right style="medium">
        <color theme="6" tint="0.79998168889431442"/>
      </right>
      <top/>
      <bottom/>
      <diagonal/>
    </border>
    <border>
      <left style="medium">
        <color indexed="64"/>
      </left>
      <right style="medium">
        <color theme="3" tint="0.79998168889431442"/>
      </right>
      <top/>
      <bottom/>
      <diagonal/>
    </border>
    <border>
      <left/>
      <right/>
      <top style="medium">
        <color indexed="64"/>
      </top>
      <bottom style="medium">
        <color theme="3" tint="0.79998168889431442"/>
      </bottom>
      <diagonal/>
    </border>
    <border>
      <left/>
      <right/>
      <top/>
      <bottom style="medium">
        <color theme="4" tint="-0.249977111117893"/>
      </bottom>
      <diagonal/>
    </border>
    <border>
      <left/>
      <right style="medium">
        <color theme="4" tint="-0.249977111117893"/>
      </right>
      <top/>
      <bottom style="medium">
        <color theme="4" tint="-0.249977111117893"/>
      </bottom>
      <diagonal/>
    </border>
    <border>
      <left/>
      <right/>
      <top style="medium">
        <color indexed="64"/>
      </top>
      <bottom style="medium">
        <color theme="6" tint="0.79998168889431442"/>
      </bottom>
      <diagonal/>
    </border>
    <border>
      <left/>
      <right/>
      <top/>
      <bottom style="medium">
        <color theme="6" tint="-0.249977111117893"/>
      </bottom>
      <diagonal/>
    </border>
    <border>
      <left/>
      <right style="medium">
        <color theme="6" tint="-0.249977111117893"/>
      </right>
      <top/>
      <bottom style="medium">
        <color theme="6" tint="-0.249977111117893"/>
      </bottom>
      <diagonal/>
    </border>
    <border>
      <left/>
      <right style="medium">
        <color theme="6" tint="0.79998168889431442"/>
      </right>
      <top/>
      <bottom/>
      <diagonal/>
    </border>
    <border>
      <left style="medium">
        <color theme="6" tint="0.79998168889431442"/>
      </left>
      <right/>
      <top style="medium">
        <color theme="6" tint="0.79998168889431442"/>
      </top>
      <bottom style="medium">
        <color theme="6" tint="-0.249977111117893"/>
      </bottom>
      <diagonal/>
    </border>
    <border>
      <left/>
      <right/>
      <top style="medium">
        <color theme="6" tint="0.79998168889431442"/>
      </top>
      <bottom style="medium">
        <color theme="6" tint="-0.249977111117893"/>
      </bottom>
      <diagonal/>
    </border>
    <border>
      <left/>
      <right style="medium">
        <color theme="6" tint="-0.249977111117893"/>
      </right>
      <top style="medium">
        <color theme="6" tint="0.79998168889431442"/>
      </top>
      <bottom style="medium">
        <color theme="6" tint="-0.249977111117893"/>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theme="2"/>
      </bottom>
      <diagonal/>
    </border>
    <border>
      <left/>
      <right style="medium">
        <color theme="2"/>
      </right>
      <top/>
      <bottom/>
      <diagonal/>
    </border>
    <border>
      <left/>
      <right style="medium">
        <color theme="2" tint="-0.749992370372631"/>
      </right>
      <top/>
      <bottom/>
      <diagonal/>
    </border>
    <border>
      <left style="medium">
        <color theme="2"/>
      </left>
      <right/>
      <top/>
      <bottom style="medium">
        <color theme="2" tint="-0.749992370372631"/>
      </bottom>
      <diagonal/>
    </border>
    <border>
      <left/>
      <right/>
      <top/>
      <bottom style="medium">
        <color theme="2" tint="-0.749992370372631"/>
      </bottom>
      <diagonal/>
    </border>
    <border>
      <left/>
      <right style="medium">
        <color theme="2" tint="-0.749992370372631"/>
      </right>
      <top/>
      <bottom style="medium">
        <color theme="2" tint="-0.749992370372631"/>
      </bottom>
      <diagonal/>
    </border>
    <border>
      <left/>
      <right/>
      <top style="medium">
        <color theme="2" tint="-0.749992370372631"/>
      </top>
      <bottom/>
      <diagonal/>
    </border>
    <border>
      <left style="medium">
        <color theme="2" tint="-0.749992370372631"/>
      </left>
      <right/>
      <top style="medium">
        <color theme="2" tint="-0.749992370372631"/>
      </top>
      <bottom/>
      <diagonal/>
    </border>
    <border>
      <left/>
      <right style="medium">
        <color theme="2" tint="-0.749992370372631"/>
      </right>
      <top style="medium">
        <color theme="2" tint="-0.749992370372631"/>
      </top>
      <bottom/>
      <diagonal/>
    </border>
    <border>
      <left style="medium">
        <color theme="2" tint="-0.749992370372631"/>
      </left>
      <right/>
      <top/>
      <bottom/>
      <diagonal/>
    </border>
    <border>
      <left/>
      <right style="medium">
        <color theme="2" tint="-0.749992370372631"/>
      </right>
      <top/>
      <bottom style="thin">
        <color indexed="64"/>
      </bottom>
      <diagonal/>
    </border>
    <border>
      <left style="medium">
        <color theme="2" tint="-0.749992370372631"/>
      </left>
      <right/>
      <top/>
      <bottom style="medium">
        <color theme="2" tint="-0.749992370372631"/>
      </bottom>
      <diagonal/>
    </border>
    <border>
      <left style="medium">
        <color theme="2" tint="-0.749992370372631"/>
      </left>
      <right/>
      <top style="medium">
        <color theme="2" tint="-0.749992370372631"/>
      </top>
      <bottom style="medium">
        <color theme="2" tint="-0.749992370372631"/>
      </bottom>
      <diagonal/>
    </border>
    <border>
      <left/>
      <right/>
      <top style="medium">
        <color theme="2" tint="-0.749992370372631"/>
      </top>
      <bottom style="medium">
        <color theme="2" tint="-0.749992370372631"/>
      </bottom>
      <diagonal/>
    </border>
    <border>
      <left/>
      <right style="medium">
        <color theme="2" tint="-0.749992370372631"/>
      </right>
      <top style="medium">
        <color theme="2" tint="-0.749992370372631"/>
      </top>
      <bottom style="medium">
        <color theme="2" tint="-0.749992370372631"/>
      </bottom>
      <diagonal/>
    </border>
    <border>
      <left style="medium">
        <color theme="2" tint="-0.749992370372631"/>
      </left>
      <right style="thin">
        <color theme="2" tint="-0.749992370372631"/>
      </right>
      <top style="thin">
        <color indexed="64"/>
      </top>
      <bottom/>
      <diagonal/>
    </border>
    <border>
      <left style="medium">
        <color theme="2" tint="-0.749992370372631"/>
      </left>
      <right style="thin">
        <color theme="2" tint="-0.749992370372631"/>
      </right>
      <top/>
      <bottom/>
      <diagonal/>
    </border>
    <border>
      <left style="thin">
        <color theme="2" tint="-0.749992370372631"/>
      </left>
      <right style="thin">
        <color theme="2" tint="-0.749992370372631"/>
      </right>
      <top style="thin">
        <color indexed="64"/>
      </top>
      <bottom/>
      <diagonal/>
    </border>
    <border>
      <left style="thin">
        <color theme="2" tint="-0.749992370372631"/>
      </left>
      <right style="thin">
        <color theme="2" tint="-0.749992370372631"/>
      </right>
      <top/>
      <bottom/>
      <diagonal/>
    </border>
    <border>
      <left style="medium">
        <color theme="2" tint="-0.749992370372631"/>
      </left>
      <right style="thin">
        <color theme="2" tint="-0.749992370372631"/>
      </right>
      <top/>
      <bottom style="thin">
        <color theme="2" tint="-0.749992370372631"/>
      </bottom>
      <diagonal/>
    </border>
    <border>
      <left style="thin">
        <color theme="2" tint="-0.749992370372631"/>
      </left>
      <right style="thin">
        <color theme="2" tint="-0.749992370372631"/>
      </right>
      <top/>
      <bottom style="thin">
        <color theme="2" tint="-0.749992370372631"/>
      </bottom>
      <diagonal/>
    </border>
    <border>
      <left/>
      <right style="medium">
        <color theme="2" tint="-0.749992370372631"/>
      </right>
      <top/>
      <bottom style="thin">
        <color theme="2" tint="-0.749992370372631"/>
      </bottom>
      <diagonal/>
    </border>
    <border>
      <left style="thin">
        <color theme="2" tint="-0.749992370372631"/>
      </left>
      <right/>
      <top style="thin">
        <color theme="2" tint="-0.749992370372631"/>
      </top>
      <bottom style="medium">
        <color theme="2" tint="-0.749992370372631"/>
      </bottom>
      <diagonal/>
    </border>
    <border>
      <left/>
      <right style="thin">
        <color theme="2" tint="-0.749992370372631"/>
      </right>
      <top style="thin">
        <color theme="2" tint="-0.749992370372631"/>
      </top>
      <bottom style="medium">
        <color theme="2" tint="-0.749992370372631"/>
      </bottom>
      <diagonal/>
    </border>
    <border>
      <left style="thin">
        <color theme="2" tint="-0.749992370372631"/>
      </left>
      <right style="thin">
        <color theme="2" tint="-0.749992370372631"/>
      </right>
      <top style="thin">
        <color theme="2" tint="-0.749992370372631"/>
      </top>
      <bottom style="medium">
        <color theme="2" tint="-0.749992370372631"/>
      </bottom>
      <diagonal/>
    </border>
    <border>
      <left style="thin">
        <color theme="2" tint="-0.749992370372631"/>
      </left>
      <right style="medium">
        <color theme="2" tint="-0.749992370372631"/>
      </right>
      <top style="thin">
        <color theme="2" tint="-0.749992370372631"/>
      </top>
      <bottom style="medium">
        <color theme="2" tint="-0.749992370372631"/>
      </bottom>
      <diagonal/>
    </border>
    <border>
      <left/>
      <right style="thin">
        <color theme="2" tint="-0.749992370372631"/>
      </right>
      <top style="medium">
        <color theme="2" tint="-0.749992370372631"/>
      </top>
      <bottom/>
      <diagonal/>
    </border>
    <border>
      <left/>
      <right style="thin">
        <color theme="2" tint="-0.749992370372631"/>
      </right>
      <top/>
      <bottom/>
      <diagonal/>
    </border>
    <border>
      <left/>
      <right style="thin">
        <color theme="2" tint="-0.749992370372631"/>
      </right>
      <top/>
      <bottom style="thin">
        <color indexed="64"/>
      </bottom>
      <diagonal/>
    </border>
    <border>
      <left style="medium">
        <color theme="2" tint="-0.749992370372631"/>
      </left>
      <right style="thin">
        <color theme="2" tint="-0.749992370372631"/>
      </right>
      <top style="medium">
        <color theme="2" tint="-0.749992370372631"/>
      </top>
      <bottom/>
      <diagonal/>
    </border>
    <border>
      <left style="medium">
        <color theme="2" tint="-0.749992370372631"/>
      </left>
      <right style="thin">
        <color theme="2" tint="-0.749992370372631"/>
      </right>
      <top/>
      <bottom style="thin">
        <color indexed="64"/>
      </bottom>
      <diagonal/>
    </border>
    <border>
      <left style="thin">
        <color theme="2" tint="-0.749992370372631"/>
      </left>
      <right style="thin">
        <color theme="2" tint="-0.749992370372631"/>
      </right>
      <top style="medium">
        <color theme="2" tint="-0.749992370372631"/>
      </top>
      <bottom/>
      <diagonal/>
    </border>
    <border>
      <left style="thin">
        <color theme="2" tint="-0.749992370372631"/>
      </left>
      <right style="thin">
        <color theme="2" tint="-0.749992370372631"/>
      </right>
      <top/>
      <bottom style="thin">
        <color indexed="64"/>
      </bottom>
      <diagonal/>
    </border>
    <border>
      <left style="medium">
        <color theme="2" tint="-0.749992370372631"/>
      </left>
      <right/>
      <top/>
      <bottom style="thin">
        <color theme="2" tint="-0.749992370372631"/>
      </bottom>
      <diagonal/>
    </border>
    <border>
      <left/>
      <right/>
      <top/>
      <bottom style="thin">
        <color theme="2" tint="-0.749992370372631"/>
      </bottom>
      <diagonal/>
    </border>
    <border>
      <left style="medium">
        <color theme="2" tint="-0.749992370372631"/>
      </left>
      <right/>
      <top style="thin">
        <color theme="2" tint="-0.749992370372631"/>
      </top>
      <bottom style="medium">
        <color theme="2" tint="-0.749992370372631"/>
      </bottom>
      <diagonal/>
    </border>
    <border>
      <left/>
      <right/>
      <top style="thin">
        <color theme="2" tint="-0.749992370372631"/>
      </top>
      <bottom style="medium">
        <color theme="2" tint="-0.749992370372631"/>
      </bottom>
      <diagonal/>
    </border>
    <border>
      <left style="medium">
        <color theme="2"/>
      </left>
      <right/>
      <top/>
      <bottom/>
      <diagonal/>
    </border>
    <border>
      <left style="medium">
        <color theme="2" tint="-0.749992370372631"/>
      </left>
      <right/>
      <top/>
      <bottom style="thin">
        <color theme="1"/>
      </bottom>
      <diagonal/>
    </border>
    <border>
      <left/>
      <right/>
      <top/>
      <bottom style="thin">
        <color theme="1"/>
      </bottom>
      <diagonal/>
    </border>
    <border>
      <left/>
      <right style="medium">
        <color theme="2" tint="-0.749992370372631"/>
      </right>
      <top/>
      <bottom style="thin">
        <color theme="1"/>
      </bottom>
      <diagonal/>
    </border>
    <border>
      <left/>
      <right style="medium">
        <color theme="2" tint="-0.749992370372631"/>
      </right>
      <top style="thin">
        <color theme="1"/>
      </top>
      <bottom style="thin">
        <color theme="1"/>
      </bottom>
      <diagonal/>
    </border>
    <border>
      <left style="thin">
        <color theme="1"/>
      </left>
      <right/>
      <top/>
      <bottom style="thin">
        <color theme="1"/>
      </bottom>
      <diagonal/>
    </border>
    <border>
      <left style="medium">
        <color theme="6" tint="0.79998168889431442"/>
      </left>
      <right/>
      <top style="medium">
        <color theme="6" tint="0.79998168889431442"/>
      </top>
      <bottom style="medium">
        <color rgb="FFD2BA06"/>
      </bottom>
      <diagonal/>
    </border>
    <border>
      <left/>
      <right/>
      <top style="medium">
        <color theme="6" tint="0.79998168889431442"/>
      </top>
      <bottom style="medium">
        <color rgb="FFD2BA06"/>
      </bottom>
      <diagonal/>
    </border>
    <border>
      <left/>
      <right style="medium">
        <color rgb="FFD2BA06"/>
      </right>
      <top style="medium">
        <color theme="6" tint="0.79998168889431442"/>
      </top>
      <bottom style="medium">
        <color rgb="FFD2BA06"/>
      </bottom>
      <diagonal/>
    </border>
    <border>
      <left/>
      <right/>
      <top/>
      <bottom style="thick">
        <color indexed="14"/>
      </bottom>
      <diagonal/>
    </border>
  </borders>
  <cellStyleXfs count="7">
    <xf numFmtId="164" fontId="0" fillId="0" borderId="0"/>
    <xf numFmtId="0" fontId="36" fillId="0" borderId="0"/>
    <xf numFmtId="0" fontId="1" fillId="0" borderId="0"/>
    <xf numFmtId="164" fontId="48" fillId="0" borderId="0" applyNumberFormat="0" applyFill="0" applyBorder="0" applyAlignment="0" applyProtection="0"/>
    <xf numFmtId="9" fontId="86" fillId="0" borderId="0" applyFont="0" applyFill="0" applyBorder="0" applyAlignment="0" applyProtection="0"/>
    <xf numFmtId="43" fontId="86" fillId="0" borderId="0" applyFont="0" applyFill="0" applyBorder="0" applyAlignment="0" applyProtection="0"/>
    <xf numFmtId="44" fontId="86" fillId="0" borderId="0" applyFont="0" applyFill="0" applyBorder="0" applyAlignment="0" applyProtection="0"/>
  </cellStyleXfs>
  <cellXfs count="1547">
    <xf numFmtId="164" fontId="0" fillId="0" borderId="0" xfId="0"/>
    <xf numFmtId="164" fontId="0" fillId="0" borderId="0" xfId="0" applyNumberFormat="1" applyAlignment="1" applyProtection="1">
      <alignment horizontal="fill"/>
    </xf>
    <xf numFmtId="164" fontId="7" fillId="0" borderId="0" xfId="0" applyNumberFormat="1" applyFont="1" applyAlignment="1" applyProtection="1">
      <alignment horizontal="left"/>
    </xf>
    <xf numFmtId="3" fontId="12" fillId="0" borderId="0" xfId="0" applyNumberFormat="1" applyFont="1" applyAlignment="1" applyProtection="1">
      <alignment horizontal="center"/>
    </xf>
    <xf numFmtId="164" fontId="12" fillId="0" borderId="0" xfId="0" applyFont="1"/>
    <xf numFmtId="164" fontId="12" fillId="0" borderId="0" xfId="0" applyFont="1" applyAlignment="1" applyProtection="1">
      <alignment horizontal="left"/>
    </xf>
    <xf numFmtId="164" fontId="12" fillId="0" borderId="0" xfId="0" applyFont="1" applyAlignment="1" applyProtection="1">
      <alignment horizontal="center"/>
    </xf>
    <xf numFmtId="164" fontId="12" fillId="0" borderId="0" xfId="0" applyFont="1" applyAlignment="1">
      <alignment horizontal="center"/>
    </xf>
    <xf numFmtId="164" fontId="12" fillId="0" borderId="0" xfId="0" applyFont="1" applyAlignment="1">
      <alignment horizontal="right"/>
    </xf>
    <xf numFmtId="166" fontId="12" fillId="0" borderId="0" xfId="0" applyNumberFormat="1" applyFont="1" applyAlignment="1" applyProtection="1">
      <alignment horizontal="center"/>
    </xf>
    <xf numFmtId="3" fontId="12" fillId="0" borderId="1" xfId="0" applyNumberFormat="1" applyFont="1" applyBorder="1" applyAlignment="1" applyProtection="1">
      <alignment horizontal="center"/>
    </xf>
    <xf numFmtId="164" fontId="12" fillId="0" borderId="1" xfId="0" applyFont="1" applyBorder="1"/>
    <xf numFmtId="164" fontId="12" fillId="0" borderId="1" xfId="0" applyNumberFormat="1" applyFont="1" applyBorder="1" applyAlignment="1" applyProtection="1">
      <alignment horizontal="left"/>
    </xf>
    <xf numFmtId="3" fontId="15" fillId="2" borderId="1" xfId="0" applyNumberFormat="1" applyFont="1" applyFill="1" applyBorder="1" applyAlignment="1" applyProtection="1">
      <alignment horizontal="center"/>
    </xf>
    <xf numFmtId="2" fontId="15" fillId="2" borderId="1" xfId="0" applyNumberFormat="1" applyFont="1" applyFill="1" applyBorder="1" applyAlignment="1" applyProtection="1">
      <alignment horizontal="center"/>
    </xf>
    <xf numFmtId="1" fontId="15" fillId="2" borderId="1" xfId="0" applyNumberFormat="1" applyFont="1" applyFill="1" applyBorder="1" applyAlignment="1" applyProtection="1">
      <alignment horizontal="center"/>
    </xf>
    <xf numFmtId="3" fontId="15" fillId="2" borderId="2" xfId="0" applyNumberFormat="1" applyFont="1" applyFill="1" applyBorder="1" applyAlignment="1" applyProtection="1">
      <alignment horizontal="center"/>
    </xf>
    <xf numFmtId="3" fontId="12" fillId="0" borderId="2" xfId="0" applyNumberFormat="1" applyFont="1" applyBorder="1" applyAlignment="1" applyProtection="1">
      <alignment horizontal="center"/>
    </xf>
    <xf numFmtId="171" fontId="12" fillId="0" borderId="1" xfId="0" applyNumberFormat="1" applyFont="1" applyBorder="1" applyAlignment="1" applyProtection="1">
      <alignment horizontal="center"/>
    </xf>
    <xf numFmtId="3" fontId="12" fillId="0" borderId="1" xfId="0" applyNumberFormat="1" applyFont="1" applyBorder="1" applyProtection="1"/>
    <xf numFmtId="3" fontId="12" fillId="0" borderId="1" xfId="0" applyNumberFormat="1" applyFont="1" applyBorder="1" applyAlignment="1" applyProtection="1"/>
    <xf numFmtId="164" fontId="12" fillId="0" borderId="0" xfId="0" applyFont="1" applyAlignment="1">
      <alignment horizontal="left"/>
    </xf>
    <xf numFmtId="164" fontId="0" fillId="0" borderId="0" xfId="0" applyBorder="1"/>
    <xf numFmtId="164" fontId="12" fillId="0" borderId="0" xfId="0" applyFont="1" applyBorder="1"/>
    <xf numFmtId="164" fontId="12" fillId="0" borderId="1" xfId="0" quotePrefix="1" applyNumberFormat="1" applyFont="1" applyBorder="1" applyAlignment="1" applyProtection="1">
      <alignment horizontal="left"/>
    </xf>
    <xf numFmtId="164" fontId="5" fillId="0" borderId="0" xfId="0" applyFont="1"/>
    <xf numFmtId="164" fontId="12" fillId="0" borderId="0" xfId="0" applyFont="1" applyBorder="1" applyAlignment="1">
      <alignment horizontal="center"/>
    </xf>
    <xf numFmtId="164" fontId="12" fillId="0" borderId="14" xfId="0" applyFont="1" applyBorder="1"/>
    <xf numFmtId="49" fontId="0" fillId="0" borderId="1" xfId="0" applyNumberFormat="1" applyBorder="1"/>
    <xf numFmtId="164" fontId="23" fillId="0" borderId="0" xfId="0" applyFont="1"/>
    <xf numFmtId="164" fontId="12" fillId="0" borderId="0" xfId="0" applyFont="1" applyProtection="1"/>
    <xf numFmtId="164" fontId="12" fillId="0" borderId="0" xfId="0" applyFont="1" applyProtection="1">
      <protection hidden="1"/>
    </xf>
    <xf numFmtId="164" fontId="12" fillId="0" borderId="0" xfId="0" applyNumberFormat="1" applyFont="1" applyBorder="1" applyAlignment="1" applyProtection="1">
      <alignment horizontal="fill"/>
    </xf>
    <xf numFmtId="164" fontId="12" fillId="0" borderId="0" xfId="0" quotePrefix="1" applyFont="1" applyAlignment="1" applyProtection="1">
      <alignment horizontal="fill"/>
    </xf>
    <xf numFmtId="164" fontId="12" fillId="0" borderId="0" xfId="0" applyFont="1" applyAlignment="1" applyProtection="1">
      <alignment horizontal="fill"/>
    </xf>
    <xf numFmtId="2" fontId="12" fillId="0" borderId="0" xfId="0" applyNumberFormat="1" applyFont="1" applyAlignment="1">
      <alignment horizontal="center"/>
    </xf>
    <xf numFmtId="164" fontId="5" fillId="0" borderId="0" xfId="0" quotePrefix="1" applyFont="1" applyBorder="1"/>
    <xf numFmtId="165" fontId="12" fillId="0" borderId="0" xfId="0" applyNumberFormat="1" applyFont="1" applyAlignment="1" applyProtection="1">
      <alignment horizontal="center"/>
    </xf>
    <xf numFmtId="164" fontId="12" fillId="0" borderId="11" xfId="0" applyFont="1" applyBorder="1"/>
    <xf numFmtId="165" fontId="12" fillId="0" borderId="0" xfId="0" applyNumberFormat="1" applyFont="1" applyAlignment="1" applyProtection="1">
      <alignment horizontal="fill"/>
    </xf>
    <xf numFmtId="166" fontId="12" fillId="0" borderId="0" xfId="0" applyNumberFormat="1" applyFont="1" applyAlignment="1" applyProtection="1">
      <alignment horizontal="fill"/>
    </xf>
    <xf numFmtId="167" fontId="12" fillId="0" borderId="0" xfId="0" applyNumberFormat="1" applyFont="1" applyAlignment="1" applyProtection="1">
      <alignment horizontal="fill"/>
    </xf>
    <xf numFmtId="167" fontId="12" fillId="0" borderId="0" xfId="0" applyNumberFormat="1" applyFont="1" applyAlignment="1" applyProtection="1">
      <alignment horizontal="center"/>
    </xf>
    <xf numFmtId="3" fontId="12" fillId="0" borderId="0" xfId="0" applyNumberFormat="1" applyFont="1" applyAlignment="1">
      <alignment horizontal="center"/>
    </xf>
    <xf numFmtId="164" fontId="12" fillId="0" borderId="0" xfId="0" applyFont="1" applyBorder="1" applyAlignment="1">
      <alignment wrapText="1"/>
    </xf>
    <xf numFmtId="164" fontId="12" fillId="0" borderId="0" xfId="0" applyFont="1" applyFill="1" applyBorder="1"/>
    <xf numFmtId="164" fontId="25" fillId="0" borderId="0" xfId="0" applyFont="1" applyAlignment="1" applyProtection="1">
      <alignment horizontal="left"/>
    </xf>
    <xf numFmtId="164" fontId="25" fillId="0" borderId="0" xfId="0" applyFont="1" applyProtection="1"/>
    <xf numFmtId="164" fontId="12" fillId="0" borderId="0" xfId="0" applyFont="1" applyAlignment="1"/>
    <xf numFmtId="164" fontId="25" fillId="0" borderId="0" xfId="0" applyFont="1"/>
    <xf numFmtId="164" fontId="5" fillId="0" borderId="0" xfId="0" applyFont="1" applyBorder="1"/>
    <xf numFmtId="164" fontId="5" fillId="0" borderId="14" xfId="0" applyFont="1" applyBorder="1"/>
    <xf numFmtId="164" fontId="12" fillId="0" borderId="0" xfId="0" quotePrefix="1" applyNumberFormat="1" applyFont="1" applyBorder="1" applyAlignment="1" applyProtection="1">
      <alignment horizontal="center"/>
    </xf>
    <xf numFmtId="164" fontId="15" fillId="0" borderId="0" xfId="0" applyFont="1" applyFill="1" applyBorder="1" applyAlignment="1" applyProtection="1">
      <alignment horizontal="center"/>
      <protection locked="0"/>
    </xf>
    <xf numFmtId="164" fontId="0" fillId="0" borderId="0" xfId="0" applyBorder="1" applyProtection="1"/>
    <xf numFmtId="3" fontId="12" fillId="3" borderId="1" xfId="0" applyNumberFormat="1" applyFont="1" applyFill="1" applyBorder="1" applyAlignment="1" applyProtection="1">
      <alignment horizontal="center"/>
      <protection locked="0"/>
    </xf>
    <xf numFmtId="164" fontId="15" fillId="3" borderId="2" xfId="0" applyFont="1" applyFill="1" applyBorder="1" applyAlignment="1" applyProtection="1">
      <alignment horizontal="center"/>
      <protection locked="0"/>
    </xf>
    <xf numFmtId="164" fontId="15" fillId="3" borderId="1" xfId="0" applyFont="1" applyFill="1" applyBorder="1" applyAlignment="1" applyProtection="1">
      <alignment horizontal="center"/>
      <protection locked="0"/>
    </xf>
    <xf numFmtId="164" fontId="12" fillId="3" borderId="1" xfId="0" applyNumberFormat="1" applyFont="1" applyFill="1" applyBorder="1" applyAlignment="1" applyProtection="1">
      <alignment horizontal="center"/>
      <protection locked="0"/>
    </xf>
    <xf numFmtId="164" fontId="26" fillId="0" borderId="0" xfId="0" applyFont="1" applyAlignment="1"/>
    <xf numFmtId="164" fontId="27" fillId="0" borderId="0" xfId="0" applyFont="1"/>
    <xf numFmtId="164" fontId="8" fillId="0" borderId="0" xfId="0" applyFont="1"/>
    <xf numFmtId="164" fontId="12" fillId="0" borderId="23" xfId="0" applyNumberFormat="1" applyFont="1" applyBorder="1" applyAlignment="1" applyProtection="1">
      <alignment horizontal="left"/>
    </xf>
    <xf numFmtId="164" fontId="12" fillId="0" borderId="23" xfId="0" applyFont="1" applyBorder="1"/>
    <xf numFmtId="164" fontId="6" fillId="0" borderId="0" xfId="0" applyFont="1" applyBorder="1" applyProtection="1"/>
    <xf numFmtId="164" fontId="17" fillId="0" borderId="0" xfId="0" applyFont="1" applyBorder="1" applyProtection="1"/>
    <xf numFmtId="164" fontId="8" fillId="0" borderId="0" xfId="0" applyFont="1" applyFill="1" applyBorder="1" applyAlignment="1" applyProtection="1">
      <alignment horizontal="center"/>
    </xf>
    <xf numFmtId="164" fontId="5" fillId="0" borderId="0" xfId="0" applyFont="1" applyFill="1" applyBorder="1" applyProtection="1"/>
    <xf numFmtId="164" fontId="8" fillId="0" borderId="0" xfId="0" applyFont="1" applyBorder="1"/>
    <xf numFmtId="164" fontId="12" fillId="0" borderId="10" xfId="1" applyNumberFormat="1" applyFont="1" applyBorder="1" applyProtection="1"/>
    <xf numFmtId="164" fontId="12" fillId="0" borderId="1" xfId="1" applyNumberFormat="1" applyFont="1" applyBorder="1" applyProtection="1"/>
    <xf numFmtId="164" fontId="12" fillId="0" borderId="1" xfId="1" applyNumberFormat="1" applyFont="1" applyBorder="1"/>
    <xf numFmtId="164" fontId="12" fillId="0" borderId="19" xfId="1" applyNumberFormat="1" applyFont="1" applyBorder="1"/>
    <xf numFmtId="168" fontId="12" fillId="0" borderId="10" xfId="1" applyNumberFormat="1" applyFont="1" applyBorder="1" applyProtection="1">
      <protection locked="0"/>
    </xf>
    <xf numFmtId="164" fontId="12" fillId="0" borderId="1" xfId="1" quotePrefix="1" applyNumberFormat="1" applyFont="1" applyBorder="1" applyAlignment="1">
      <alignment horizontal="right"/>
    </xf>
    <xf numFmtId="164" fontId="12" fillId="0" borderId="1" xfId="1" applyNumberFormat="1" applyFont="1" applyBorder="1" applyAlignment="1">
      <alignment horizontal="right"/>
    </xf>
    <xf numFmtId="164" fontId="12" fillId="0" borderId="10" xfId="1" applyNumberFormat="1" applyFont="1" applyBorder="1"/>
    <xf numFmtId="168" fontId="12" fillId="5" borderId="1" xfId="0" applyNumberFormat="1" applyFont="1" applyFill="1" applyBorder="1" applyAlignment="1" applyProtection="1">
      <alignment horizontal="center"/>
      <protection locked="0"/>
    </xf>
    <xf numFmtId="164" fontId="12" fillId="4" borderId="0" xfId="0" applyFont="1" applyFill="1" applyBorder="1"/>
    <xf numFmtId="164" fontId="12" fillId="4" borderId="0" xfId="0" applyFont="1" applyFill="1" applyBorder="1" applyAlignment="1">
      <alignment horizontal="center"/>
    </xf>
    <xf numFmtId="164" fontId="12" fillId="4" borderId="0" xfId="0" applyFont="1" applyFill="1" applyBorder="1" applyAlignment="1" applyProtection="1">
      <alignment horizontal="center"/>
      <protection locked="0"/>
    </xf>
    <xf numFmtId="164" fontId="12" fillId="0" borderId="0" xfId="0" applyNumberFormat="1" applyFont="1" applyBorder="1" applyAlignment="1" applyProtection="1">
      <alignment horizontal="center"/>
    </xf>
    <xf numFmtId="164" fontId="8" fillId="0" borderId="0" xfId="0" applyFont="1" applyProtection="1">
      <protection hidden="1"/>
    </xf>
    <xf numFmtId="164" fontId="8" fillId="0" borderId="0" xfId="0" applyFont="1" applyAlignment="1">
      <alignment horizontal="center"/>
    </xf>
    <xf numFmtId="2" fontId="8" fillId="0" borderId="0" xfId="0" applyNumberFormat="1" applyFont="1" applyAlignment="1" applyProtection="1">
      <alignment horizontal="center"/>
      <protection hidden="1"/>
    </xf>
    <xf numFmtId="169" fontId="8" fillId="0" borderId="0" xfId="0" applyNumberFormat="1" applyFont="1" applyAlignment="1">
      <alignment horizontal="center"/>
    </xf>
    <xf numFmtId="2" fontId="8" fillId="0" borderId="0" xfId="0" applyNumberFormat="1" applyFont="1" applyAlignment="1">
      <alignment horizontal="center"/>
    </xf>
    <xf numFmtId="2" fontId="8" fillId="0" borderId="11" xfId="0" applyNumberFormat="1" applyFont="1" applyBorder="1" applyAlignment="1">
      <alignment horizontal="center"/>
    </xf>
    <xf numFmtId="2" fontId="8" fillId="0" borderId="22" xfId="0" applyNumberFormat="1" applyFont="1" applyBorder="1" applyAlignment="1">
      <alignment horizontal="center"/>
    </xf>
    <xf numFmtId="164" fontId="8" fillId="0" borderId="26" xfId="0" applyFont="1" applyBorder="1" applyProtection="1">
      <protection hidden="1"/>
    </xf>
    <xf numFmtId="164" fontId="8" fillId="0" borderId="12" xfId="0" applyFont="1" applyBorder="1"/>
    <xf numFmtId="164" fontId="8" fillId="0" borderId="13" xfId="0" applyFont="1" applyBorder="1"/>
    <xf numFmtId="164" fontId="8" fillId="0" borderId="24" xfId="0" applyFont="1" applyBorder="1" applyProtection="1">
      <protection hidden="1"/>
    </xf>
    <xf numFmtId="2" fontId="8" fillId="0" borderId="24" xfId="0" applyNumberFormat="1" applyFont="1" applyBorder="1" applyAlignment="1" applyProtection="1">
      <alignment horizontal="left"/>
      <protection hidden="1"/>
    </xf>
    <xf numFmtId="164" fontId="8" fillId="0" borderId="8" xfId="0" applyFont="1" applyBorder="1"/>
    <xf numFmtId="164" fontId="8" fillId="0" borderId="9" xfId="0" applyFont="1" applyBorder="1"/>
    <xf numFmtId="164" fontId="8" fillId="0" borderId="10" xfId="0" applyFont="1" applyBorder="1"/>
    <xf numFmtId="164" fontId="8" fillId="0" borderId="23" xfId="0" applyFont="1" applyBorder="1"/>
    <xf numFmtId="164" fontId="8" fillId="6" borderId="0" xfId="0" applyFont="1" applyFill="1" applyBorder="1"/>
    <xf numFmtId="164" fontId="40" fillId="0" borderId="19" xfId="0" applyFont="1" applyBorder="1"/>
    <xf numFmtId="164" fontId="8" fillId="0" borderId="26" xfId="0" applyFont="1" applyBorder="1"/>
    <xf numFmtId="164" fontId="8" fillId="6" borderId="12" xfId="0" applyFont="1" applyFill="1" applyBorder="1"/>
    <xf numFmtId="164" fontId="40" fillId="0" borderId="13" xfId="0" applyFont="1" applyBorder="1"/>
    <xf numFmtId="164" fontId="8" fillId="0" borderId="24" xfId="0" applyFont="1" applyBorder="1" applyAlignment="1">
      <alignment horizontal="center"/>
    </xf>
    <xf numFmtId="164" fontId="8" fillId="0" borderId="11" xfId="0" applyFont="1" applyBorder="1" applyAlignment="1">
      <alignment horizontal="center"/>
    </xf>
    <xf numFmtId="164" fontId="8" fillId="0" borderId="11" xfId="0" applyFont="1" applyBorder="1"/>
    <xf numFmtId="164" fontId="8" fillId="0" borderId="22" xfId="0" applyFont="1" applyBorder="1"/>
    <xf numFmtId="1" fontId="8" fillId="0" borderId="26" xfId="0" applyNumberFormat="1" applyFont="1" applyBorder="1" applyAlignment="1">
      <alignment horizontal="center"/>
    </xf>
    <xf numFmtId="1" fontId="8" fillId="0" borderId="12" xfId="0" applyNumberFormat="1" applyFont="1" applyBorder="1" applyAlignment="1">
      <alignment horizontal="center"/>
    </xf>
    <xf numFmtId="1" fontId="8" fillId="0" borderId="24" xfId="0" applyNumberFormat="1" applyFont="1" applyBorder="1" applyAlignment="1">
      <alignment horizontal="center"/>
    </xf>
    <xf numFmtId="1" fontId="8" fillId="0" borderId="11" xfId="0" applyNumberFormat="1" applyFont="1" applyBorder="1" applyAlignment="1">
      <alignment horizontal="center"/>
    </xf>
    <xf numFmtId="1" fontId="8" fillId="4" borderId="23" xfId="0" applyNumberFormat="1" applyFont="1" applyFill="1" applyBorder="1" applyAlignment="1">
      <alignment horizontal="center"/>
    </xf>
    <xf numFmtId="1" fontId="8" fillId="4" borderId="0" xfId="0" applyNumberFormat="1" applyFont="1" applyFill="1" applyBorder="1" applyAlignment="1">
      <alignment horizontal="center"/>
    </xf>
    <xf numFmtId="164" fontId="8" fillId="0" borderId="19" xfId="0" applyFont="1" applyBorder="1"/>
    <xf numFmtId="1" fontId="8" fillId="0" borderId="23" xfId="0" applyNumberFormat="1" applyFont="1" applyBorder="1" applyAlignment="1">
      <alignment horizontal="center"/>
    </xf>
    <xf numFmtId="1" fontId="8" fillId="0" borderId="0" xfId="0" applyNumberFormat="1" applyFont="1" applyBorder="1" applyAlignment="1">
      <alignment horizontal="center"/>
    </xf>
    <xf numFmtId="164" fontId="8" fillId="0" borderId="26" xfId="0" applyFont="1" applyBorder="1" applyAlignment="1">
      <alignment horizontal="center"/>
    </xf>
    <xf numFmtId="164" fontId="8" fillId="0" borderId="12" xfId="0" applyFont="1" applyBorder="1" applyAlignment="1">
      <alignment horizontal="center"/>
    </xf>
    <xf numFmtId="164" fontId="40" fillId="0" borderId="0" xfId="0" applyFont="1" applyBorder="1"/>
    <xf numFmtId="1" fontId="8" fillId="0" borderId="0" xfId="0" applyNumberFormat="1" applyFont="1"/>
    <xf numFmtId="164" fontId="8" fillId="0" borderId="0" xfId="0" applyFont="1" applyAlignment="1" applyProtection="1">
      <alignment horizontal="center"/>
      <protection hidden="1"/>
    </xf>
    <xf numFmtId="164" fontId="8" fillId="0" borderId="0" xfId="0" applyNumberFormat="1" applyFont="1" applyAlignment="1" applyProtection="1">
      <protection hidden="1"/>
    </xf>
    <xf numFmtId="164" fontId="40" fillId="0" borderId="0" xfId="0" applyFont="1" applyProtection="1">
      <protection hidden="1"/>
    </xf>
    <xf numFmtId="164" fontId="8" fillId="0" borderId="0" xfId="0" applyNumberFormat="1" applyFont="1" applyAlignment="1" applyProtection="1">
      <alignment horizontal="left"/>
      <protection hidden="1"/>
    </xf>
    <xf numFmtId="1" fontId="8" fillId="0" borderId="0" xfId="0" applyNumberFormat="1" applyFont="1" applyProtection="1">
      <protection hidden="1"/>
    </xf>
    <xf numFmtId="1" fontId="8" fillId="0" borderId="0" xfId="0" applyNumberFormat="1" applyFont="1" applyAlignment="1" applyProtection="1">
      <alignment horizontal="center"/>
      <protection hidden="1"/>
    </xf>
    <xf numFmtId="164" fontId="13" fillId="0" borderId="0" xfId="0" applyFont="1"/>
    <xf numFmtId="164" fontId="10" fillId="0" borderId="0" xfId="0" applyFont="1" applyProtection="1"/>
    <xf numFmtId="14" fontId="10" fillId="0" borderId="0" xfId="0" applyNumberFormat="1" applyFont="1" applyProtection="1"/>
    <xf numFmtId="164" fontId="10" fillId="0" borderId="0" xfId="0" applyFont="1" applyFill="1" applyAlignment="1" applyProtection="1">
      <alignment horizontal="center"/>
      <protection locked="0"/>
    </xf>
    <xf numFmtId="3" fontId="10" fillId="2" borderId="0" xfId="0" applyNumberFormat="1" applyFont="1" applyFill="1" applyAlignment="1" applyProtection="1">
      <alignment horizontal="center"/>
    </xf>
    <xf numFmtId="1" fontId="10" fillId="0" borderId="0" xfId="0" applyNumberFormat="1" applyFont="1" applyFill="1" applyAlignment="1" applyProtection="1">
      <alignment horizontal="center"/>
    </xf>
    <xf numFmtId="164" fontId="10" fillId="0" borderId="0" xfId="0" applyFont="1" applyAlignment="1" applyProtection="1">
      <alignment horizontal="center"/>
    </xf>
    <xf numFmtId="3" fontId="10" fillId="0" borderId="0" xfId="0" applyNumberFormat="1" applyFont="1" applyAlignment="1" applyProtection="1">
      <alignment horizontal="center"/>
    </xf>
    <xf numFmtId="3" fontId="12" fillId="4" borderId="12" xfId="0" applyNumberFormat="1" applyFont="1" applyFill="1" applyBorder="1" applyAlignment="1" applyProtection="1">
      <alignment horizontal="center"/>
    </xf>
    <xf numFmtId="164" fontId="20" fillId="0" borderId="0" xfId="0" applyFont="1" applyAlignment="1" applyProtection="1">
      <alignment horizontal="fill"/>
    </xf>
    <xf numFmtId="3" fontId="12" fillId="4" borderId="9" xfId="0" applyNumberFormat="1" applyFont="1" applyFill="1" applyBorder="1" applyAlignment="1" applyProtection="1">
      <alignment horizontal="center"/>
    </xf>
    <xf numFmtId="164" fontId="10" fillId="0" borderId="0" xfId="0" applyFont="1" applyAlignment="1" applyProtection="1">
      <alignment horizontal="fill"/>
    </xf>
    <xf numFmtId="164" fontId="12" fillId="0" borderId="18" xfId="0" applyNumberFormat="1" applyFont="1" applyBorder="1" applyAlignment="1" applyProtection="1">
      <alignment horizontal="fill"/>
    </xf>
    <xf numFmtId="164" fontId="12" fillId="0" borderId="6" xfId="0" applyNumberFormat="1" applyFont="1" applyBorder="1" applyAlignment="1" applyProtection="1">
      <alignment horizontal="fill"/>
    </xf>
    <xf numFmtId="164" fontId="12" fillId="0" borderId="6" xfId="0" applyNumberFormat="1" applyFont="1" applyBorder="1" applyAlignment="1" applyProtection="1">
      <alignment horizontal="left"/>
    </xf>
    <xf numFmtId="164" fontId="12" fillId="0" borderId="21" xfId="0" applyNumberFormat="1" applyFont="1" applyBorder="1" applyAlignment="1" applyProtection="1">
      <alignment horizontal="fill"/>
    </xf>
    <xf numFmtId="3" fontId="12" fillId="4" borderId="10" xfId="0" applyNumberFormat="1" applyFont="1" applyFill="1" applyBorder="1" applyAlignment="1" applyProtection="1">
      <alignment horizontal="center"/>
    </xf>
    <xf numFmtId="0" fontId="12" fillId="4" borderId="9" xfId="0" applyNumberFormat="1" applyFont="1" applyFill="1" applyBorder="1" applyAlignment="1" applyProtection="1">
      <alignment horizontal="left"/>
    </xf>
    <xf numFmtId="3" fontId="38" fillId="4" borderId="9" xfId="0" applyNumberFormat="1" applyFont="1" applyFill="1" applyBorder="1" applyAlignment="1" applyProtection="1">
      <alignment horizontal="left"/>
    </xf>
    <xf numFmtId="9" fontId="12" fillId="3" borderId="2" xfId="0" applyNumberFormat="1" applyFont="1" applyFill="1" applyBorder="1" applyAlignment="1" applyProtection="1">
      <alignment horizontal="center"/>
      <protection locked="0"/>
    </xf>
    <xf numFmtId="3" fontId="42" fillId="4" borderId="9" xfId="0" applyNumberFormat="1" applyFont="1" applyFill="1" applyBorder="1" applyAlignment="1" applyProtection="1">
      <alignment horizontal="center"/>
    </xf>
    <xf numFmtId="164" fontId="12" fillId="0" borderId="0" xfId="0" applyNumberFormat="1" applyFont="1" applyBorder="1" applyAlignment="1" applyProtection="1">
      <alignment horizontal="left"/>
    </xf>
    <xf numFmtId="164" fontId="12" fillId="8" borderId="0" xfId="0" applyNumberFormat="1" applyFont="1" applyFill="1" applyBorder="1" applyAlignment="1" applyProtection="1">
      <alignment horizontal="fill"/>
    </xf>
    <xf numFmtId="164" fontId="12" fillId="4" borderId="26" xfId="0" applyNumberFormat="1" applyFont="1" applyFill="1" applyBorder="1" applyAlignment="1" applyProtection="1">
      <alignment horizontal="fill"/>
    </xf>
    <xf numFmtId="164" fontId="12" fillId="4" borderId="12" xfId="0" applyNumberFormat="1" applyFont="1" applyFill="1" applyBorder="1" applyAlignment="1" applyProtection="1">
      <alignment horizontal="fill"/>
    </xf>
    <xf numFmtId="164" fontId="12" fillId="4" borderId="13" xfId="0" applyNumberFormat="1" applyFont="1" applyFill="1" applyBorder="1" applyAlignment="1" applyProtection="1">
      <alignment horizontal="fill"/>
    </xf>
    <xf numFmtId="164" fontId="5" fillId="4" borderId="24" xfId="0" applyFont="1" applyFill="1" applyBorder="1"/>
    <xf numFmtId="164" fontId="5" fillId="4" borderId="11" xfId="0" applyNumberFormat="1" applyFont="1" applyFill="1" applyBorder="1" applyAlignment="1" applyProtection="1">
      <alignment horizontal="center"/>
    </xf>
    <xf numFmtId="164" fontId="5" fillId="4" borderId="23" xfId="0" applyNumberFormat="1" applyFont="1" applyFill="1" applyBorder="1" applyAlignment="1" applyProtection="1">
      <alignment horizontal="center"/>
    </xf>
    <xf numFmtId="164" fontId="5" fillId="4" borderId="0" xfId="0" applyNumberFormat="1" applyFont="1" applyFill="1" applyBorder="1" applyAlignment="1" applyProtection="1">
      <alignment horizontal="center"/>
    </xf>
    <xf numFmtId="164" fontId="5" fillId="4" borderId="19" xfId="0" applyFont="1" applyFill="1" applyBorder="1" applyAlignment="1">
      <alignment horizontal="center"/>
    </xf>
    <xf numFmtId="164" fontId="23" fillId="0" borderId="0" xfId="0" applyFont="1" applyBorder="1"/>
    <xf numFmtId="164" fontId="25" fillId="0" borderId="0" xfId="0" applyFont="1" applyBorder="1" applyAlignment="1" applyProtection="1">
      <alignment horizontal="left"/>
    </xf>
    <xf numFmtId="164" fontId="5" fillId="0" borderId="0" xfId="0" applyNumberFormat="1" applyFont="1" applyBorder="1" applyAlignment="1" applyProtection="1">
      <alignment horizontal="center"/>
    </xf>
    <xf numFmtId="164" fontId="5" fillId="0" borderId="0" xfId="0" applyFont="1" applyBorder="1" applyAlignment="1">
      <alignment horizontal="center"/>
    </xf>
    <xf numFmtId="164" fontId="12" fillId="4" borderId="18" xfId="0" applyFont="1" applyFill="1" applyBorder="1"/>
    <xf numFmtId="164" fontId="12" fillId="0" borderId="18" xfId="0" applyFont="1" applyBorder="1"/>
    <xf numFmtId="164" fontId="12" fillId="4" borderId="18" xfId="0" applyFont="1" applyFill="1" applyBorder="1" applyAlignment="1">
      <alignment horizontal="center"/>
    </xf>
    <xf numFmtId="164" fontId="12" fillId="4" borderId="18" xfId="0" applyFont="1" applyFill="1" applyBorder="1" applyAlignment="1" applyProtection="1">
      <alignment horizontal="center"/>
      <protection locked="0"/>
    </xf>
    <xf numFmtId="164" fontId="45" fillId="0" borderId="0" xfId="0" applyNumberFormat="1" applyFont="1" applyBorder="1" applyAlignment="1" applyProtection="1">
      <alignment horizontal="center"/>
    </xf>
    <xf numFmtId="164" fontId="5" fillId="0" borderId="12" xfId="0" applyNumberFormat="1" applyFont="1" applyBorder="1" applyAlignment="1" applyProtection="1">
      <alignment horizontal="center" vertical="top"/>
    </xf>
    <xf numFmtId="164" fontId="45" fillId="0" borderId="12" xfId="0" applyNumberFormat="1" applyFont="1" applyBorder="1" applyAlignment="1" applyProtection="1">
      <alignment horizontal="center" vertical="top"/>
    </xf>
    <xf numFmtId="164" fontId="5" fillId="0" borderId="19" xfId="0" applyNumberFormat="1" applyFont="1" applyBorder="1" applyAlignment="1" applyProtection="1">
      <alignment horizontal="center"/>
    </xf>
    <xf numFmtId="164" fontId="5" fillId="0" borderId="13" xfId="0" applyNumberFormat="1" applyFont="1" applyBorder="1" applyAlignment="1" applyProtection="1">
      <alignment horizontal="center" vertical="top"/>
    </xf>
    <xf numFmtId="164" fontId="5" fillId="0" borderId="11" xfId="0" applyFont="1" applyBorder="1"/>
    <xf numFmtId="164" fontId="5" fillId="0" borderId="11" xfId="0" applyFont="1" applyBorder="1" applyAlignment="1">
      <alignment horizontal="center"/>
    </xf>
    <xf numFmtId="164" fontId="45" fillId="0" borderId="11" xfId="0" applyFont="1" applyBorder="1" applyAlignment="1">
      <alignment horizontal="center"/>
    </xf>
    <xf numFmtId="164" fontId="5" fillId="0" borderId="22" xfId="0" applyFont="1" applyBorder="1"/>
    <xf numFmtId="164" fontId="5" fillId="0" borderId="23" xfId="0" applyNumberFormat="1" applyFont="1" applyBorder="1" applyAlignment="1" applyProtection="1">
      <alignment horizontal="center"/>
    </xf>
    <xf numFmtId="164" fontId="5" fillId="0" borderId="26" xfId="0" applyNumberFormat="1" applyFont="1" applyBorder="1" applyAlignment="1" applyProtection="1">
      <alignment horizontal="center" vertical="top"/>
    </xf>
    <xf numFmtId="164" fontId="5" fillId="0" borderId="13" xfId="0" applyFont="1" applyBorder="1" applyAlignment="1">
      <alignment horizontal="center" vertical="top"/>
    </xf>
    <xf numFmtId="164" fontId="12" fillId="0" borderId="0" xfId="0" applyFont="1" applyFill="1"/>
    <xf numFmtId="164" fontId="23" fillId="0" borderId="0" xfId="0" applyFont="1" applyFill="1" applyBorder="1"/>
    <xf numFmtId="164" fontId="13" fillId="0" borderId="0" xfId="0" applyFont="1" applyFill="1"/>
    <xf numFmtId="164" fontId="12" fillId="10" borderId="15" xfId="0" applyFont="1" applyFill="1" applyBorder="1"/>
    <xf numFmtId="164" fontId="12" fillId="10" borderId="16" xfId="0" applyFont="1" applyFill="1" applyBorder="1"/>
    <xf numFmtId="164" fontId="23" fillId="10" borderId="17" xfId="0" applyFont="1" applyFill="1" applyBorder="1"/>
    <xf numFmtId="164" fontId="12" fillId="10" borderId="14" xfId="0" applyFont="1" applyFill="1" applyBorder="1"/>
    <xf numFmtId="164" fontId="12" fillId="10" borderId="0" xfId="0" applyFont="1" applyFill="1" applyBorder="1"/>
    <xf numFmtId="164" fontId="12" fillId="10" borderId="20" xfId="0" applyFont="1" applyFill="1" applyBorder="1"/>
    <xf numFmtId="164" fontId="12" fillId="10" borderId="6" xfId="0" applyFont="1" applyFill="1" applyBorder="1"/>
    <xf numFmtId="164" fontId="23" fillId="10" borderId="18" xfId="0" applyFont="1" applyFill="1" applyBorder="1"/>
    <xf numFmtId="164" fontId="12" fillId="10" borderId="21" xfId="0" applyFont="1" applyFill="1" applyBorder="1"/>
    <xf numFmtId="164" fontId="12" fillId="0" borderId="13" xfId="0" applyNumberFormat="1" applyFont="1" applyFill="1" applyBorder="1" applyAlignment="1" applyProtection="1">
      <alignment horizontal="center"/>
      <protection locked="0"/>
    </xf>
    <xf numFmtId="164" fontId="12" fillId="0" borderId="10" xfId="0" applyNumberFormat="1" applyFont="1" applyFill="1" applyBorder="1" applyAlignment="1" applyProtection="1">
      <alignment horizontal="center"/>
      <protection locked="0"/>
    </xf>
    <xf numFmtId="164" fontId="12" fillId="0" borderId="9" xfId="0" applyNumberFormat="1" applyFont="1" applyFill="1" applyBorder="1" applyAlignment="1" applyProtection="1">
      <alignment horizontal="center"/>
      <protection locked="0"/>
    </xf>
    <xf numFmtId="164" fontId="22" fillId="0" borderId="11" xfId="0" applyFont="1" applyBorder="1" applyAlignment="1">
      <alignment horizontal="center"/>
    </xf>
    <xf numFmtId="164" fontId="17" fillId="0" borderId="11" xfId="0" applyFont="1" applyBorder="1"/>
    <xf numFmtId="164" fontId="12" fillId="11" borderId="14" xfId="0" applyFont="1" applyFill="1" applyBorder="1"/>
    <xf numFmtId="164" fontId="12" fillId="11" borderId="0" xfId="0" applyFont="1" applyFill="1" applyBorder="1"/>
    <xf numFmtId="3" fontId="12" fillId="11" borderId="0" xfId="0" applyNumberFormat="1" applyFont="1" applyFill="1" applyBorder="1" applyAlignment="1" applyProtection="1">
      <alignment horizontal="center"/>
    </xf>
    <xf numFmtId="164" fontId="46" fillId="0" borderId="0" xfId="0" applyFont="1"/>
    <xf numFmtId="164" fontId="47" fillId="0" borderId="8" xfId="0" applyFont="1" applyBorder="1"/>
    <xf numFmtId="3" fontId="12" fillId="4" borderId="1" xfId="0" applyNumberFormat="1" applyFont="1" applyFill="1" applyBorder="1" applyAlignment="1" applyProtection="1">
      <alignment horizontal="center"/>
    </xf>
    <xf numFmtId="3" fontId="12" fillId="5" borderId="0" xfId="0" applyNumberFormat="1" applyFont="1" applyFill="1" applyBorder="1" applyAlignment="1" applyProtection="1">
      <alignment horizontal="center"/>
    </xf>
    <xf numFmtId="3" fontId="12" fillId="5" borderId="19" xfId="0" applyNumberFormat="1" applyFont="1" applyFill="1" applyBorder="1" applyAlignment="1" applyProtection="1">
      <alignment horizontal="center"/>
    </xf>
    <xf numFmtId="3" fontId="12" fillId="5" borderId="12" xfId="0" applyNumberFormat="1" applyFont="1" applyFill="1" applyBorder="1" applyAlignment="1" applyProtection="1">
      <alignment horizontal="center"/>
    </xf>
    <xf numFmtId="3" fontId="12" fillId="5" borderId="13" xfId="0" applyNumberFormat="1" applyFont="1" applyFill="1" applyBorder="1" applyAlignment="1" applyProtection="1">
      <alignment horizontal="center"/>
    </xf>
    <xf numFmtId="164" fontId="38" fillId="0" borderId="0" xfId="0" applyFont="1" applyFill="1" applyBorder="1"/>
    <xf numFmtId="164" fontId="12" fillId="8" borderId="0" xfId="0" applyFont="1" applyFill="1"/>
    <xf numFmtId="164" fontId="5" fillId="0" borderId="24" xfId="0" applyFont="1" applyBorder="1" applyAlignment="1">
      <alignment horizontal="center"/>
    </xf>
    <xf numFmtId="164" fontId="5" fillId="0" borderId="23" xfId="0" applyFont="1" applyBorder="1" applyAlignment="1">
      <alignment horizontal="center"/>
    </xf>
    <xf numFmtId="164" fontId="12" fillId="0" borderId="24" xfId="0" applyFont="1" applyFill="1" applyBorder="1"/>
    <xf numFmtId="3" fontId="12" fillId="8" borderId="0" xfId="0" applyNumberFormat="1" applyFont="1" applyFill="1" applyBorder="1" applyAlignment="1" applyProtection="1">
      <alignment horizontal="center"/>
    </xf>
    <xf numFmtId="164" fontId="38" fillId="8" borderId="0" xfId="0" applyNumberFormat="1" applyFont="1" applyFill="1" applyBorder="1" applyAlignment="1" applyProtection="1">
      <alignment horizontal="left"/>
    </xf>
    <xf numFmtId="3" fontId="5" fillId="0" borderId="1" xfId="0" applyNumberFormat="1" applyFont="1" applyBorder="1" applyAlignment="1" applyProtection="1">
      <alignment horizontal="right"/>
    </xf>
    <xf numFmtId="3" fontId="12" fillId="0" borderId="10" xfId="0" applyNumberFormat="1" applyFont="1" applyBorder="1" applyAlignment="1" applyProtection="1"/>
    <xf numFmtId="164" fontId="5" fillId="0" borderId="12" xfId="0" applyFont="1" applyBorder="1" applyAlignment="1">
      <alignment horizontal="right"/>
    </xf>
    <xf numFmtId="3" fontId="12" fillId="0" borderId="9" xfId="0" applyNumberFormat="1" applyFont="1" applyBorder="1" applyAlignment="1" applyProtection="1"/>
    <xf numFmtId="3" fontId="5" fillId="0" borderId="12" xfId="0" applyNumberFormat="1" applyFont="1" applyBorder="1" applyAlignment="1" applyProtection="1">
      <alignment horizontal="right"/>
    </xf>
    <xf numFmtId="164" fontId="38" fillId="10" borderId="14" xfId="0" applyFont="1" applyFill="1" applyBorder="1"/>
    <xf numFmtId="3" fontId="5" fillId="0" borderId="1" xfId="0" applyNumberFormat="1" applyFont="1" applyBorder="1" applyAlignment="1" applyProtection="1"/>
    <xf numFmtId="164" fontId="38" fillId="10" borderId="0" xfId="0" applyNumberFormat="1" applyFont="1" applyFill="1" applyBorder="1" applyAlignment="1" applyProtection="1">
      <alignment horizontal="left"/>
    </xf>
    <xf numFmtId="3" fontId="5" fillId="0" borderId="10" xfId="0" applyNumberFormat="1" applyFont="1" applyBorder="1" applyAlignment="1">
      <alignment horizontal="center" vertical="center"/>
    </xf>
    <xf numFmtId="164" fontId="5" fillId="0" borderId="23" xfId="0" applyFont="1" applyBorder="1" applyAlignment="1">
      <alignment horizontal="right"/>
    </xf>
    <xf numFmtId="164" fontId="39" fillId="0" borderId="23" xfId="0" applyFont="1" applyBorder="1" applyAlignment="1">
      <alignment horizontal="right"/>
    </xf>
    <xf numFmtId="164" fontId="45" fillId="0" borderId="12" xfId="0" applyFont="1" applyBorder="1" applyAlignment="1">
      <alignment horizontal="right"/>
    </xf>
    <xf numFmtId="3" fontId="12" fillId="0" borderId="12" xfId="0" applyNumberFormat="1" applyFont="1" applyBorder="1" applyAlignment="1" applyProtection="1"/>
    <xf numFmtId="3" fontId="12" fillId="0" borderId="13" xfId="0" applyNumberFormat="1" applyFont="1" applyBorder="1" applyAlignment="1" applyProtection="1"/>
    <xf numFmtId="0" fontId="12" fillId="0" borderId="2" xfId="0" applyNumberFormat="1" applyFont="1" applyBorder="1" applyAlignment="1" applyProtection="1">
      <alignment horizontal="right"/>
    </xf>
    <xf numFmtId="164" fontId="12" fillId="8" borderId="0" xfId="0" applyNumberFormat="1" applyFont="1" applyFill="1" applyBorder="1" applyAlignment="1" applyProtection="1">
      <alignment horizontal="right"/>
    </xf>
    <xf numFmtId="164" fontId="8" fillId="0" borderId="0" xfId="0" applyFont="1" applyFill="1" applyBorder="1"/>
    <xf numFmtId="164" fontId="12" fillId="8" borderId="0" xfId="0" applyNumberFormat="1" applyFont="1" applyFill="1" applyBorder="1" applyAlignment="1" applyProtection="1">
      <alignment horizontal="right"/>
    </xf>
    <xf numFmtId="164" fontId="8" fillId="6" borderId="0" xfId="0" applyFont="1" applyFill="1"/>
    <xf numFmtId="3" fontId="49" fillId="8" borderId="0" xfId="0" applyNumberFormat="1" applyFont="1" applyFill="1" applyBorder="1" applyAlignment="1" applyProtection="1">
      <alignment horizontal="center"/>
    </xf>
    <xf numFmtId="164" fontId="5" fillId="8" borderId="0" xfId="0" applyNumberFormat="1" applyFont="1" applyFill="1" applyBorder="1" applyAlignment="1" applyProtection="1">
      <alignment horizontal="right"/>
    </xf>
    <xf numFmtId="164" fontId="41" fillId="8" borderId="0" xfId="0" applyNumberFormat="1" applyFont="1" applyFill="1" applyBorder="1" applyAlignment="1" applyProtection="1">
      <alignment horizontal="right"/>
    </xf>
    <xf numFmtId="164" fontId="38" fillId="8" borderId="0" xfId="0" applyNumberFormat="1" applyFont="1" applyFill="1" applyBorder="1" applyAlignment="1" applyProtection="1">
      <alignment horizontal="right"/>
    </xf>
    <xf numFmtId="164" fontId="8" fillId="0" borderId="0" xfId="0" applyFont="1" applyFill="1"/>
    <xf numFmtId="164" fontId="12" fillId="8" borderId="0" xfId="0" applyNumberFormat="1" applyFont="1" applyFill="1" applyBorder="1" applyAlignment="1" applyProtection="1">
      <alignment horizontal="right"/>
    </xf>
    <xf numFmtId="164" fontId="5" fillId="8" borderId="0" xfId="0" applyNumberFormat="1" applyFont="1" applyFill="1" applyBorder="1" applyAlignment="1" applyProtection="1">
      <alignment horizontal="right"/>
    </xf>
    <xf numFmtId="164" fontId="5" fillId="4" borderId="29" xfId="0" applyNumberFormat="1" applyFont="1" applyFill="1" applyBorder="1" applyAlignment="1" applyProtection="1">
      <alignment horizontal="center"/>
    </xf>
    <xf numFmtId="164" fontId="12" fillId="4" borderId="31" xfId="0" applyNumberFormat="1" applyFont="1" applyFill="1" applyBorder="1" applyAlignment="1" applyProtection="1">
      <alignment horizontal="fill"/>
    </xf>
    <xf numFmtId="49" fontId="5" fillId="0" borderId="13" xfId="0" applyNumberFormat="1" applyFont="1" applyBorder="1" applyAlignment="1" applyProtection="1">
      <alignment horizontal="center"/>
    </xf>
    <xf numFmtId="164" fontId="12" fillId="10" borderId="19" xfId="0" applyFont="1" applyFill="1" applyBorder="1"/>
    <xf numFmtId="0" fontId="12" fillId="7" borderId="13" xfId="0" applyNumberFormat="1" applyFont="1" applyFill="1" applyBorder="1" applyAlignment="1" applyProtection="1">
      <alignment horizontal="left"/>
      <protection locked="0"/>
    </xf>
    <xf numFmtId="3" fontId="41" fillId="4" borderId="9" xfId="0" applyNumberFormat="1" applyFont="1" applyFill="1" applyBorder="1" applyAlignment="1" applyProtection="1">
      <alignment horizontal="center"/>
    </xf>
    <xf numFmtId="3" fontId="41" fillId="4" borderId="9" xfId="0" applyNumberFormat="1" applyFont="1" applyFill="1" applyBorder="1" applyAlignment="1" applyProtection="1">
      <alignment horizontal="left"/>
    </xf>
    <xf numFmtId="164" fontId="5" fillId="0" borderId="22" xfId="0" applyFont="1" applyBorder="1" applyAlignment="1">
      <alignment horizontal="center" vertical="center"/>
    </xf>
    <xf numFmtId="164" fontId="41" fillId="7" borderId="1" xfId="0" applyNumberFormat="1" applyFont="1" applyFill="1" applyBorder="1" applyAlignment="1" applyProtection="1">
      <alignment horizontal="center"/>
      <protection locked="0"/>
    </xf>
    <xf numFmtId="0" fontId="5" fillId="4" borderId="1" xfId="0" applyNumberFormat="1" applyFont="1" applyFill="1" applyBorder="1" applyAlignment="1" applyProtection="1">
      <alignment horizontal="right" vertical="center"/>
      <protection locked="0"/>
    </xf>
    <xf numFmtId="164" fontId="38" fillId="0" borderId="6" xfId="0" applyFont="1" applyFill="1" applyBorder="1"/>
    <xf numFmtId="164" fontId="12" fillId="4" borderId="35" xfId="0" applyFont="1" applyFill="1" applyBorder="1" applyAlignment="1">
      <alignment horizontal="center" wrapText="1"/>
    </xf>
    <xf numFmtId="164" fontId="12" fillId="4" borderId="34" xfId="0" applyFont="1" applyFill="1" applyBorder="1" applyAlignment="1">
      <alignment horizontal="center" wrapText="1"/>
    </xf>
    <xf numFmtId="164" fontId="12" fillId="4" borderId="14" xfId="0" applyFont="1" applyFill="1" applyBorder="1" applyAlignment="1">
      <alignment horizontal="center"/>
    </xf>
    <xf numFmtId="164" fontId="12" fillId="4" borderId="20" xfId="0" applyFont="1" applyFill="1" applyBorder="1" applyAlignment="1">
      <alignment horizontal="center"/>
    </xf>
    <xf numFmtId="164" fontId="12" fillId="4" borderId="3" xfId="0" applyFont="1" applyFill="1" applyBorder="1" applyAlignment="1">
      <alignment horizontal="center"/>
    </xf>
    <xf numFmtId="164" fontId="12" fillId="4" borderId="4" xfId="0" applyFont="1" applyFill="1" applyBorder="1" applyAlignment="1">
      <alignment horizontal="center"/>
    </xf>
    <xf numFmtId="164" fontId="12" fillId="4" borderId="5" xfId="0" applyFont="1" applyFill="1" applyBorder="1" applyAlignment="1">
      <alignment horizontal="center"/>
    </xf>
    <xf numFmtId="164" fontId="0" fillId="9" borderId="0" xfId="0" applyFill="1"/>
    <xf numFmtId="164" fontId="5" fillId="9" borderId="0" xfId="0" applyFont="1" applyFill="1"/>
    <xf numFmtId="164" fontId="38" fillId="0" borderId="24" xfId="0" applyFont="1" applyBorder="1"/>
    <xf numFmtId="164" fontId="5" fillId="0" borderId="11" xfId="0" applyNumberFormat="1" applyFont="1" applyBorder="1" applyAlignment="1" applyProtection="1">
      <alignment horizontal="right"/>
    </xf>
    <xf numFmtId="3" fontId="12" fillId="0" borderId="1" xfId="0" applyNumberFormat="1" applyFont="1" applyBorder="1" applyAlignment="1" applyProtection="1">
      <alignment horizontal="center" vertical="center"/>
    </xf>
    <xf numFmtId="0" fontId="12" fillId="3" borderId="1" xfId="0" applyNumberFormat="1" applyFont="1" applyFill="1" applyBorder="1" applyAlignment="1" applyProtection="1">
      <alignment horizontal="left" vertical="center"/>
      <protection locked="0"/>
    </xf>
    <xf numFmtId="164" fontId="12" fillId="3" borderId="1" xfId="0" applyFont="1" applyFill="1" applyBorder="1" applyAlignment="1" applyProtection="1">
      <alignment horizontal="center" vertical="center"/>
      <protection locked="0"/>
    </xf>
    <xf numFmtId="3" fontId="12" fillId="3" borderId="1" xfId="0" applyNumberFormat="1" applyFont="1" applyFill="1" applyBorder="1" applyAlignment="1" applyProtection="1">
      <alignment horizontal="center" vertical="center"/>
      <protection locked="0"/>
    </xf>
    <xf numFmtId="9" fontId="12" fillId="3" borderId="1" xfId="0" applyNumberFormat="1" applyFont="1" applyFill="1" applyBorder="1" applyAlignment="1" applyProtection="1">
      <alignment horizontal="center" vertical="center"/>
      <protection locked="0"/>
    </xf>
    <xf numFmtId="164" fontId="38" fillId="10" borderId="14" xfId="0" applyFont="1" applyFill="1" applyBorder="1" applyAlignment="1">
      <alignment horizontal="left"/>
    </xf>
    <xf numFmtId="164" fontId="38" fillId="0" borderId="0" xfId="0" applyFont="1"/>
    <xf numFmtId="164" fontId="15" fillId="2" borderId="0" xfId="0" applyFont="1" applyFill="1" applyBorder="1" applyAlignment="1" applyProtection="1">
      <alignment horizontal="center"/>
      <protection locked="0"/>
    </xf>
    <xf numFmtId="164" fontId="0" fillId="4" borderId="15" xfId="0" applyFill="1" applyBorder="1"/>
    <xf numFmtId="164" fontId="0" fillId="4" borderId="16" xfId="0" applyFill="1" applyBorder="1"/>
    <xf numFmtId="164" fontId="0" fillId="4" borderId="14" xfId="0" applyFill="1" applyBorder="1"/>
    <xf numFmtId="164" fontId="0" fillId="4" borderId="0" xfId="0" applyFill="1" applyBorder="1"/>
    <xf numFmtId="164" fontId="12" fillId="4" borderId="0" xfId="0" applyFont="1" applyFill="1" applyBorder="1" applyAlignment="1" applyProtection="1">
      <alignment horizontal="left"/>
    </xf>
    <xf numFmtId="164" fontId="0" fillId="4" borderId="20" xfId="0" applyFill="1" applyBorder="1"/>
    <xf numFmtId="164" fontId="0" fillId="4" borderId="6" xfId="0" quotePrefix="1" applyFill="1" applyBorder="1" applyAlignment="1" applyProtection="1">
      <alignment horizontal="fill"/>
    </xf>
    <xf numFmtId="164" fontId="0" fillId="4" borderId="6" xfId="0" applyFill="1" applyBorder="1" applyAlignment="1" applyProtection="1">
      <alignment horizontal="fill"/>
    </xf>
    <xf numFmtId="164" fontId="11" fillId="4" borderId="0" xfId="0" applyFont="1" applyFill="1" applyBorder="1"/>
    <xf numFmtId="164" fontId="16" fillId="4" borderId="16" xfId="0" applyFont="1" applyFill="1" applyBorder="1"/>
    <xf numFmtId="164" fontId="0" fillId="4" borderId="17" xfId="0" applyFill="1" applyBorder="1"/>
    <xf numFmtId="164" fontId="0" fillId="4" borderId="18" xfId="0" applyFill="1" applyBorder="1"/>
    <xf numFmtId="164" fontId="24" fillId="4" borderId="0" xfId="0" applyFont="1" applyFill="1" applyBorder="1" applyProtection="1"/>
    <xf numFmtId="164" fontId="0" fillId="4" borderId="0" xfId="0" applyFill="1" applyBorder="1" applyProtection="1"/>
    <xf numFmtId="164" fontId="24" fillId="4" borderId="0" xfId="0" applyFont="1" applyFill="1" applyBorder="1" applyAlignment="1" applyProtection="1">
      <alignment horizontal="left"/>
    </xf>
    <xf numFmtId="164" fontId="2" fillId="4" borderId="0" xfId="0" applyFont="1" applyFill="1" applyBorder="1" applyProtection="1"/>
    <xf numFmtId="164" fontId="0" fillId="4" borderId="18" xfId="0" applyFill="1" applyBorder="1" applyProtection="1"/>
    <xf numFmtId="49" fontId="24" fillId="4" borderId="0" xfId="0" applyNumberFormat="1" applyFont="1" applyFill="1" applyBorder="1" applyAlignment="1" applyProtection="1">
      <alignment horizontal="left"/>
    </xf>
    <xf numFmtId="164" fontId="0" fillId="4" borderId="21" xfId="0" applyFill="1" applyBorder="1" applyAlignment="1" applyProtection="1">
      <alignment horizontal="fill"/>
    </xf>
    <xf numFmtId="164" fontId="12" fillId="4" borderId="0" xfId="0" applyFont="1" applyFill="1" applyBorder="1" applyAlignment="1" applyProtection="1">
      <alignment horizontal="right"/>
    </xf>
    <xf numFmtId="2" fontId="15" fillId="4" borderId="0" xfId="0" applyNumberFormat="1" applyFont="1" applyFill="1" applyBorder="1" applyAlignment="1" applyProtection="1">
      <alignment horizontal="center"/>
    </xf>
    <xf numFmtId="164" fontId="7" fillId="4" borderId="18" xfId="0" applyFont="1" applyFill="1" applyBorder="1" applyProtection="1"/>
    <xf numFmtId="164" fontId="7" fillId="4" borderId="18" xfId="0" applyFont="1" applyFill="1" applyBorder="1"/>
    <xf numFmtId="164" fontId="12" fillId="4" borderId="3" xfId="0" applyFont="1" applyFill="1" applyBorder="1" applyAlignment="1" applyProtection="1">
      <alignment horizontal="center"/>
    </xf>
    <xf numFmtId="164" fontId="0" fillId="4" borderId="3" xfId="0" applyFill="1" applyBorder="1" applyProtection="1"/>
    <xf numFmtId="164" fontId="12" fillId="4" borderId="4" xfId="0" applyFont="1" applyFill="1" applyBorder="1" applyAlignment="1" applyProtection="1">
      <alignment horizontal="center"/>
    </xf>
    <xf numFmtId="164" fontId="0" fillId="4" borderId="4" xfId="0" applyFill="1" applyBorder="1"/>
    <xf numFmtId="164" fontId="0" fillId="4" borderId="5" xfId="0" applyFill="1" applyBorder="1"/>
    <xf numFmtId="164" fontId="0" fillId="4" borderId="5" xfId="0" applyFill="1" applyBorder="1" applyProtection="1"/>
    <xf numFmtId="164" fontId="12" fillId="4" borderId="5" xfId="0" applyFont="1" applyFill="1" applyBorder="1" applyAlignment="1" applyProtection="1">
      <alignment horizontal="center"/>
    </xf>
    <xf numFmtId="164" fontId="13" fillId="4" borderId="5" xfId="0" applyFont="1" applyFill="1" applyBorder="1" applyProtection="1"/>
    <xf numFmtId="164" fontId="12" fillId="4" borderId="37" xfId="0" applyFont="1" applyFill="1" applyBorder="1" applyAlignment="1" applyProtection="1">
      <alignment horizontal="center"/>
    </xf>
    <xf numFmtId="164" fontId="7" fillId="4" borderId="2" xfId="0" applyFont="1" applyFill="1" applyBorder="1" applyAlignment="1">
      <alignment horizontal="left"/>
    </xf>
    <xf numFmtId="164" fontId="15" fillId="4" borderId="2" xfId="0" applyFont="1" applyFill="1" applyBorder="1" applyAlignment="1" applyProtection="1">
      <alignment horizontal="center"/>
    </xf>
    <xf numFmtId="1" fontId="15" fillId="4" borderId="2" xfId="0" applyNumberFormat="1" applyFont="1" applyFill="1" applyBorder="1" applyAlignment="1" applyProtection="1">
      <alignment horizontal="center"/>
    </xf>
    <xf numFmtId="0" fontId="12" fillId="4" borderId="1" xfId="0" applyNumberFormat="1" applyFont="1" applyFill="1" applyBorder="1" applyAlignment="1" applyProtection="1">
      <alignment horizontal="center"/>
    </xf>
    <xf numFmtId="168" fontId="12" fillId="4" borderId="1" xfId="0" applyNumberFormat="1" applyFont="1" applyFill="1" applyBorder="1" applyAlignment="1" applyProtection="1">
      <alignment horizontal="center"/>
    </xf>
    <xf numFmtId="3" fontId="5" fillId="4" borderId="2" xfId="0" applyNumberFormat="1" applyFont="1" applyFill="1" applyBorder="1" applyAlignment="1" applyProtection="1">
      <alignment horizontal="center"/>
    </xf>
    <xf numFmtId="164" fontId="5" fillId="4" borderId="38" xfId="0" applyFont="1" applyFill="1" applyBorder="1" applyAlignment="1" applyProtection="1">
      <alignment horizontal="center"/>
    </xf>
    <xf numFmtId="164" fontId="12" fillId="4" borderId="39" xfId="0" applyFont="1" applyFill="1" applyBorder="1" applyAlignment="1" applyProtection="1">
      <alignment horizontal="center"/>
    </xf>
    <xf numFmtId="164" fontId="7" fillId="4" borderId="1" xfId="0" applyFont="1" applyFill="1" applyBorder="1" applyAlignment="1">
      <alignment horizontal="left"/>
    </xf>
    <xf numFmtId="164" fontId="15" fillId="4" borderId="1" xfId="0" applyFont="1" applyFill="1" applyBorder="1" applyAlignment="1" applyProtection="1">
      <alignment horizontal="center"/>
    </xf>
    <xf numFmtId="170" fontId="7" fillId="4" borderId="1" xfId="0" applyNumberFormat="1" applyFont="1" applyFill="1" applyBorder="1" applyAlignment="1">
      <alignment horizontal="left"/>
    </xf>
    <xf numFmtId="164" fontId="4" fillId="4" borderId="14" xfId="0" applyFont="1" applyFill="1" applyBorder="1" applyAlignment="1" applyProtection="1">
      <alignment horizontal="fill"/>
    </xf>
    <xf numFmtId="164" fontId="3" fillId="4" borderId="0" xfId="0" applyFont="1" applyFill="1" applyBorder="1" applyAlignment="1" applyProtection="1">
      <alignment horizontal="fill"/>
    </xf>
    <xf numFmtId="1" fontId="3" fillId="4" borderId="0" xfId="0" applyNumberFormat="1" applyFont="1" applyFill="1" applyBorder="1" applyAlignment="1" applyProtection="1">
      <alignment horizontal="fill"/>
    </xf>
    <xf numFmtId="164" fontId="0" fillId="4" borderId="0" xfId="0" applyFill="1" applyBorder="1" applyAlignment="1" applyProtection="1">
      <alignment horizontal="fill"/>
    </xf>
    <xf numFmtId="168" fontId="0" fillId="4" borderId="0" xfId="0" applyNumberFormat="1" applyFill="1" applyBorder="1" applyAlignment="1" applyProtection="1">
      <alignment horizontal="fill"/>
    </xf>
    <xf numFmtId="166" fontId="0" fillId="4" borderId="0" xfId="0" applyNumberFormat="1" applyFill="1" applyBorder="1" applyAlignment="1" applyProtection="1">
      <alignment horizontal="fill"/>
    </xf>
    <xf numFmtId="1" fontId="7" fillId="4" borderId="0" xfId="0" applyNumberFormat="1" applyFont="1" applyFill="1" applyBorder="1" applyAlignment="1" applyProtection="1">
      <alignment horizontal="center"/>
    </xf>
    <xf numFmtId="167" fontId="0" fillId="4" borderId="0" xfId="0" applyNumberFormat="1" applyFill="1" applyBorder="1" applyAlignment="1" applyProtection="1">
      <alignment horizontal="fill"/>
    </xf>
    <xf numFmtId="167" fontId="0" fillId="4" borderId="18" xfId="0" applyNumberFormat="1" applyFill="1" applyBorder="1" applyAlignment="1" applyProtection="1">
      <alignment horizontal="fill"/>
    </xf>
    <xf numFmtId="164" fontId="5" fillId="4" borderId="39" xfId="0" applyFont="1" applyFill="1" applyBorder="1" applyAlignment="1" applyProtection="1">
      <alignment horizontal="left"/>
    </xf>
    <xf numFmtId="164" fontId="0" fillId="4" borderId="1" xfId="0" applyFill="1" applyBorder="1"/>
    <xf numFmtId="3" fontId="7" fillId="4" borderId="1" xfId="0" applyNumberFormat="1" applyFont="1" applyFill="1" applyBorder="1" applyAlignment="1" applyProtection="1">
      <alignment horizontal="center"/>
    </xf>
    <xf numFmtId="164" fontId="7" fillId="4" borderId="1" xfId="0" applyNumberFormat="1" applyFont="1" applyFill="1" applyBorder="1" applyAlignment="1" applyProtection="1">
      <alignment horizontal="center"/>
    </xf>
    <xf numFmtId="165" fontId="7" fillId="4" borderId="7" xfId="0" applyNumberFormat="1" applyFont="1" applyFill="1" applyBorder="1" applyAlignment="1" applyProtection="1">
      <alignment horizontal="center"/>
    </xf>
    <xf numFmtId="164" fontId="7" fillId="4" borderId="1" xfId="0" applyFont="1" applyFill="1" applyBorder="1" applyAlignment="1" applyProtection="1">
      <alignment horizontal="center"/>
    </xf>
    <xf numFmtId="167" fontId="7" fillId="4" borderId="2" xfId="0" applyNumberFormat="1" applyFont="1" applyFill="1" applyBorder="1" applyAlignment="1" applyProtection="1">
      <alignment horizontal="center"/>
    </xf>
    <xf numFmtId="164" fontId="5" fillId="4" borderId="40" xfId="0" applyFont="1" applyFill="1" applyBorder="1" applyAlignment="1" applyProtection="1">
      <alignment horizontal="left"/>
    </xf>
    <xf numFmtId="164" fontId="7" fillId="4" borderId="9" xfId="0" applyFont="1" applyFill="1" applyBorder="1" applyAlignment="1" applyProtection="1">
      <alignment horizontal="center"/>
    </xf>
    <xf numFmtId="3" fontId="7" fillId="4" borderId="9" xfId="0" applyNumberFormat="1" applyFont="1" applyFill="1" applyBorder="1" applyAlignment="1" applyProtection="1">
      <alignment horizontal="center"/>
    </xf>
    <xf numFmtId="3" fontId="7" fillId="4" borderId="11" xfId="0" applyNumberFormat="1" applyFont="1" applyFill="1" applyBorder="1" applyAlignment="1" applyProtection="1">
      <alignment horizontal="center"/>
    </xf>
    <xf numFmtId="3" fontId="7" fillId="4" borderId="0" xfId="0" applyNumberFormat="1" applyFont="1" applyFill="1" applyBorder="1" applyAlignment="1" applyProtection="1">
      <alignment horizontal="center"/>
    </xf>
    <xf numFmtId="165" fontId="7" fillId="4" borderId="0" xfId="0" applyNumberFormat="1" applyFont="1" applyFill="1" applyBorder="1" applyAlignment="1" applyProtection="1">
      <alignment horizontal="center"/>
    </xf>
    <xf numFmtId="166" fontId="7" fillId="4" borderId="0" xfId="0" applyNumberFormat="1" applyFont="1" applyFill="1" applyBorder="1" applyAlignment="1" applyProtection="1">
      <alignment horizontal="center"/>
    </xf>
    <xf numFmtId="167" fontId="7" fillId="4" borderId="0" xfId="0" applyNumberFormat="1" applyFont="1" applyFill="1" applyBorder="1" applyAlignment="1" applyProtection="1">
      <alignment horizontal="center"/>
    </xf>
    <xf numFmtId="164" fontId="5" fillId="4" borderId="40" xfId="0" applyFont="1" applyFill="1" applyBorder="1"/>
    <xf numFmtId="164" fontId="0" fillId="4" borderId="10" xfId="0" applyFill="1" applyBorder="1"/>
    <xf numFmtId="3" fontId="7" fillId="4" borderId="1" xfId="0" applyNumberFormat="1" applyFont="1" applyFill="1" applyBorder="1" applyAlignment="1">
      <alignment horizontal="center"/>
    </xf>
    <xf numFmtId="164" fontId="0" fillId="4" borderId="18" xfId="0" applyFill="1" applyBorder="1" applyAlignment="1" applyProtection="1">
      <alignment horizontal="fill"/>
    </xf>
    <xf numFmtId="164" fontId="5" fillId="4" borderId="0" xfId="0" applyFont="1" applyFill="1" applyBorder="1" applyAlignment="1" applyProtection="1">
      <alignment horizontal="left"/>
    </xf>
    <xf numFmtId="164" fontId="9" fillId="4" borderId="0" xfId="0" applyFont="1" applyFill="1" applyBorder="1" applyProtection="1"/>
    <xf numFmtId="164" fontId="12" fillId="4" borderId="0" xfId="0" applyFont="1" applyFill="1" applyBorder="1" applyAlignment="1" applyProtection="1">
      <alignment horizontal="center"/>
    </xf>
    <xf numFmtId="164" fontId="26" fillId="4" borderId="0" xfId="0" applyFont="1" applyFill="1" applyBorder="1" applyProtection="1"/>
    <xf numFmtId="164" fontId="7" fillId="4" borderId="0" xfId="0" applyFont="1" applyFill="1" applyBorder="1" applyProtection="1"/>
    <xf numFmtId="1" fontId="12" fillId="4" borderId="0" xfId="0" applyNumberFormat="1" applyFont="1" applyFill="1" applyBorder="1" applyAlignment="1" applyProtection="1">
      <alignment horizontal="center"/>
    </xf>
    <xf numFmtId="164" fontId="7" fillId="4" borderId="20" xfId="0" applyFont="1" applyFill="1" applyBorder="1" applyProtection="1"/>
    <xf numFmtId="164" fontId="0" fillId="4" borderId="21" xfId="0" applyFill="1" applyBorder="1" applyProtection="1"/>
    <xf numFmtId="164" fontId="0" fillId="10" borderId="0" xfId="0" applyFill="1"/>
    <xf numFmtId="164" fontId="0" fillId="10" borderId="0" xfId="0" applyFill="1" applyBorder="1"/>
    <xf numFmtId="164" fontId="9" fillId="10" borderId="0" xfId="0" applyFont="1" applyFill="1"/>
    <xf numFmtId="3" fontId="12" fillId="10" borderId="0" xfId="0" applyNumberFormat="1" applyFont="1" applyFill="1" applyAlignment="1" applyProtection="1">
      <alignment horizontal="center"/>
    </xf>
    <xf numFmtId="167" fontId="0" fillId="10" borderId="0" xfId="0" applyNumberFormat="1" applyFill="1" applyAlignment="1" applyProtection="1">
      <alignment horizontal="fill"/>
    </xf>
    <xf numFmtId="164" fontId="0" fillId="10" borderId="0" xfId="0" applyFill="1" applyBorder="1" applyAlignment="1" applyProtection="1">
      <alignment horizontal="fill"/>
    </xf>
    <xf numFmtId="164" fontId="7" fillId="10" borderId="0" xfId="0" applyFont="1" applyFill="1" applyBorder="1" applyProtection="1"/>
    <xf numFmtId="164" fontId="0" fillId="10" borderId="0" xfId="0" applyFill="1" applyProtection="1"/>
    <xf numFmtId="164" fontId="22" fillId="4" borderId="14" xfId="0" applyFont="1" applyFill="1" applyBorder="1" applyAlignment="1" applyProtection="1">
      <alignment horizontal="right"/>
    </xf>
    <xf numFmtId="164" fontId="30" fillId="4" borderId="0" xfId="0" applyFont="1" applyFill="1" applyBorder="1" applyAlignment="1" applyProtection="1">
      <alignment horizontal="left"/>
    </xf>
    <xf numFmtId="164" fontId="19" fillId="4" borderId="0" xfId="0" applyFont="1" applyFill="1" applyBorder="1"/>
    <xf numFmtId="49" fontId="30" fillId="4" borderId="0" xfId="0" applyNumberFormat="1" applyFont="1" applyFill="1" applyBorder="1" applyAlignment="1" applyProtection="1">
      <alignment horizontal="left"/>
    </xf>
    <xf numFmtId="164" fontId="22" fillId="4" borderId="14" xfId="0" applyFont="1" applyFill="1" applyBorder="1" applyAlignment="1">
      <alignment horizontal="right"/>
    </xf>
    <xf numFmtId="164" fontId="31" fillId="4" borderId="0" xfId="0" applyFont="1" applyFill="1" applyBorder="1"/>
    <xf numFmtId="164" fontId="6" fillId="4" borderId="14" xfId="0" applyFont="1" applyFill="1" applyBorder="1" applyAlignment="1">
      <alignment horizontal="center"/>
    </xf>
    <xf numFmtId="3" fontId="19" fillId="4" borderId="18" xfId="0" applyNumberFormat="1" applyFont="1" applyFill="1" applyBorder="1"/>
    <xf numFmtId="164" fontId="12" fillId="4" borderId="0" xfId="0" applyFont="1" applyFill="1" applyBorder="1" applyAlignment="1">
      <alignment horizontal="right"/>
    </xf>
    <xf numFmtId="164" fontId="12" fillId="4" borderId="14" xfId="0" applyFont="1" applyFill="1" applyBorder="1" applyProtection="1"/>
    <xf numFmtId="164" fontId="19" fillId="4" borderId="0" xfId="0" applyFont="1" applyFill="1" applyBorder="1" applyProtection="1"/>
    <xf numFmtId="164" fontId="6" fillId="4" borderId="14" xfId="0" applyFont="1" applyFill="1" applyBorder="1" applyAlignment="1" applyProtection="1">
      <alignment horizontal="center"/>
    </xf>
    <xf numFmtId="164" fontId="12" fillId="4" borderId="14" xfId="0" applyFont="1" applyFill="1" applyBorder="1" applyAlignment="1" applyProtection="1">
      <alignment horizontal="left"/>
    </xf>
    <xf numFmtId="3" fontId="12" fillId="4" borderId="14" xfId="0" applyNumberFormat="1" applyFont="1" applyFill="1" applyBorder="1" applyProtection="1"/>
    <xf numFmtId="164" fontId="27" fillId="4" borderId="0" xfId="0" applyFont="1" applyFill="1" applyBorder="1" applyAlignment="1" applyProtection="1">
      <alignment horizontal="center"/>
    </xf>
    <xf numFmtId="164" fontId="22" fillId="4" borderId="0" xfId="0" applyFont="1" applyFill="1" applyBorder="1" applyProtection="1"/>
    <xf numFmtId="164" fontId="8" fillId="4" borderId="14" xfId="0" applyFont="1" applyFill="1" applyBorder="1" applyAlignment="1" applyProtection="1">
      <alignment horizontal="left"/>
    </xf>
    <xf numFmtId="164" fontId="7" fillId="4" borderId="0" xfId="0" applyFont="1" applyFill="1" applyBorder="1" applyAlignment="1" applyProtection="1">
      <alignment horizontal="right"/>
    </xf>
    <xf numFmtId="164" fontId="7" fillId="4" borderId="14" xfId="0" applyFont="1" applyFill="1" applyBorder="1" applyProtection="1"/>
    <xf numFmtId="164" fontId="11" fillId="4" borderId="0" xfId="0" applyFont="1" applyFill="1" applyBorder="1" applyProtection="1"/>
    <xf numFmtId="164" fontId="21" fillId="4" borderId="14" xfId="0" applyFont="1" applyFill="1" applyBorder="1" applyProtection="1"/>
    <xf numFmtId="164" fontId="12" fillId="4" borderId="0" xfId="0" applyFont="1" applyFill="1" applyBorder="1" applyProtection="1"/>
    <xf numFmtId="164" fontId="6" fillId="4" borderId="14" xfId="0" applyFont="1" applyFill="1" applyBorder="1" applyAlignment="1" applyProtection="1">
      <alignment horizontal="left"/>
    </xf>
    <xf numFmtId="164" fontId="0" fillId="4" borderId="6" xfId="0" applyFill="1" applyBorder="1" applyProtection="1"/>
    <xf numFmtId="3" fontId="10" fillId="4" borderId="0" xfId="0" applyNumberFormat="1" applyFont="1" applyFill="1" applyBorder="1" applyAlignment="1" applyProtection="1">
      <alignment horizontal="center"/>
    </xf>
    <xf numFmtId="4" fontId="10" fillId="4" borderId="0" xfId="0" applyNumberFormat="1" applyFont="1" applyFill="1" applyBorder="1" applyAlignment="1" applyProtection="1">
      <alignment horizontal="center"/>
    </xf>
    <xf numFmtId="164" fontId="19" fillId="4" borderId="0" xfId="0" applyFont="1" applyFill="1" applyBorder="1" applyAlignment="1" applyProtection="1">
      <alignment horizontal="center"/>
    </xf>
    <xf numFmtId="164" fontId="0" fillId="4" borderId="0" xfId="0" applyFill="1" applyBorder="1" applyAlignment="1" applyProtection="1">
      <alignment horizontal="center"/>
    </xf>
    <xf numFmtId="164" fontId="26" fillId="4" borderId="0" xfId="0" applyFont="1" applyFill="1" applyBorder="1" applyAlignment="1" applyProtection="1">
      <alignment horizontal="center"/>
    </xf>
    <xf numFmtId="3" fontId="12" fillId="4" borderId="18" xfId="0" applyNumberFormat="1" applyFont="1" applyFill="1" applyBorder="1" applyProtection="1"/>
    <xf numFmtId="164" fontId="12" fillId="4" borderId="18" xfId="0" applyFont="1" applyFill="1" applyBorder="1" applyProtection="1"/>
    <xf numFmtId="3" fontId="19" fillId="4" borderId="18" xfId="0" applyNumberFormat="1" applyFont="1" applyFill="1" applyBorder="1" applyProtection="1"/>
    <xf numFmtId="164" fontId="26" fillId="4" borderId="18" xfId="0" applyFont="1" applyFill="1" applyBorder="1" applyProtection="1"/>
    <xf numFmtId="164" fontId="5" fillId="4" borderId="0" xfId="0" applyFont="1" applyFill="1" applyBorder="1" applyAlignment="1" applyProtection="1">
      <alignment horizontal="left"/>
      <protection locked="0"/>
    </xf>
    <xf numFmtId="164" fontId="6" fillId="4" borderId="0" xfId="0" applyFont="1" applyFill="1" applyBorder="1" applyAlignment="1"/>
    <xf numFmtId="164" fontId="7" fillId="4" borderId="0" xfId="0" applyFont="1" applyFill="1" applyBorder="1" applyAlignment="1" applyProtection="1">
      <alignment horizontal="center"/>
    </xf>
    <xf numFmtId="172" fontId="12" fillId="4" borderId="0" xfId="0" applyNumberFormat="1" applyFont="1" applyFill="1" applyBorder="1" applyAlignment="1" applyProtection="1">
      <alignment horizontal="center"/>
    </xf>
    <xf numFmtId="3" fontId="5" fillId="4" borderId="0" xfId="0" applyNumberFormat="1" applyFont="1" applyFill="1" applyBorder="1" applyAlignment="1" applyProtection="1">
      <alignment horizontal="center"/>
    </xf>
    <xf numFmtId="164" fontId="11" fillId="4" borderId="18" xfId="0" applyFont="1" applyFill="1" applyBorder="1" applyProtection="1"/>
    <xf numFmtId="164" fontId="12" fillId="4" borderId="18" xfId="0" applyFont="1" applyFill="1" applyBorder="1" applyAlignment="1" applyProtection="1">
      <alignment horizontal="center"/>
    </xf>
    <xf numFmtId="3" fontId="12" fillId="4" borderId="0" xfId="0" applyNumberFormat="1" applyFont="1" applyFill="1" applyBorder="1" applyAlignment="1" applyProtection="1">
      <alignment horizontal="center"/>
    </xf>
    <xf numFmtId="164" fontId="0" fillId="12" borderId="0" xfId="0" applyFill="1"/>
    <xf numFmtId="164" fontId="0" fillId="12" borderId="18" xfId="0" applyFill="1" applyBorder="1"/>
    <xf numFmtId="164" fontId="5" fillId="12" borderId="0" xfId="0" applyFont="1" applyFill="1" applyBorder="1"/>
    <xf numFmtId="164" fontId="37" fillId="12" borderId="0" xfId="0" applyFont="1" applyFill="1"/>
    <xf numFmtId="164" fontId="12" fillId="12" borderId="0" xfId="0" applyFont="1" applyFill="1"/>
    <xf numFmtId="164" fontId="26" fillId="12" borderId="0" xfId="0" applyFont="1" applyFill="1"/>
    <xf numFmtId="164" fontId="0" fillId="4" borderId="14" xfId="0" applyFill="1" applyBorder="1" applyProtection="1"/>
    <xf numFmtId="164" fontId="51" fillId="4" borderId="14" xfId="0" applyFont="1" applyFill="1" applyBorder="1"/>
    <xf numFmtId="164" fontId="52" fillId="4" borderId="14" xfId="0" applyFont="1" applyFill="1" applyBorder="1"/>
    <xf numFmtId="164" fontId="51" fillId="4" borderId="14" xfId="0" applyFont="1" applyFill="1" applyBorder="1" applyAlignment="1">
      <alignment horizontal="left" vertical="center" readingOrder="1"/>
    </xf>
    <xf numFmtId="164" fontId="0" fillId="4" borderId="6" xfId="0" applyFill="1" applyBorder="1"/>
    <xf numFmtId="164" fontId="0" fillId="4" borderId="21" xfId="0" applyFill="1" applyBorder="1"/>
    <xf numFmtId="164" fontId="5" fillId="4" borderId="14" xfId="0" applyFont="1" applyFill="1" applyBorder="1" applyAlignment="1" applyProtection="1">
      <alignment horizontal="left"/>
    </xf>
    <xf numFmtId="164" fontId="51" fillId="4" borderId="20" xfId="0" applyFont="1" applyFill="1" applyBorder="1"/>
    <xf numFmtId="2" fontId="7" fillId="4" borderId="1" xfId="0" applyNumberFormat="1" applyFont="1" applyFill="1" applyBorder="1" applyAlignment="1" applyProtection="1">
      <alignment horizontal="center"/>
    </xf>
    <xf numFmtId="164" fontId="54" fillId="4" borderId="18" xfId="0" applyFont="1" applyFill="1" applyBorder="1" applyAlignment="1"/>
    <xf numFmtId="164" fontId="54" fillId="4" borderId="14" xfId="0" applyFont="1" applyFill="1" applyBorder="1" applyAlignment="1"/>
    <xf numFmtId="164" fontId="0" fillId="10" borderId="18" xfId="0" applyFill="1" applyBorder="1"/>
    <xf numFmtId="164" fontId="5" fillId="0" borderId="0" xfId="0" applyFont="1" applyBorder="1" applyAlignment="1">
      <alignment horizontal="center" vertical="center"/>
    </xf>
    <xf numFmtId="164" fontId="44" fillId="0" borderId="12" xfId="0" applyNumberFormat="1" applyFont="1" applyBorder="1" applyAlignment="1" applyProtection="1">
      <alignment horizontal="center" wrapText="1"/>
    </xf>
    <xf numFmtId="164" fontId="5" fillId="0" borderId="0" xfId="0" applyNumberFormat="1" applyFont="1" applyBorder="1" applyAlignment="1" applyProtection="1">
      <alignment horizontal="center" vertical="top"/>
    </xf>
    <xf numFmtId="164" fontId="44" fillId="0" borderId="12" xfId="0" applyFont="1" applyBorder="1" applyAlignment="1">
      <alignment horizontal="center"/>
    </xf>
    <xf numFmtId="164" fontId="8" fillId="0" borderId="0" xfId="0" applyFont="1" applyProtection="1">
      <protection locked="0"/>
    </xf>
    <xf numFmtId="164" fontId="12" fillId="7" borderId="1" xfId="0" applyNumberFormat="1" applyFont="1" applyFill="1" applyBorder="1" applyAlignment="1" applyProtection="1">
      <alignment horizontal="center" vertical="center"/>
      <protection locked="0"/>
    </xf>
    <xf numFmtId="3" fontId="12" fillId="7" borderId="1" xfId="0" applyNumberFormat="1" applyFont="1" applyFill="1" applyBorder="1" applyAlignment="1" applyProtection="1">
      <alignment horizontal="center" vertical="center"/>
      <protection locked="0"/>
    </xf>
    <xf numFmtId="1" fontId="41" fillId="7" borderId="1" xfId="0" applyNumberFormat="1" applyFont="1" applyFill="1" applyBorder="1" applyAlignment="1" applyProtection="1">
      <alignment horizontal="center" vertical="center"/>
      <protection locked="0"/>
    </xf>
    <xf numFmtId="164" fontId="12" fillId="0" borderId="6" xfId="0" applyFont="1" applyFill="1" applyBorder="1"/>
    <xf numFmtId="164" fontId="45" fillId="0" borderId="11" xfId="0" applyFont="1" applyBorder="1" applyAlignment="1">
      <alignment horizontal="center"/>
    </xf>
    <xf numFmtId="3" fontId="5" fillId="0" borderId="11" xfId="0" applyNumberFormat="1" applyFont="1" applyBorder="1" applyAlignment="1" applyProtection="1">
      <alignment horizontal="center"/>
    </xf>
    <xf numFmtId="164" fontId="12" fillId="0" borderId="11" xfId="0" applyFont="1" applyBorder="1" applyProtection="1"/>
    <xf numFmtId="3" fontId="24" fillId="0" borderId="12" xfId="0" applyNumberFormat="1" applyFont="1" applyBorder="1" applyAlignment="1" applyProtection="1">
      <alignment horizontal="center"/>
    </xf>
    <xf numFmtId="3" fontId="24" fillId="0" borderId="11" xfId="0" applyNumberFormat="1" applyFont="1" applyBorder="1" applyAlignment="1" applyProtection="1">
      <alignment horizontal="center"/>
    </xf>
    <xf numFmtId="164" fontId="12" fillId="13" borderId="15" xfId="0" applyFont="1" applyFill="1" applyBorder="1"/>
    <xf numFmtId="164" fontId="12" fillId="13" borderId="14" xfId="0" applyFont="1" applyFill="1" applyBorder="1"/>
    <xf numFmtId="164" fontId="12" fillId="13" borderId="0" xfId="0" applyFont="1" applyFill="1" applyBorder="1"/>
    <xf numFmtId="164" fontId="12" fillId="13" borderId="0" xfId="0" applyFont="1" applyFill="1"/>
    <xf numFmtId="164" fontId="12" fillId="13" borderId="0" xfId="0" applyFont="1" applyFill="1" applyBorder="1" applyAlignment="1">
      <alignment horizontal="right"/>
    </xf>
    <xf numFmtId="164" fontId="38" fillId="13" borderId="0" xfId="0" applyFont="1" applyFill="1" applyBorder="1"/>
    <xf numFmtId="164" fontId="12" fillId="13" borderId="14" xfId="0" applyFont="1" applyFill="1" applyBorder="1" applyAlignment="1">
      <alignment horizontal="center"/>
    </xf>
    <xf numFmtId="164" fontId="12" fillId="13" borderId="14" xfId="0" applyFont="1" applyFill="1" applyBorder="1" applyAlignment="1" applyProtection="1">
      <alignment horizontal="center"/>
      <protection locked="0"/>
    </xf>
    <xf numFmtId="164" fontId="5" fillId="13" borderId="0" xfId="0" quotePrefix="1" applyFont="1" applyFill="1" applyBorder="1"/>
    <xf numFmtId="164" fontId="12" fillId="13" borderId="19" xfId="0" applyFont="1" applyFill="1" applyBorder="1"/>
    <xf numFmtId="164" fontId="38" fillId="13" borderId="14" xfId="0" applyFont="1" applyFill="1" applyBorder="1"/>
    <xf numFmtId="164" fontId="48" fillId="13" borderId="0" xfId="3" applyFill="1" applyBorder="1"/>
    <xf numFmtId="164" fontId="39" fillId="13" borderId="20" xfId="0" applyFont="1" applyFill="1" applyBorder="1"/>
    <xf numFmtId="164" fontId="39" fillId="13" borderId="6" xfId="0" applyFont="1" applyFill="1" applyBorder="1"/>
    <xf numFmtId="164" fontId="12" fillId="13" borderId="6" xfId="0" applyFont="1" applyFill="1" applyBorder="1"/>
    <xf numFmtId="164" fontId="12" fillId="13" borderId="0" xfId="0" applyNumberFormat="1" applyFont="1" applyFill="1" applyBorder="1" applyAlignment="1" applyProtection="1">
      <alignment horizontal="fill"/>
    </xf>
    <xf numFmtId="164" fontId="12" fillId="13" borderId="0" xfId="0" applyNumberFormat="1" applyFont="1" applyFill="1" applyBorder="1" applyAlignment="1" applyProtection="1">
      <alignment horizontal="left"/>
    </xf>
    <xf numFmtId="164" fontId="23" fillId="13" borderId="18" xfId="0" applyFont="1" applyFill="1" applyBorder="1"/>
    <xf numFmtId="164" fontId="5" fillId="13" borderId="0" xfId="0" applyFont="1" applyFill="1" applyBorder="1"/>
    <xf numFmtId="164" fontId="23" fillId="13" borderId="17" xfId="0" applyFont="1" applyFill="1" applyBorder="1"/>
    <xf numFmtId="164" fontId="23" fillId="13" borderId="21" xfId="0" applyFont="1" applyFill="1" applyBorder="1"/>
    <xf numFmtId="164" fontId="5" fillId="13" borderId="11" xfId="0" quotePrefix="1" applyFont="1" applyFill="1" applyBorder="1" applyAlignment="1">
      <alignment horizontal="right"/>
    </xf>
    <xf numFmtId="164" fontId="12" fillId="13" borderId="11" xfId="0" applyNumberFormat="1" applyFont="1" applyFill="1" applyBorder="1" applyAlignment="1" applyProtection="1">
      <alignment horizontal="fill"/>
    </xf>
    <xf numFmtId="164" fontId="38" fillId="13" borderId="6" xfId="0" applyFont="1" applyFill="1" applyBorder="1"/>
    <xf numFmtId="164" fontId="12" fillId="13" borderId="14" xfId="0" applyFont="1" applyFill="1" applyBorder="1" applyAlignment="1">
      <alignment vertical="center"/>
    </xf>
    <xf numFmtId="3" fontId="12" fillId="4" borderId="2" xfId="0" applyNumberFormat="1" applyFont="1" applyFill="1" applyBorder="1" applyAlignment="1" applyProtection="1">
      <alignment horizontal="center"/>
    </xf>
    <xf numFmtId="164" fontId="38" fillId="11" borderId="15" xfId="0" applyFont="1" applyFill="1" applyBorder="1" applyAlignment="1"/>
    <xf numFmtId="164" fontId="23" fillId="11" borderId="17" xfId="0" applyFont="1" applyFill="1" applyBorder="1"/>
    <xf numFmtId="164" fontId="44" fillId="11" borderId="0" xfId="0" applyNumberFormat="1" applyFont="1" applyFill="1" applyBorder="1" applyAlignment="1" applyProtection="1">
      <alignment horizontal="left" vertical="center" wrapText="1"/>
    </xf>
    <xf numFmtId="164" fontId="44" fillId="11" borderId="12" xfId="0" applyNumberFormat="1" applyFont="1" applyFill="1" applyBorder="1" applyAlignment="1" applyProtection="1">
      <alignment horizontal="left" vertical="center" wrapText="1"/>
    </xf>
    <xf numFmtId="164" fontId="23" fillId="11" borderId="18" xfId="0" applyFont="1" applyFill="1" applyBorder="1"/>
    <xf numFmtId="164" fontId="12" fillId="11" borderId="19" xfId="0" applyFont="1" applyFill="1" applyBorder="1"/>
    <xf numFmtId="164" fontId="5" fillId="11" borderId="14" xfId="0" quotePrefix="1" applyFont="1" applyFill="1" applyBorder="1"/>
    <xf numFmtId="164" fontId="38" fillId="11" borderId="14" xfId="0" applyFont="1" applyFill="1" applyBorder="1"/>
    <xf numFmtId="164" fontId="23" fillId="11" borderId="27" xfId="0" applyFont="1" applyFill="1" applyBorder="1"/>
    <xf numFmtId="164" fontId="12" fillId="11" borderId="0" xfId="0" applyNumberFormat="1" applyFont="1" applyFill="1" applyBorder="1" applyAlignment="1" applyProtection="1">
      <alignment horizontal="center" vertical="center"/>
      <protection locked="0"/>
    </xf>
    <xf numFmtId="0" fontId="12" fillId="11" borderId="0" xfId="0" applyNumberFormat="1" applyFont="1" applyFill="1" applyBorder="1" applyAlignment="1" applyProtection="1">
      <alignment horizontal="left" vertical="center"/>
      <protection locked="0"/>
    </xf>
    <xf numFmtId="164" fontId="41" fillId="11" borderId="0" xfId="0" applyNumberFormat="1" applyFont="1" applyFill="1" applyBorder="1" applyAlignment="1" applyProtection="1">
      <alignment horizontal="center"/>
      <protection locked="0"/>
    </xf>
    <xf numFmtId="3" fontId="41" fillId="11" borderId="0" xfId="0" applyNumberFormat="1" applyFont="1" applyFill="1" applyBorder="1" applyAlignment="1" applyProtection="1">
      <alignment horizontal="left"/>
      <protection locked="0"/>
    </xf>
    <xf numFmtId="3" fontId="42" fillId="11" borderId="0" xfId="0" applyNumberFormat="1" applyFont="1" applyFill="1" applyBorder="1" applyAlignment="1" applyProtection="1">
      <alignment horizontal="center"/>
    </xf>
    <xf numFmtId="164" fontId="42" fillId="11" borderId="0" xfId="0" applyNumberFormat="1" applyFont="1" applyFill="1" applyBorder="1" applyAlignment="1" applyProtection="1">
      <alignment horizontal="center"/>
      <protection locked="0"/>
    </xf>
    <xf numFmtId="164" fontId="5" fillId="11" borderId="11" xfId="0" applyFont="1" applyFill="1" applyBorder="1" applyAlignment="1">
      <alignment vertical="top"/>
    </xf>
    <xf numFmtId="164" fontId="38" fillId="11" borderId="0" xfId="0" applyFont="1" applyFill="1" applyBorder="1"/>
    <xf numFmtId="164" fontId="5" fillId="0" borderId="0" xfId="0" applyFont="1" applyBorder="1" applyAlignment="1">
      <alignment horizontal="center"/>
    </xf>
    <xf numFmtId="164" fontId="5" fillId="0" borderId="11" xfId="0" applyFont="1" applyBorder="1" applyAlignment="1">
      <alignment horizontal="center"/>
    </xf>
    <xf numFmtId="164" fontId="39" fillId="0" borderId="23" xfId="0" applyFont="1" applyBorder="1" applyAlignment="1">
      <alignment horizontal="left"/>
    </xf>
    <xf numFmtId="164" fontId="45" fillId="0" borderId="23" xfId="0" applyFont="1" applyBorder="1" applyAlignment="1">
      <alignment horizontal="right"/>
    </xf>
    <xf numFmtId="164" fontId="45" fillId="0" borderId="0" xfId="0" applyFont="1" applyBorder="1" applyAlignment="1">
      <alignment horizontal="right"/>
    </xf>
    <xf numFmtId="164" fontId="5" fillId="0" borderId="0" xfId="0" applyFont="1" applyBorder="1" applyAlignment="1">
      <alignment horizontal="right"/>
    </xf>
    <xf numFmtId="164" fontId="5" fillId="0" borderId="11" xfId="0" applyNumberFormat="1" applyFont="1" applyBorder="1" applyAlignment="1" applyProtection="1">
      <alignment horizontal="center" vertical="center"/>
    </xf>
    <xf numFmtId="164" fontId="5" fillId="0" borderId="1" xfId="1" applyNumberFormat="1" applyFont="1" applyBorder="1"/>
    <xf numFmtId="164" fontId="5" fillId="0" borderId="1" xfId="1" applyNumberFormat="1" applyFont="1" applyBorder="1" applyAlignment="1" applyProtection="1">
      <alignment horizontal="center"/>
    </xf>
    <xf numFmtId="164" fontId="5" fillId="0" borderId="1" xfId="1" applyNumberFormat="1" applyFont="1" applyBorder="1" applyAlignment="1">
      <alignment horizontal="center"/>
    </xf>
    <xf numFmtId="164" fontId="5" fillId="0" borderId="1" xfId="1" applyNumberFormat="1" applyFont="1" applyBorder="1" applyAlignment="1">
      <alignment wrapText="1"/>
    </xf>
    <xf numFmtId="164" fontId="12" fillId="6" borderId="10" xfId="1" applyNumberFormat="1" applyFont="1" applyFill="1" applyBorder="1"/>
    <xf numFmtId="164" fontId="12" fillId="6" borderId="10" xfId="1" applyNumberFormat="1" applyFont="1" applyFill="1" applyBorder="1" applyProtection="1"/>
    <xf numFmtId="164" fontId="12" fillId="6" borderId="1" xfId="1" applyNumberFormat="1" applyFont="1" applyFill="1" applyBorder="1" applyProtection="1"/>
    <xf numFmtId="164" fontId="12" fillId="6" borderId="1" xfId="1" applyNumberFormat="1" applyFont="1" applyFill="1" applyBorder="1"/>
    <xf numFmtId="164" fontId="12" fillId="6" borderId="1" xfId="1" applyNumberFormat="1" applyFont="1" applyFill="1" applyBorder="1" applyAlignment="1">
      <alignment horizontal="right"/>
    </xf>
    <xf numFmtId="168" fontId="12" fillId="6" borderId="10" xfId="1" applyNumberFormat="1" applyFont="1" applyFill="1" applyBorder="1" applyProtection="1">
      <protection locked="0"/>
    </xf>
    <xf numFmtId="164" fontId="12" fillId="6" borderId="1" xfId="1" quotePrefix="1" applyNumberFormat="1" applyFont="1" applyFill="1" applyBorder="1" applyAlignment="1">
      <alignment horizontal="right"/>
    </xf>
    <xf numFmtId="164" fontId="12" fillId="6" borderId="1" xfId="1" quotePrefix="1" applyNumberFormat="1" applyFont="1" applyFill="1" applyBorder="1"/>
    <xf numFmtId="164" fontId="0" fillId="4" borderId="0" xfId="0" applyFill="1"/>
    <xf numFmtId="164" fontId="5" fillId="0" borderId="39" xfId="1" applyNumberFormat="1" applyFont="1" applyBorder="1" applyAlignment="1" applyProtection="1">
      <alignment horizontal="left"/>
    </xf>
    <xf numFmtId="164" fontId="5" fillId="0" borderId="43" xfId="0" applyFont="1" applyBorder="1" applyAlignment="1">
      <alignment wrapText="1"/>
    </xf>
    <xf numFmtId="164" fontId="12" fillId="0" borderId="14" xfId="1" applyNumberFormat="1" applyFont="1" applyBorder="1" applyAlignment="1" applyProtection="1">
      <alignment horizontal="fill"/>
    </xf>
    <xf numFmtId="164" fontId="12" fillId="0" borderId="0" xfId="1" applyNumberFormat="1" applyFont="1" applyBorder="1" applyAlignment="1" applyProtection="1">
      <alignment horizontal="fill"/>
    </xf>
    <xf numFmtId="164" fontId="12" fillId="6" borderId="40" xfId="1" applyNumberFormat="1" applyFont="1" applyFill="1" applyBorder="1" applyAlignment="1" applyProtection="1">
      <alignment horizontal="left"/>
    </xf>
    <xf numFmtId="164" fontId="12" fillId="6" borderId="43" xfId="1" applyNumberFormat="1" applyFont="1" applyFill="1" applyBorder="1" applyAlignment="1">
      <alignment horizontal="right"/>
    </xf>
    <xf numFmtId="164" fontId="12" fillId="0" borderId="14" xfId="1" applyNumberFormat="1" applyFont="1" applyBorder="1" applyAlignment="1" applyProtection="1">
      <alignment horizontal="left"/>
    </xf>
    <xf numFmtId="164" fontId="12" fillId="0" borderId="43" xfId="1" applyNumberFormat="1" applyFont="1" applyBorder="1" applyAlignment="1">
      <alignment horizontal="right"/>
    </xf>
    <xf numFmtId="164" fontId="12" fillId="6" borderId="43" xfId="1" quotePrefix="1" applyNumberFormat="1" applyFont="1" applyFill="1" applyBorder="1" applyAlignment="1">
      <alignment horizontal="right"/>
    </xf>
    <xf numFmtId="164" fontId="12" fillId="0" borderId="43" xfId="1" quotePrefix="1" applyNumberFormat="1" applyFont="1" applyBorder="1" applyAlignment="1">
      <alignment horizontal="right"/>
    </xf>
    <xf numFmtId="164" fontId="12" fillId="0" borderId="14" xfId="1" quotePrefix="1" applyNumberFormat="1" applyFont="1" applyBorder="1" applyAlignment="1" applyProtection="1">
      <alignment horizontal="left"/>
    </xf>
    <xf numFmtId="164" fontId="12" fillId="6" borderId="40" xfId="1" applyNumberFormat="1" applyFont="1" applyFill="1" applyBorder="1"/>
    <xf numFmtId="164" fontId="12" fillId="0" borderId="14" xfId="1" applyNumberFormat="1" applyFont="1" applyBorder="1"/>
    <xf numFmtId="164" fontId="12" fillId="0" borderId="20" xfId="1" applyNumberFormat="1" applyFont="1" applyBorder="1" applyAlignment="1" applyProtection="1">
      <alignment horizontal="left"/>
    </xf>
    <xf numFmtId="164" fontId="12" fillId="0" borderId="44" xfId="1" applyNumberFormat="1" applyFont="1" applyBorder="1"/>
    <xf numFmtId="164" fontId="12" fillId="0" borderId="45" xfId="1" applyNumberFormat="1" applyFont="1" applyBorder="1" applyProtection="1"/>
    <xf numFmtId="164" fontId="12" fillId="0" borderId="46" xfId="1" applyNumberFormat="1" applyFont="1" applyBorder="1" applyProtection="1"/>
    <xf numFmtId="164" fontId="12" fillId="0" borderId="46" xfId="1" applyNumberFormat="1" applyFont="1" applyBorder="1"/>
    <xf numFmtId="164" fontId="12" fillId="0" borderId="47" xfId="1" applyNumberFormat="1" applyFont="1" applyBorder="1" applyAlignment="1">
      <alignment horizontal="right"/>
    </xf>
    <xf numFmtId="164" fontId="12" fillId="4" borderId="0" xfId="0" applyFont="1" applyFill="1"/>
    <xf numFmtId="164" fontId="5" fillId="4" borderId="0" xfId="0" applyNumberFormat="1" applyFont="1" applyFill="1" applyBorder="1" applyAlignment="1" applyProtection="1">
      <alignment horizontal="center" vertical="top"/>
    </xf>
    <xf numFmtId="164" fontId="45" fillId="4" borderId="0" xfId="0" applyNumberFormat="1" applyFont="1" applyFill="1" applyBorder="1" applyAlignment="1" applyProtection="1">
      <alignment horizontal="center" vertical="top"/>
    </xf>
    <xf numFmtId="164" fontId="5" fillId="4" borderId="0" xfId="0" applyFont="1" applyFill="1" applyBorder="1" applyAlignment="1">
      <alignment horizontal="center" vertical="top"/>
    </xf>
    <xf numFmtId="164" fontId="23" fillId="4" borderId="0" xfId="0" applyFont="1" applyFill="1" applyBorder="1"/>
    <xf numFmtId="164" fontId="5" fillId="0" borderId="48" xfId="0" applyFont="1" applyBorder="1" applyAlignment="1">
      <alignment horizontal="center"/>
    </xf>
    <xf numFmtId="3" fontId="38" fillId="11" borderId="0" xfId="0" applyNumberFormat="1" applyFont="1" applyFill="1" applyBorder="1" applyAlignment="1" applyProtection="1">
      <alignment horizontal="center"/>
    </xf>
    <xf numFmtId="164" fontId="17" fillId="0" borderId="54" xfId="0" applyFont="1" applyBorder="1"/>
    <xf numFmtId="164" fontId="5" fillId="0" borderId="55" xfId="0" applyNumberFormat="1" applyFont="1" applyFill="1" applyBorder="1" applyAlignment="1" applyProtection="1">
      <alignment horizontal="center"/>
    </xf>
    <xf numFmtId="164" fontId="5" fillId="0" borderId="56" xfId="0" applyNumberFormat="1" applyFont="1" applyBorder="1" applyAlignment="1" applyProtection="1">
      <alignment horizontal="center" vertical="center"/>
    </xf>
    <xf numFmtId="164" fontId="5" fillId="0" borderId="57" xfId="0" applyFont="1" applyBorder="1" applyAlignment="1">
      <alignment horizontal="center"/>
    </xf>
    <xf numFmtId="164" fontId="5" fillId="0" borderId="52" xfId="0" applyNumberFormat="1" applyFont="1" applyBorder="1" applyAlignment="1" applyProtection="1">
      <alignment horizontal="center" vertical="top"/>
    </xf>
    <xf numFmtId="164" fontId="5" fillId="0" borderId="53" xfId="0" applyNumberFormat="1" applyFont="1" applyFill="1" applyBorder="1" applyAlignment="1" applyProtection="1">
      <alignment horizontal="center" vertical="top"/>
    </xf>
    <xf numFmtId="164" fontId="12" fillId="0" borderId="58" xfId="0" applyNumberFormat="1" applyFont="1" applyFill="1" applyBorder="1" applyAlignment="1" applyProtection="1">
      <alignment horizontal="center"/>
      <protection locked="0"/>
    </xf>
    <xf numFmtId="164" fontId="12" fillId="0" borderId="59" xfId="0" applyFont="1" applyBorder="1" applyAlignment="1">
      <alignment horizontal="center"/>
    </xf>
    <xf numFmtId="164" fontId="12" fillId="0" borderId="61" xfId="0" applyNumberFormat="1" applyFont="1" applyFill="1" applyBorder="1" applyAlignment="1" applyProtection="1">
      <alignment horizontal="center"/>
      <protection locked="0"/>
    </xf>
    <xf numFmtId="164" fontId="5" fillId="4" borderId="62" xfId="0" applyNumberFormat="1" applyFont="1" applyFill="1" applyBorder="1" applyAlignment="1" applyProtection="1">
      <alignment horizontal="center"/>
      <protection locked="0"/>
    </xf>
    <xf numFmtId="164" fontId="5" fillId="4" borderId="63" xfId="0" applyNumberFormat="1" applyFont="1" applyFill="1" applyBorder="1" applyAlignment="1" applyProtection="1">
      <alignment horizontal="center"/>
      <protection locked="0"/>
    </xf>
    <xf numFmtId="164" fontId="5" fillId="4" borderId="49" xfId="0" applyNumberFormat="1" applyFont="1" applyFill="1" applyBorder="1" applyAlignment="1" applyProtection="1">
      <alignment horizontal="center"/>
      <protection locked="0"/>
    </xf>
    <xf numFmtId="3" fontId="5" fillId="4" borderId="63" xfId="0" applyNumberFormat="1" applyFont="1" applyFill="1" applyBorder="1" applyAlignment="1" applyProtection="1">
      <alignment horizontal="center"/>
    </xf>
    <xf numFmtId="3" fontId="5" fillId="4" borderId="49" xfId="0" applyNumberFormat="1" applyFont="1" applyFill="1" applyBorder="1" applyAlignment="1" applyProtection="1">
      <alignment horizontal="center"/>
      <protection locked="0"/>
    </xf>
    <xf numFmtId="9" fontId="5" fillId="4" borderId="63" xfId="0" applyNumberFormat="1" applyFont="1" applyFill="1" applyBorder="1" applyAlignment="1" applyProtection="1">
      <alignment horizontal="center"/>
      <protection locked="0"/>
    </xf>
    <xf numFmtId="164" fontId="5" fillId="4" borderId="64" xfId="0" applyFont="1" applyFill="1" applyBorder="1" applyAlignment="1">
      <alignment horizontal="center"/>
    </xf>
    <xf numFmtId="164" fontId="17" fillId="0" borderId="50" xfId="0" applyFont="1" applyBorder="1"/>
    <xf numFmtId="164" fontId="22" fillId="0" borderId="48" xfId="0" applyFont="1" applyBorder="1" applyAlignment="1">
      <alignment horizontal="center"/>
    </xf>
    <xf numFmtId="164" fontId="17" fillId="0" borderId="48" xfId="0" applyFont="1" applyBorder="1"/>
    <xf numFmtId="164" fontId="5" fillId="0" borderId="51" xfId="0" applyNumberFormat="1" applyFont="1" applyFill="1" applyBorder="1" applyAlignment="1" applyProtection="1">
      <alignment horizontal="center"/>
    </xf>
    <xf numFmtId="164" fontId="44" fillId="0" borderId="0" xfId="0" applyFont="1" applyBorder="1" applyAlignment="1">
      <alignment horizontal="center"/>
    </xf>
    <xf numFmtId="164" fontId="12" fillId="3" borderId="61" xfId="0" applyNumberFormat="1" applyFont="1" applyFill="1" applyBorder="1" applyAlignment="1" applyProtection="1">
      <alignment horizontal="center" vertical="center"/>
      <protection locked="0"/>
    </xf>
    <xf numFmtId="164" fontId="5" fillId="0" borderId="60" xfId="0" applyFont="1" applyBorder="1" applyAlignment="1">
      <alignment horizontal="center" vertical="center"/>
    </xf>
    <xf numFmtId="3" fontId="5" fillId="0" borderId="67" xfId="0" applyNumberFormat="1" applyFont="1" applyBorder="1" applyAlignment="1">
      <alignment horizontal="center"/>
    </xf>
    <xf numFmtId="3" fontId="5" fillId="0" borderId="67" xfId="0" applyNumberFormat="1" applyFont="1" applyFill="1" applyBorder="1" applyAlignment="1" applyProtection="1">
      <alignment horizontal="center"/>
      <protection locked="0"/>
    </xf>
    <xf numFmtId="171" fontId="5" fillId="0" borderId="67" xfId="0" applyNumberFormat="1" applyFont="1" applyFill="1" applyBorder="1" applyAlignment="1" applyProtection="1">
      <alignment horizontal="center"/>
    </xf>
    <xf numFmtId="9" fontId="5" fillId="0" borderId="67" xfId="0" applyNumberFormat="1" applyFont="1" applyFill="1" applyBorder="1" applyAlignment="1" applyProtection="1">
      <alignment horizontal="center"/>
      <protection locked="0"/>
    </xf>
    <xf numFmtId="164" fontId="5" fillId="0" borderId="68" xfId="0" applyFont="1" applyFill="1" applyBorder="1" applyAlignment="1">
      <alignment horizontal="center"/>
    </xf>
    <xf numFmtId="164" fontId="12" fillId="4" borderId="0" xfId="0" applyFont="1" applyFill="1" applyBorder="1" applyAlignment="1" applyProtection="1">
      <alignment horizontal="right"/>
    </xf>
    <xf numFmtId="164" fontId="39" fillId="0" borderId="26" xfId="0" applyFont="1" applyBorder="1" applyAlignment="1">
      <alignment horizontal="left"/>
    </xf>
    <xf numFmtId="3" fontId="24" fillId="0" borderId="0" xfId="0" applyNumberFormat="1" applyFont="1" applyBorder="1" applyAlignment="1" applyProtection="1">
      <alignment horizontal="center"/>
    </xf>
    <xf numFmtId="164" fontId="0" fillId="0" borderId="24" xfId="0" applyBorder="1" applyProtection="1"/>
    <xf numFmtId="164" fontId="8" fillId="0" borderId="11" xfId="0" applyFont="1" applyFill="1" applyBorder="1" applyAlignment="1" applyProtection="1">
      <alignment horizontal="center"/>
    </xf>
    <xf numFmtId="164" fontId="6" fillId="0" borderId="11" xfId="0" applyFont="1" applyBorder="1" applyProtection="1"/>
    <xf numFmtId="164" fontId="17" fillId="0" borderId="11" xfId="0" applyFont="1" applyBorder="1" applyProtection="1"/>
    <xf numFmtId="164" fontId="0" fillId="0" borderId="11" xfId="0" applyBorder="1" applyProtection="1"/>
    <xf numFmtId="164" fontId="12" fillId="0" borderId="22" xfId="0" applyFont="1" applyBorder="1"/>
    <xf numFmtId="164" fontId="0" fillId="0" borderId="23" xfId="0" applyBorder="1" applyProtection="1"/>
    <xf numFmtId="164" fontId="12" fillId="0" borderId="22" xfId="0" applyFont="1" applyBorder="1" applyProtection="1"/>
    <xf numFmtId="164" fontId="5" fillId="0" borderId="26" xfId="0" applyFont="1" applyBorder="1" applyAlignment="1" applyProtection="1">
      <alignment horizontal="right"/>
    </xf>
    <xf numFmtId="164" fontId="5" fillId="0" borderId="12" xfId="0" applyFont="1" applyBorder="1" applyAlignment="1" applyProtection="1">
      <alignment horizontal="right"/>
    </xf>
    <xf numFmtId="164" fontId="12" fillId="0" borderId="13" xfId="0" applyFont="1" applyBorder="1" applyProtection="1"/>
    <xf numFmtId="164" fontId="12" fillId="0" borderId="11" xfId="0" applyFont="1" applyBorder="1" applyAlignment="1" applyProtection="1">
      <alignment horizontal="right"/>
    </xf>
    <xf numFmtId="164" fontId="12" fillId="0" borderId="19" xfId="0" applyFont="1" applyBorder="1"/>
    <xf numFmtId="164" fontId="12" fillId="0" borderId="19" xfId="0" applyFont="1" applyBorder="1" applyProtection="1"/>
    <xf numFmtId="164" fontId="0" fillId="0" borderId="26" xfId="0" applyBorder="1" applyProtection="1"/>
    <xf numFmtId="164" fontId="12" fillId="0" borderId="12" xfId="0" applyFont="1" applyBorder="1"/>
    <xf numFmtId="164" fontId="38" fillId="10" borderId="0" xfId="0" applyFont="1" applyFill="1" applyBorder="1"/>
    <xf numFmtId="164" fontId="12" fillId="10" borderId="18" xfId="0" applyFont="1" applyFill="1" applyBorder="1"/>
    <xf numFmtId="164" fontId="0" fillId="10" borderId="0" xfId="0" applyFill="1" applyBorder="1" applyProtection="1"/>
    <xf numFmtId="164" fontId="12" fillId="10" borderId="6" xfId="0" applyNumberFormat="1" applyFont="1" applyFill="1" applyBorder="1" applyAlignment="1" applyProtection="1">
      <alignment horizontal="center"/>
    </xf>
    <xf numFmtId="164" fontId="0" fillId="10" borderId="23" xfId="0" applyFill="1" applyBorder="1" applyProtection="1"/>
    <xf numFmtId="164" fontId="5" fillId="10" borderId="0" xfId="0" applyFont="1" applyFill="1" applyBorder="1" applyAlignment="1" applyProtection="1">
      <alignment horizontal="right"/>
    </xf>
    <xf numFmtId="3" fontId="5" fillId="10" borderId="0" xfId="0" applyNumberFormat="1" applyFont="1" applyFill="1" applyBorder="1" applyAlignment="1" applyProtection="1">
      <alignment horizontal="center"/>
    </xf>
    <xf numFmtId="164" fontId="12" fillId="10" borderId="19" xfId="0" applyFont="1" applyFill="1" applyBorder="1" applyProtection="1"/>
    <xf numFmtId="164" fontId="22" fillId="10" borderId="14" xfId="0" applyFont="1" applyFill="1" applyBorder="1" applyAlignment="1">
      <alignment vertical="center"/>
    </xf>
    <xf numFmtId="164" fontId="22" fillId="10" borderId="0" xfId="0" applyFont="1" applyFill="1" applyBorder="1" applyAlignment="1">
      <alignment vertical="center"/>
    </xf>
    <xf numFmtId="3" fontId="24" fillId="0" borderId="0" xfId="0" applyNumberFormat="1" applyFont="1" applyBorder="1" applyAlignment="1" applyProtection="1">
      <alignment horizontal="right"/>
    </xf>
    <xf numFmtId="164" fontId="5" fillId="3" borderId="1" xfId="0" applyFont="1" applyFill="1" applyBorder="1" applyAlignment="1" applyProtection="1">
      <alignment horizontal="right" vertical="center"/>
      <protection locked="0"/>
    </xf>
    <xf numFmtId="3" fontId="5" fillId="7" borderId="1" xfId="0" applyNumberFormat="1" applyFont="1" applyFill="1" applyBorder="1" applyAlignment="1" applyProtection="1">
      <alignment horizontal="right"/>
      <protection locked="0"/>
    </xf>
    <xf numFmtId="164" fontId="5" fillId="7" borderId="1" xfId="0" applyFont="1" applyFill="1" applyBorder="1" applyAlignment="1" applyProtection="1">
      <alignment horizontal="right"/>
      <protection locked="0"/>
    </xf>
    <xf numFmtId="164" fontId="5" fillId="3" borderId="1" xfId="0" applyFont="1" applyFill="1" applyBorder="1" applyAlignment="1" applyProtection="1">
      <alignment horizontal="right"/>
      <protection locked="0"/>
    </xf>
    <xf numFmtId="164" fontId="12" fillId="10" borderId="0" xfId="0" applyNumberFormat="1" applyFont="1" applyFill="1" applyBorder="1" applyAlignment="1" applyProtection="1">
      <alignment horizontal="center"/>
    </xf>
    <xf numFmtId="164" fontId="12" fillId="10" borderId="0" xfId="0" quotePrefix="1" applyNumberFormat="1" applyFont="1" applyFill="1" applyBorder="1" applyAlignment="1" applyProtection="1">
      <alignment horizontal="center"/>
    </xf>
    <xf numFmtId="164" fontId="12" fillId="10" borderId="0" xfId="0" applyFont="1" applyFill="1" applyBorder="1" applyAlignment="1">
      <alignment horizontal="center"/>
    </xf>
    <xf numFmtId="164" fontId="12" fillId="13" borderId="70" xfId="0" applyFont="1" applyFill="1" applyBorder="1"/>
    <xf numFmtId="164" fontId="12" fillId="13" borderId="71" xfId="0" applyFont="1" applyFill="1" applyBorder="1"/>
    <xf numFmtId="164" fontId="38" fillId="13" borderId="71" xfId="0" applyFont="1" applyFill="1" applyBorder="1"/>
    <xf numFmtId="164" fontId="12" fillId="11" borderId="69" xfId="0" applyFont="1" applyFill="1" applyBorder="1"/>
    <xf numFmtId="164" fontId="44" fillId="4" borderId="14" xfId="0" applyFont="1" applyFill="1" applyBorder="1" applyAlignment="1" applyProtection="1">
      <alignment horizontal="center"/>
    </xf>
    <xf numFmtId="168" fontId="5" fillId="4" borderId="0" xfId="0" applyNumberFormat="1" applyFont="1" applyFill="1" applyBorder="1" applyAlignment="1" applyProtection="1">
      <alignment horizontal="center"/>
    </xf>
    <xf numFmtId="164" fontId="12" fillId="4" borderId="1" xfId="0" applyNumberFormat="1" applyFont="1" applyFill="1" applyBorder="1" applyAlignment="1" applyProtection="1">
      <alignment horizontal="center"/>
      <protection locked="0"/>
    </xf>
    <xf numFmtId="1" fontId="15" fillId="4" borderId="1" xfId="0" applyNumberFormat="1" applyFont="1" applyFill="1" applyBorder="1" applyAlignment="1" applyProtection="1">
      <alignment horizontal="center"/>
    </xf>
    <xf numFmtId="164" fontId="12" fillId="4" borderId="10" xfId="0" applyFont="1" applyFill="1" applyBorder="1" applyAlignment="1" applyProtection="1">
      <alignment horizontal="center"/>
    </xf>
    <xf numFmtId="164" fontId="5" fillId="0" borderId="13" xfId="0" applyFont="1" applyBorder="1" applyAlignment="1">
      <alignment horizontal="center" vertical="center"/>
    </xf>
    <xf numFmtId="164" fontId="5" fillId="0" borderId="1" xfId="0" applyFont="1" applyBorder="1" applyAlignment="1">
      <alignment horizontal="center" wrapText="1" shrinkToFit="1"/>
    </xf>
    <xf numFmtId="164" fontId="5" fillId="0" borderId="12" xfId="0" applyFont="1" applyBorder="1" applyAlignment="1">
      <alignment horizontal="center" vertical="center"/>
    </xf>
    <xf numFmtId="164" fontId="5" fillId="0" borderId="9" xfId="0" applyFont="1" applyBorder="1" applyAlignment="1">
      <alignment horizontal="center" vertical="center"/>
    </xf>
    <xf numFmtId="2" fontId="5" fillId="0" borderId="9" xfId="0" applyNumberFormat="1" applyFont="1" applyBorder="1" applyAlignment="1">
      <alignment horizontal="center" vertical="center"/>
    </xf>
    <xf numFmtId="164" fontId="12" fillId="0" borderId="81" xfId="0" applyFont="1" applyBorder="1" applyAlignment="1">
      <alignment horizontal="center" wrapText="1"/>
    </xf>
    <xf numFmtId="168" fontId="12" fillId="0" borderId="0" xfId="0" quotePrefix="1" applyNumberFormat="1" applyFont="1" applyBorder="1" applyAlignment="1">
      <alignment horizontal="center"/>
    </xf>
    <xf numFmtId="168" fontId="12" fillId="0" borderId="0" xfId="0" applyNumberFormat="1" applyFont="1" applyBorder="1" applyAlignment="1">
      <alignment horizontal="center"/>
    </xf>
    <xf numFmtId="164" fontId="12" fillId="0" borderId="81" xfId="0" applyFont="1" applyBorder="1" applyAlignment="1">
      <alignment horizontal="center"/>
    </xf>
    <xf numFmtId="164" fontId="12" fillId="0" borderId="13" xfId="0" applyFont="1" applyBorder="1"/>
    <xf numFmtId="164" fontId="12" fillId="0" borderId="2" xfId="0" applyFont="1" applyBorder="1" applyAlignment="1">
      <alignment horizontal="center"/>
    </xf>
    <xf numFmtId="168" fontId="12" fillId="0" borderId="12" xfId="0" applyNumberFormat="1" applyFont="1" applyBorder="1" applyAlignment="1">
      <alignment horizontal="center"/>
    </xf>
    <xf numFmtId="168" fontId="12" fillId="0" borderId="12" xfId="0" quotePrefix="1" applyNumberFormat="1" applyFont="1" applyBorder="1" applyAlignment="1">
      <alignment horizontal="center"/>
    </xf>
    <xf numFmtId="164" fontId="0" fillId="4" borderId="82" xfId="0" applyFill="1" applyBorder="1" applyAlignment="1"/>
    <xf numFmtId="164" fontId="0" fillId="4" borderId="83" xfId="0" applyFill="1" applyBorder="1" applyAlignment="1"/>
    <xf numFmtId="164" fontId="12" fillId="0" borderId="41" xfId="0" applyFont="1" applyBorder="1" applyAlignment="1">
      <alignment horizontal="center" wrapText="1"/>
    </xf>
    <xf numFmtId="164" fontId="5" fillId="0" borderId="25" xfId="0" applyFont="1" applyBorder="1" applyAlignment="1">
      <alignment horizontal="center" vertical="center"/>
    </xf>
    <xf numFmtId="164" fontId="12" fillId="0" borderId="14" xfId="0" applyFont="1" applyBorder="1" applyAlignment="1">
      <alignment horizontal="center"/>
    </xf>
    <xf numFmtId="168" fontId="12" fillId="0" borderId="18" xfId="0" quotePrefix="1" applyNumberFormat="1" applyFont="1" applyBorder="1" applyAlignment="1">
      <alignment horizontal="center"/>
    </xf>
    <xf numFmtId="168" fontId="12" fillId="0" borderId="18" xfId="0" applyNumberFormat="1" applyFont="1" applyBorder="1" applyAlignment="1">
      <alignment horizontal="center"/>
    </xf>
    <xf numFmtId="168" fontId="12" fillId="0" borderId="42" xfId="0" applyNumberFormat="1" applyFont="1" applyBorder="1" applyAlignment="1">
      <alignment horizontal="center"/>
    </xf>
    <xf numFmtId="164" fontId="12" fillId="0" borderId="41" xfId="0" applyFont="1" applyBorder="1" applyAlignment="1">
      <alignment horizontal="center"/>
    </xf>
    <xf numFmtId="164" fontId="55" fillId="4" borderId="6" xfId="0" applyFont="1" applyFill="1" applyBorder="1"/>
    <xf numFmtId="164" fontId="12" fillId="0" borderId="86" xfId="0" applyFont="1" applyFill="1" applyBorder="1"/>
    <xf numFmtId="164" fontId="38" fillId="0" borderId="16" xfId="0" applyFont="1" applyBorder="1"/>
    <xf numFmtId="164" fontId="38" fillId="0" borderId="0" xfId="0" applyFont="1" applyBorder="1"/>
    <xf numFmtId="164" fontId="39" fillId="4" borderId="0" xfId="0" applyNumberFormat="1" applyFont="1" applyFill="1" applyBorder="1" applyAlignment="1" applyProtection="1">
      <alignment horizontal="center" vertical="top"/>
    </xf>
    <xf numFmtId="3" fontId="44" fillId="8" borderId="9" xfId="0" applyNumberFormat="1" applyFont="1" applyFill="1" applyBorder="1" applyAlignment="1" applyProtection="1">
      <alignment horizontal="center"/>
    </xf>
    <xf numFmtId="3" fontId="12" fillId="8" borderId="9" xfId="0" applyNumberFormat="1" applyFont="1" applyFill="1" applyBorder="1" applyAlignment="1" applyProtection="1">
      <alignment horizontal="center"/>
    </xf>
    <xf numFmtId="3" fontId="12" fillId="8" borderId="10" xfId="0" applyNumberFormat="1" applyFont="1" applyFill="1" applyBorder="1" applyAlignment="1" applyProtection="1">
      <alignment horizontal="center"/>
    </xf>
    <xf numFmtId="164" fontId="12" fillId="8" borderId="8" xfId="0" applyNumberFormat="1" applyFont="1" applyFill="1" applyBorder="1" applyAlignment="1" applyProtection="1">
      <alignment horizontal="right"/>
    </xf>
    <xf numFmtId="164" fontId="12" fillId="8" borderId="9" xfId="0" applyFont="1" applyFill="1" applyBorder="1" applyAlignment="1" applyProtection="1">
      <alignment horizontal="center"/>
      <protection locked="0"/>
    </xf>
    <xf numFmtId="3" fontId="12" fillId="8" borderId="9" xfId="0" applyNumberFormat="1" applyFont="1" applyFill="1" applyBorder="1" applyAlignment="1" applyProtection="1">
      <alignment horizontal="center"/>
      <protection locked="0"/>
    </xf>
    <xf numFmtId="168" fontId="12" fillId="8" borderId="9" xfId="0" applyNumberFormat="1" applyFont="1" applyFill="1" applyBorder="1" applyAlignment="1" applyProtection="1">
      <alignment horizontal="center"/>
      <protection locked="0"/>
    </xf>
    <xf numFmtId="168" fontId="12" fillId="8" borderId="11" xfId="0" applyNumberFormat="1" applyFont="1" applyFill="1" applyBorder="1" applyAlignment="1" applyProtection="1">
      <alignment horizontal="center"/>
      <protection locked="0"/>
    </xf>
    <xf numFmtId="3" fontId="12" fillId="8" borderId="11" xfId="0" applyNumberFormat="1" applyFont="1" applyFill="1" applyBorder="1" applyAlignment="1" applyProtection="1">
      <alignment horizontal="center"/>
    </xf>
    <xf numFmtId="3" fontId="12" fillId="8" borderId="22" xfId="0" applyNumberFormat="1" applyFont="1" applyFill="1" applyBorder="1" applyAlignment="1" applyProtection="1">
      <alignment horizontal="center"/>
    </xf>
    <xf numFmtId="3" fontId="12" fillId="8" borderId="12" xfId="0" applyNumberFormat="1" applyFont="1" applyFill="1" applyBorder="1" applyAlignment="1" applyProtection="1">
      <alignment horizontal="center"/>
    </xf>
    <xf numFmtId="3" fontId="12" fillId="8" borderId="13" xfId="0" applyNumberFormat="1" applyFont="1" applyFill="1" applyBorder="1" applyAlignment="1" applyProtection="1">
      <alignment horizontal="center"/>
    </xf>
    <xf numFmtId="164" fontId="12" fillId="8" borderId="8" xfId="0" applyNumberFormat="1" applyFont="1" applyFill="1" applyBorder="1" applyAlignment="1" applyProtection="1">
      <alignment horizontal="left"/>
    </xf>
    <xf numFmtId="164" fontId="12" fillId="8" borderId="8" xfId="0" applyNumberFormat="1" applyFont="1" applyFill="1" applyBorder="1" applyAlignment="1" applyProtection="1">
      <alignment horizontal="fill"/>
    </xf>
    <xf numFmtId="164" fontId="12" fillId="8" borderId="9" xfId="0" applyNumberFormat="1" applyFont="1" applyFill="1" applyBorder="1" applyAlignment="1" applyProtection="1">
      <alignment horizontal="fill"/>
    </xf>
    <xf numFmtId="164" fontId="12" fillId="8" borderId="10" xfId="0" applyNumberFormat="1" applyFont="1" applyFill="1" applyBorder="1" applyAlignment="1" applyProtection="1">
      <alignment horizontal="fill"/>
    </xf>
    <xf numFmtId="3" fontId="44" fillId="8" borderId="12" xfId="0" applyNumberFormat="1" applyFont="1" applyFill="1" applyBorder="1" applyAlignment="1" applyProtection="1">
      <alignment horizontal="center"/>
    </xf>
    <xf numFmtId="164" fontId="5" fillId="13" borderId="0" xfId="0" applyFont="1" applyFill="1" applyAlignment="1">
      <alignment horizontal="left"/>
    </xf>
    <xf numFmtId="164" fontId="0" fillId="14" borderId="0" xfId="0" applyFill="1"/>
    <xf numFmtId="164" fontId="11" fillId="14" borderId="0" xfId="0" applyFont="1" applyFill="1"/>
    <xf numFmtId="164" fontId="26" fillId="14" borderId="0" xfId="0" applyFont="1" applyFill="1" applyAlignment="1"/>
    <xf numFmtId="164" fontId="7" fillId="14" borderId="0" xfId="0" applyFont="1" applyFill="1"/>
    <xf numFmtId="164" fontId="0" fillId="14" borderId="0" xfId="0" applyFill="1" applyAlignment="1">
      <alignment wrapText="1"/>
    </xf>
    <xf numFmtId="164" fontId="8" fillId="14" borderId="0" xfId="0" applyFont="1" applyFill="1"/>
    <xf numFmtId="164" fontId="2" fillId="14" borderId="0" xfId="0" applyFont="1" applyFill="1"/>
    <xf numFmtId="164" fontId="8" fillId="4" borderId="0" xfId="0" applyFont="1" applyFill="1" applyAlignment="1">
      <alignment wrapText="1"/>
    </xf>
    <xf numFmtId="164" fontId="34" fillId="4" borderId="18" xfId="0" applyFont="1" applyFill="1" applyBorder="1" applyAlignment="1">
      <alignment horizontal="center"/>
    </xf>
    <xf numFmtId="164" fontId="7" fillId="4" borderId="0" xfId="0" applyFont="1" applyFill="1"/>
    <xf numFmtId="164" fontId="34" fillId="4" borderId="18" xfId="0" applyFont="1" applyFill="1" applyBorder="1" applyAlignment="1"/>
    <xf numFmtId="164" fontId="28" fillId="4" borderId="18" xfId="0" applyFont="1" applyFill="1" applyBorder="1"/>
    <xf numFmtId="164" fontId="0" fillId="4" borderId="18" xfId="0" applyFill="1" applyBorder="1" applyAlignment="1">
      <alignment wrapText="1"/>
    </xf>
    <xf numFmtId="164" fontId="8" fillId="4" borderId="0" xfId="0" applyFont="1" applyFill="1" applyBorder="1" applyAlignment="1">
      <alignment horizontal="left"/>
    </xf>
    <xf numFmtId="164" fontId="8" fillId="4" borderId="0" xfId="0" applyFont="1" applyFill="1" applyBorder="1" applyAlignment="1">
      <alignment horizontal="left" wrapText="1"/>
    </xf>
    <xf numFmtId="164" fontId="8" fillId="4" borderId="6" xfId="0" applyFont="1" applyFill="1" applyBorder="1" applyAlignment="1">
      <alignment wrapText="1"/>
    </xf>
    <xf numFmtId="164" fontId="8" fillId="4" borderId="0" xfId="0" applyFont="1" applyFill="1" applyBorder="1" applyAlignment="1">
      <alignment wrapText="1"/>
    </xf>
    <xf numFmtId="164" fontId="26" fillId="4" borderId="0" xfId="0" applyFont="1" applyFill="1" applyBorder="1"/>
    <xf numFmtId="164" fontId="14" fillId="4" borderId="0" xfId="0" applyFont="1" applyFill="1" applyBorder="1"/>
    <xf numFmtId="164" fontId="57" fillId="4" borderId="0" xfId="0" applyFont="1" applyFill="1" applyBorder="1" applyAlignment="1">
      <alignment wrapText="1"/>
    </xf>
    <xf numFmtId="164" fontId="14" fillId="4" borderId="0" xfId="0" applyFont="1" applyFill="1" applyBorder="1" applyAlignment="1"/>
    <xf numFmtId="164" fontId="29" fillId="4" borderId="0" xfId="0" applyFont="1" applyFill="1" applyBorder="1" applyAlignment="1">
      <alignment wrapText="1"/>
    </xf>
    <xf numFmtId="164" fontId="27" fillId="4" borderId="0" xfId="0" applyFont="1" applyFill="1" applyBorder="1" applyAlignment="1">
      <alignment wrapText="1"/>
    </xf>
    <xf numFmtId="164" fontId="14" fillId="4" borderId="0" xfId="0" applyFont="1" applyFill="1" applyBorder="1" applyAlignment="1">
      <alignment wrapText="1"/>
    </xf>
    <xf numFmtId="164" fontId="8" fillId="4" borderId="0" xfId="0" applyFont="1" applyFill="1" applyBorder="1"/>
    <xf numFmtId="164" fontId="26" fillId="4" borderId="0" xfId="0" applyFont="1" applyFill="1" applyBorder="1" applyAlignment="1"/>
    <xf numFmtId="164" fontId="8" fillId="4" borderId="0" xfId="0" applyFont="1" applyFill="1" applyBorder="1" applyAlignment="1"/>
    <xf numFmtId="164" fontId="12" fillId="4" borderId="0" xfId="0" applyFont="1" applyFill="1" applyBorder="1" applyAlignment="1">
      <alignment horizontal="center" wrapText="1"/>
    </xf>
    <xf numFmtId="164" fontId="34" fillId="4" borderId="0" xfId="0" applyFont="1" applyFill="1" applyBorder="1" applyAlignment="1">
      <alignment horizontal="center"/>
    </xf>
    <xf numFmtId="164" fontId="56" fillId="4" borderId="0" xfId="0" applyFont="1" applyFill="1" applyBorder="1" applyAlignment="1">
      <alignment horizontal="center" wrapText="1"/>
    </xf>
    <xf numFmtId="164" fontId="7" fillId="4" borderId="0" xfId="0" applyFont="1" applyFill="1" applyBorder="1" applyAlignment="1">
      <alignment horizontal="center" wrapText="1"/>
    </xf>
    <xf numFmtId="164" fontId="64" fillId="4" borderId="0" xfId="3" applyFont="1" applyFill="1" applyBorder="1"/>
    <xf numFmtId="164" fontId="65" fillId="4" borderId="0" xfId="0" applyFont="1" applyFill="1" applyBorder="1" applyAlignment="1"/>
    <xf numFmtId="164" fontId="7" fillId="4" borderId="0" xfId="0" applyFont="1" applyFill="1" applyBorder="1" applyAlignment="1"/>
    <xf numFmtId="164" fontId="64" fillId="4" borderId="0" xfId="3" applyFont="1" applyFill="1" applyBorder="1" applyAlignment="1"/>
    <xf numFmtId="164" fontId="64" fillId="4" borderId="0" xfId="3" applyFont="1" applyFill="1" applyBorder="1" applyAlignment="1">
      <alignment wrapText="1"/>
    </xf>
    <xf numFmtId="164" fontId="5" fillId="4" borderId="0" xfId="0" applyFont="1" applyFill="1" applyBorder="1"/>
    <xf numFmtId="164" fontId="5" fillId="4" borderId="0" xfId="0" applyFont="1" applyFill="1" applyBorder="1" applyAlignment="1"/>
    <xf numFmtId="164" fontId="5" fillId="4" borderId="0" xfId="0" applyFont="1" applyFill="1" applyBorder="1" applyAlignment="1">
      <alignment horizontal="right"/>
    </xf>
    <xf numFmtId="164" fontId="5" fillId="4" borderId="0" xfId="0" applyFont="1" applyFill="1" applyBorder="1" applyAlignment="1">
      <alignment wrapText="1"/>
    </xf>
    <xf numFmtId="164" fontId="66" fillId="4" borderId="18" xfId="3" applyFont="1" applyFill="1" applyBorder="1" applyAlignment="1">
      <alignment horizontal="right"/>
    </xf>
    <xf numFmtId="49" fontId="7" fillId="4" borderId="0" xfId="0" applyNumberFormat="1" applyFont="1" applyFill="1" applyAlignment="1">
      <alignment wrapText="1"/>
    </xf>
    <xf numFmtId="49" fontId="65" fillId="4" borderId="0" xfId="0" applyNumberFormat="1" applyFont="1" applyFill="1" applyAlignment="1"/>
    <xf numFmtId="164" fontId="6" fillId="4" borderId="0" xfId="0" applyFont="1" applyFill="1"/>
    <xf numFmtId="164" fontId="2" fillId="4" borderId="0" xfId="0" applyFont="1" applyFill="1"/>
    <xf numFmtId="49" fontId="7" fillId="4" borderId="0" xfId="0" applyNumberFormat="1" applyFont="1" applyFill="1" applyAlignment="1"/>
    <xf numFmtId="164" fontId="11" fillId="4" borderId="0" xfId="0" applyFont="1" applyFill="1"/>
    <xf numFmtId="164" fontId="8" fillId="4" borderId="10" xfId="0" applyFont="1" applyFill="1" applyBorder="1" applyAlignment="1">
      <alignment horizontal="center" wrapText="1"/>
    </xf>
    <xf numFmtId="164" fontId="8" fillId="4" borderId="1" xfId="0" applyFont="1" applyFill="1" applyBorder="1" applyAlignment="1">
      <alignment horizontal="center" wrapText="1"/>
    </xf>
    <xf numFmtId="164" fontId="40" fillId="4" borderId="0" xfId="0" applyFont="1" applyFill="1" applyBorder="1" applyAlignment="1">
      <alignment horizontal="left"/>
    </xf>
    <xf numFmtId="164" fontId="8" fillId="4" borderId="1" xfId="0" applyFont="1" applyFill="1" applyBorder="1"/>
    <xf numFmtId="164" fontId="37" fillId="4" borderId="0" xfId="0" applyFont="1" applyFill="1"/>
    <xf numFmtId="164" fontId="32" fillId="4" borderId="0" xfId="0" applyFont="1" applyFill="1" applyBorder="1"/>
    <xf numFmtId="49" fontId="8" fillId="4" borderId="1" xfId="0" applyNumberFormat="1" applyFont="1" applyFill="1" applyBorder="1" applyAlignment="1">
      <alignment horizontal="center" wrapText="1"/>
    </xf>
    <xf numFmtId="164" fontId="8" fillId="4" borderId="8" xfId="0" applyFont="1" applyFill="1" applyBorder="1"/>
    <xf numFmtId="164" fontId="0" fillId="4" borderId="9" xfId="0" applyFill="1" applyBorder="1"/>
    <xf numFmtId="164" fontId="0" fillId="4" borderId="11" xfId="0" applyFill="1" applyBorder="1"/>
    <xf numFmtId="164" fontId="8" fillId="4" borderId="1" xfId="0" applyFont="1" applyFill="1" applyBorder="1" applyAlignment="1">
      <alignment horizontal="center"/>
    </xf>
    <xf numFmtId="164" fontId="8" fillId="4" borderId="8" xfId="0" applyFont="1" applyFill="1" applyBorder="1" applyAlignment="1">
      <alignment horizontal="center" wrapText="1"/>
    </xf>
    <xf numFmtId="164" fontId="0" fillId="4" borderId="8" xfId="0" applyFill="1" applyBorder="1"/>
    <xf numFmtId="49" fontId="7" fillId="4" borderId="1" xfId="0" applyNumberFormat="1" applyFont="1" applyFill="1" applyBorder="1" applyAlignment="1">
      <alignment wrapText="1"/>
    </xf>
    <xf numFmtId="49" fontId="32" fillId="4" borderId="0" xfId="0" applyNumberFormat="1" applyFont="1" applyFill="1" applyAlignment="1"/>
    <xf numFmtId="49" fontId="32" fillId="4" borderId="1" xfId="0" applyNumberFormat="1" applyFont="1" applyFill="1" applyBorder="1" applyAlignment="1"/>
    <xf numFmtId="49" fontId="8" fillId="4" borderId="0" xfId="0" applyNumberFormat="1" applyFont="1" applyFill="1" applyAlignment="1"/>
    <xf numFmtId="164" fontId="2" fillId="4" borderId="1" xfId="0" applyFont="1" applyFill="1" applyBorder="1"/>
    <xf numFmtId="164" fontId="0" fillId="4" borderId="0" xfId="0" applyFill="1" applyAlignment="1"/>
    <xf numFmtId="49" fontId="0" fillId="4" borderId="0" xfId="0" applyNumberFormat="1" applyFill="1" applyAlignment="1">
      <alignment wrapText="1"/>
    </xf>
    <xf numFmtId="49" fontId="8" fillId="4" borderId="1" xfId="0" applyNumberFormat="1" applyFont="1" applyFill="1" applyBorder="1" applyAlignment="1">
      <alignment horizontal="right"/>
    </xf>
    <xf numFmtId="49" fontId="8" fillId="4" borderId="1" xfId="0" applyNumberFormat="1" applyFont="1" applyFill="1" applyBorder="1" applyAlignment="1">
      <alignment horizontal="center"/>
    </xf>
    <xf numFmtId="49" fontId="14" fillId="4" borderId="0" xfId="0" applyNumberFormat="1" applyFont="1" applyFill="1" applyAlignment="1"/>
    <xf numFmtId="164" fontId="0" fillId="14" borderId="0" xfId="0" applyFill="1" applyBorder="1"/>
    <xf numFmtId="49" fontId="7" fillId="14" borderId="14" xfId="0" applyNumberFormat="1" applyFont="1" applyFill="1" applyBorder="1" applyAlignment="1">
      <alignment wrapText="1"/>
    </xf>
    <xf numFmtId="164" fontId="0" fillId="14" borderId="18" xfId="0" applyFill="1" applyBorder="1"/>
    <xf numFmtId="49" fontId="65" fillId="14" borderId="14" xfId="0" applyNumberFormat="1" applyFont="1" applyFill="1" applyBorder="1" applyAlignment="1"/>
    <xf numFmtId="164" fontId="12" fillId="14" borderId="0" xfId="0" applyFont="1" applyFill="1" applyBorder="1"/>
    <xf numFmtId="164" fontId="6" fillId="14" borderId="0" xfId="0" applyFont="1" applyFill="1" applyBorder="1"/>
    <xf numFmtId="164" fontId="2" fillId="14" borderId="0" xfId="0" applyFont="1" applyFill="1" applyBorder="1"/>
    <xf numFmtId="49" fontId="65" fillId="14" borderId="20" xfId="0" applyNumberFormat="1" applyFont="1" applyFill="1" applyBorder="1" applyAlignment="1"/>
    <xf numFmtId="164" fontId="0" fillId="14" borderId="6" xfId="0" applyFill="1" applyBorder="1"/>
    <xf numFmtId="164" fontId="2" fillId="14" borderId="6" xfId="0" applyFont="1" applyFill="1" applyBorder="1"/>
    <xf numFmtId="164" fontId="6" fillId="14" borderId="6" xfId="0" applyFont="1" applyFill="1" applyBorder="1"/>
    <xf numFmtId="164" fontId="0" fillId="14" borderId="21" xfId="0" applyFill="1" applyBorder="1"/>
    <xf numFmtId="3" fontId="44" fillId="8" borderId="9" xfId="0" applyNumberFormat="1" applyFont="1" applyFill="1" applyBorder="1" applyAlignment="1" applyProtection="1">
      <alignment horizontal="right"/>
      <protection locked="0"/>
    </xf>
    <xf numFmtId="3" fontId="44" fillId="8" borderId="9" xfId="0" applyNumberFormat="1" applyFont="1" applyFill="1" applyBorder="1" applyAlignment="1" applyProtection="1">
      <alignment horizontal="left"/>
    </xf>
    <xf numFmtId="3" fontId="44" fillId="8" borderId="9" xfId="0" applyNumberFormat="1" applyFont="1" applyFill="1" applyBorder="1" applyAlignment="1" applyProtection="1">
      <alignment horizontal="right"/>
    </xf>
    <xf numFmtId="164" fontId="27" fillId="0" borderId="0" xfId="0" applyNumberFormat="1" applyFont="1" applyBorder="1" applyAlignment="1" applyProtection="1">
      <alignment horizontal="center" vertical="top"/>
    </xf>
    <xf numFmtId="164" fontId="27" fillId="0" borderId="0" xfId="0" applyNumberFormat="1" applyFont="1" applyBorder="1" applyAlignment="1" applyProtection="1">
      <alignment horizontal="center"/>
    </xf>
    <xf numFmtId="164" fontId="46" fillId="0" borderId="0" xfId="0" applyNumberFormat="1" applyFont="1" applyBorder="1" applyAlignment="1" applyProtection="1">
      <alignment horizontal="center"/>
    </xf>
    <xf numFmtId="164" fontId="46" fillId="0" borderId="0" xfId="0" applyFont="1" applyBorder="1" applyAlignment="1">
      <alignment horizontal="center"/>
    </xf>
    <xf numFmtId="168" fontId="44" fillId="8" borderId="9" xfId="0" applyNumberFormat="1" applyFont="1" applyFill="1" applyBorder="1" applyAlignment="1" applyProtection="1">
      <alignment horizontal="left"/>
      <protection locked="0"/>
    </xf>
    <xf numFmtId="164" fontId="27" fillId="0" borderId="0" xfId="0" applyFont="1" applyBorder="1" applyAlignment="1">
      <alignment horizontal="center"/>
    </xf>
    <xf numFmtId="164" fontId="27" fillId="0" borderId="0" xfId="0" applyFont="1" applyBorder="1"/>
    <xf numFmtId="164" fontId="69" fillId="4" borderId="2" xfId="0" applyNumberFormat="1" applyFont="1" applyFill="1" applyBorder="1" applyAlignment="1" applyProtection="1">
      <alignment horizontal="center"/>
    </xf>
    <xf numFmtId="164" fontId="69" fillId="4" borderId="88" xfId="0" applyNumberFormat="1" applyFont="1" applyFill="1" applyBorder="1" applyAlignment="1" applyProtection="1">
      <alignment horizontal="center"/>
    </xf>
    <xf numFmtId="3" fontId="68" fillId="4" borderId="0" xfId="0" applyNumberFormat="1" applyFont="1" applyFill="1" applyBorder="1" applyAlignment="1">
      <alignment horizontal="center"/>
    </xf>
    <xf numFmtId="164" fontId="68" fillId="4" borderId="0" xfId="0" applyFont="1" applyFill="1" applyBorder="1"/>
    <xf numFmtId="164" fontId="68" fillId="4" borderId="0" xfId="0" applyFont="1" applyFill="1" applyBorder="1" applyAlignment="1">
      <alignment horizontal="right"/>
    </xf>
    <xf numFmtId="164" fontId="68" fillId="4" borderId="18" xfId="0" applyFont="1" applyFill="1" applyBorder="1"/>
    <xf numFmtId="164" fontId="68" fillId="4" borderId="21" xfId="0" applyFont="1" applyFill="1" applyBorder="1"/>
    <xf numFmtId="3" fontId="68" fillId="15" borderId="0" xfId="0" applyNumberFormat="1" applyFont="1" applyFill="1" applyBorder="1" applyAlignment="1">
      <alignment horizontal="center"/>
    </xf>
    <xf numFmtId="164" fontId="69" fillId="4" borderId="12" xfId="0" applyNumberFormat="1" applyFont="1" applyFill="1" applyBorder="1" applyAlignment="1" applyProtection="1">
      <alignment horizontal="center"/>
    </xf>
    <xf numFmtId="164" fontId="69" fillId="4" borderId="91" xfId="0" applyFont="1" applyFill="1" applyBorder="1"/>
    <xf numFmtId="164" fontId="69" fillId="4" borderId="37" xfId="0" applyNumberFormat="1" applyFont="1" applyFill="1" applyBorder="1" applyAlignment="1" applyProtection="1">
      <alignment horizontal="center"/>
    </xf>
    <xf numFmtId="164" fontId="69" fillId="4" borderId="42" xfId="0" applyFont="1" applyFill="1" applyBorder="1" applyAlignment="1">
      <alignment horizontal="center"/>
    </xf>
    <xf numFmtId="164" fontId="68" fillId="0" borderId="14" xfId="0" applyFont="1" applyBorder="1"/>
    <xf numFmtId="164" fontId="68" fillId="4" borderId="92" xfId="0" applyFont="1" applyFill="1" applyBorder="1"/>
    <xf numFmtId="164" fontId="68" fillId="4" borderId="93" xfId="0" applyFont="1" applyFill="1" applyBorder="1"/>
    <xf numFmtId="164" fontId="68" fillId="4" borderId="93" xfId="0" applyFont="1" applyFill="1" applyBorder="1" applyAlignment="1">
      <alignment horizontal="right"/>
    </xf>
    <xf numFmtId="3" fontId="68" fillId="4" borderId="7" xfId="0" applyNumberFormat="1" applyFont="1" applyFill="1" applyBorder="1" applyAlignment="1">
      <alignment horizontal="center"/>
    </xf>
    <xf numFmtId="3" fontId="68" fillId="4" borderId="81" xfId="0" applyNumberFormat="1" applyFont="1" applyFill="1" applyBorder="1" applyAlignment="1">
      <alignment horizontal="center"/>
    </xf>
    <xf numFmtId="3" fontId="68" fillId="15" borderId="81" xfId="0" applyNumberFormat="1" applyFont="1" applyFill="1" applyBorder="1" applyAlignment="1">
      <alignment horizontal="center"/>
    </xf>
    <xf numFmtId="164" fontId="68" fillId="4" borderId="22" xfId="0" applyFont="1" applyFill="1" applyBorder="1"/>
    <xf numFmtId="164" fontId="68" fillId="4" borderId="19" xfId="0" applyFont="1" applyFill="1" applyBorder="1"/>
    <xf numFmtId="164" fontId="68" fillId="4" borderId="24" xfId="0" applyFont="1" applyFill="1" applyBorder="1" applyAlignment="1">
      <alignment horizontal="left"/>
    </xf>
    <xf numFmtId="164" fontId="68" fillId="4" borderId="23" xfId="0" applyFont="1" applyFill="1" applyBorder="1" applyAlignment="1">
      <alignment horizontal="left"/>
    </xf>
    <xf numFmtId="164" fontId="68" fillId="4" borderId="23" xfId="0" applyFont="1" applyFill="1" applyBorder="1"/>
    <xf numFmtId="164" fontId="69" fillId="4" borderId="94" xfId="0" applyFont="1" applyFill="1" applyBorder="1"/>
    <xf numFmtId="3" fontId="69" fillId="4" borderId="6" xfId="0" applyNumberFormat="1" applyFont="1" applyFill="1" applyBorder="1" applyAlignment="1">
      <alignment horizontal="center"/>
    </xf>
    <xf numFmtId="3" fontId="69" fillId="4" borderId="95" xfId="0" applyNumberFormat="1" applyFont="1" applyFill="1" applyBorder="1" applyAlignment="1">
      <alignment horizontal="center"/>
    </xf>
    <xf numFmtId="164" fontId="69" fillId="4" borderId="96" xfId="0" applyFont="1" applyFill="1" applyBorder="1"/>
    <xf numFmtId="164" fontId="69" fillId="4" borderId="44" xfId="0" applyFont="1" applyFill="1" applyBorder="1"/>
    <xf numFmtId="164" fontId="69" fillId="4" borderId="6" xfId="0" applyFont="1" applyFill="1" applyBorder="1"/>
    <xf numFmtId="3" fontId="68" fillId="4" borderId="12" xfId="0" applyNumberFormat="1" applyFont="1" applyFill="1" applyBorder="1" applyAlignment="1">
      <alignment horizontal="center"/>
    </xf>
    <xf numFmtId="3" fontId="68" fillId="4" borderId="2" xfId="0" applyNumberFormat="1" applyFont="1" applyFill="1" applyBorder="1" applyAlignment="1">
      <alignment horizontal="center"/>
    </xf>
    <xf numFmtId="164" fontId="68" fillId="4" borderId="26" xfId="0" applyFont="1" applyFill="1" applyBorder="1"/>
    <xf numFmtId="164" fontId="68" fillId="4" borderId="13" xfId="0" applyFont="1" applyFill="1" applyBorder="1"/>
    <xf numFmtId="164" fontId="68" fillId="4" borderId="12" xfId="0" applyFont="1" applyFill="1" applyBorder="1"/>
    <xf numFmtId="164" fontId="68" fillId="4" borderId="42" xfId="0" applyFont="1" applyFill="1" applyBorder="1"/>
    <xf numFmtId="3" fontId="68" fillId="0" borderId="0" xfId="0" applyNumberFormat="1" applyFont="1" applyBorder="1" applyAlignment="1">
      <alignment horizontal="center"/>
    </xf>
    <xf numFmtId="3" fontId="68" fillId="0" borderId="18" xfId="0" applyNumberFormat="1" applyFont="1" applyBorder="1" applyAlignment="1">
      <alignment horizontal="center"/>
    </xf>
    <xf numFmtId="164" fontId="69" fillId="0" borderId="14" xfId="0" applyFont="1" applyBorder="1"/>
    <xf numFmtId="3" fontId="69" fillId="0" borderId="0" xfId="0" applyNumberFormat="1" applyFont="1" applyBorder="1" applyAlignment="1">
      <alignment horizontal="center"/>
    </xf>
    <xf numFmtId="3" fontId="69" fillId="0" borderId="18" xfId="0" applyNumberFormat="1" applyFont="1" applyBorder="1" applyAlignment="1">
      <alignment horizontal="center"/>
    </xf>
    <xf numFmtId="164" fontId="69" fillId="0" borderId="20" xfId="0" applyFont="1" applyBorder="1"/>
    <xf numFmtId="3" fontId="69" fillId="0" borderId="6" xfId="0" applyNumberFormat="1" applyFont="1" applyBorder="1" applyAlignment="1">
      <alignment horizontal="center"/>
    </xf>
    <xf numFmtId="3" fontId="69" fillId="0" borderId="21" xfId="0" applyNumberFormat="1" applyFont="1" applyBorder="1" applyAlignment="1">
      <alignment horizontal="center"/>
    </xf>
    <xf numFmtId="164" fontId="68" fillId="0" borderId="41" xfId="0" applyFont="1" applyBorder="1"/>
    <xf numFmtId="3" fontId="68" fillId="0" borderId="12" xfId="0" applyNumberFormat="1" applyFont="1" applyBorder="1" applyAlignment="1">
      <alignment horizontal="center"/>
    </xf>
    <xf numFmtId="3" fontId="68" fillId="0" borderId="42" xfId="0" applyNumberFormat="1" applyFont="1" applyBorder="1" applyAlignment="1">
      <alignment horizontal="center"/>
    </xf>
    <xf numFmtId="164" fontId="69" fillId="0" borderId="14" xfId="0" applyFont="1" applyFill="1" applyBorder="1"/>
    <xf numFmtId="164" fontId="69" fillId="0" borderId="20" xfId="0" applyFont="1" applyFill="1" applyBorder="1"/>
    <xf numFmtId="164" fontId="69" fillId="0" borderId="82" xfId="0" applyFont="1" applyFill="1" applyBorder="1" applyAlignment="1">
      <alignment vertical="center"/>
    </xf>
    <xf numFmtId="164" fontId="69" fillId="0" borderId="97" xfId="0" applyFont="1" applyBorder="1" applyAlignment="1">
      <alignment vertical="center"/>
    </xf>
    <xf numFmtId="3" fontId="69" fillId="0" borderId="27" xfId="0" applyNumberFormat="1" applyFont="1" applyBorder="1" applyAlignment="1">
      <alignment horizontal="center"/>
    </xf>
    <xf numFmtId="3" fontId="69" fillId="0" borderId="98" xfId="0" applyNumberFormat="1" applyFont="1" applyBorder="1" applyAlignment="1">
      <alignment horizontal="center"/>
    </xf>
    <xf numFmtId="164" fontId="0" fillId="0" borderId="41" xfId="0" applyBorder="1"/>
    <xf numFmtId="164" fontId="0" fillId="0" borderId="38" xfId="0" applyBorder="1"/>
    <xf numFmtId="164" fontId="68" fillId="0" borderId="0" xfId="0" applyFont="1"/>
    <xf numFmtId="164" fontId="69" fillId="0" borderId="0" xfId="0" applyNumberFormat="1" applyFont="1" applyFill="1" applyBorder="1" applyAlignment="1" applyProtection="1">
      <alignment horizontal="center"/>
    </xf>
    <xf numFmtId="3" fontId="68" fillId="0" borderId="7" xfId="0" applyNumberFormat="1" applyFont="1" applyBorder="1" applyAlignment="1">
      <alignment horizontal="center"/>
    </xf>
    <xf numFmtId="3" fontId="68" fillId="0" borderId="81" xfId="0" applyNumberFormat="1" applyFont="1" applyBorder="1" applyAlignment="1">
      <alignment horizontal="center"/>
    </xf>
    <xf numFmtId="3" fontId="68" fillId="0" borderId="2" xfId="0" applyNumberFormat="1" applyFont="1" applyBorder="1" applyAlignment="1">
      <alignment horizontal="center"/>
    </xf>
    <xf numFmtId="3" fontId="69" fillId="0" borderId="81" xfId="0" applyNumberFormat="1" applyFont="1" applyBorder="1" applyAlignment="1">
      <alignment horizontal="center"/>
    </xf>
    <xf numFmtId="3" fontId="69" fillId="0" borderId="95" xfId="0" applyNumberFormat="1" applyFont="1" applyBorder="1" applyAlignment="1">
      <alignment horizontal="center"/>
    </xf>
    <xf numFmtId="164" fontId="68" fillId="0" borderId="0" xfId="0" applyFont="1" applyBorder="1" applyAlignment="1">
      <alignment horizontal="center"/>
    </xf>
    <xf numFmtId="164" fontId="69" fillId="4" borderId="12" xfId="0" applyNumberFormat="1" applyFont="1" applyFill="1" applyBorder="1" applyAlignment="1" applyProtection="1">
      <alignment horizontal="center" vertical="top"/>
    </xf>
    <xf numFmtId="164" fontId="69" fillId="4" borderId="42" xfId="0" applyFont="1" applyFill="1" applyBorder="1" applyAlignment="1">
      <alignment horizontal="center" vertical="top"/>
    </xf>
    <xf numFmtId="164" fontId="70" fillId="4" borderId="26" xfId="0" applyNumberFormat="1" applyFont="1" applyFill="1" applyBorder="1" applyAlignment="1" applyProtection="1">
      <alignment horizontal="center" vertical="top"/>
    </xf>
    <xf numFmtId="164" fontId="70" fillId="4" borderId="12" xfId="0" applyNumberFormat="1" applyFont="1" applyFill="1" applyBorder="1" applyAlignment="1" applyProtection="1">
      <alignment horizontal="center" vertical="top"/>
    </xf>
    <xf numFmtId="164" fontId="70" fillId="4" borderId="42" xfId="0" applyFont="1" applyFill="1" applyBorder="1" applyAlignment="1">
      <alignment horizontal="center" vertical="top"/>
    </xf>
    <xf numFmtId="164" fontId="69" fillId="4" borderId="15" xfId="0" applyFont="1" applyFill="1" applyBorder="1" applyAlignment="1">
      <alignment horizontal="center"/>
    </xf>
    <xf numFmtId="164" fontId="69" fillId="4" borderId="14" xfId="0" applyNumberFormat="1" applyFont="1" applyFill="1" applyBorder="1" applyAlignment="1" applyProtection="1">
      <alignment horizontal="center"/>
    </xf>
    <xf numFmtId="164" fontId="69" fillId="4" borderId="41" xfId="0" applyNumberFormat="1" applyFont="1" applyFill="1" applyBorder="1" applyAlignment="1" applyProtection="1">
      <alignment horizontal="center" vertical="top"/>
    </xf>
    <xf numFmtId="164" fontId="71" fillId="0" borderId="0" xfId="0" applyFont="1" applyBorder="1" applyAlignment="1"/>
    <xf numFmtId="164" fontId="69" fillId="0" borderId="0" xfId="0" applyFont="1" applyBorder="1" applyAlignment="1">
      <alignment horizontal="center"/>
    </xf>
    <xf numFmtId="164" fontId="69" fillId="4" borderId="36" xfId="0" applyFont="1" applyFill="1" applyBorder="1"/>
    <xf numFmtId="164" fontId="69" fillId="4" borderId="88" xfId="0" applyFont="1" applyFill="1" applyBorder="1"/>
    <xf numFmtId="164" fontId="69" fillId="4" borderId="88" xfId="0" applyFont="1" applyFill="1" applyBorder="1" applyAlignment="1">
      <alignment horizontal="center"/>
    </xf>
    <xf numFmtId="164" fontId="70" fillId="4" borderId="88" xfId="0" applyFont="1" applyFill="1" applyBorder="1" applyAlignment="1">
      <alignment horizontal="center"/>
    </xf>
    <xf numFmtId="164" fontId="69" fillId="4" borderId="90" xfId="0" applyFont="1" applyFill="1" applyBorder="1" applyAlignment="1">
      <alignment horizontal="center"/>
    </xf>
    <xf numFmtId="164" fontId="69" fillId="4" borderId="99" xfId="0" applyFont="1" applyFill="1" applyBorder="1" applyAlignment="1">
      <alignment horizontal="center"/>
    </xf>
    <xf numFmtId="164" fontId="69" fillId="4" borderId="81" xfId="0" applyNumberFormat="1" applyFont="1" applyFill="1" applyBorder="1" applyAlignment="1" applyProtection="1">
      <alignment horizontal="center"/>
    </xf>
    <xf numFmtId="164" fontId="70" fillId="4" borderId="81" xfId="0" applyNumberFormat="1" applyFont="1" applyFill="1" applyBorder="1" applyAlignment="1" applyProtection="1">
      <alignment horizontal="center"/>
    </xf>
    <xf numFmtId="164" fontId="69" fillId="4" borderId="19" xfId="0" applyNumberFormat="1" applyFont="1" applyFill="1" applyBorder="1" applyAlignment="1" applyProtection="1">
      <alignment horizontal="center"/>
    </xf>
    <xf numFmtId="164" fontId="69" fillId="4" borderId="23" xfId="0" applyNumberFormat="1" applyFont="1" applyFill="1" applyBorder="1" applyAlignment="1" applyProtection="1">
      <alignment horizontal="center"/>
    </xf>
    <xf numFmtId="164" fontId="69" fillId="4" borderId="27" xfId="0" applyNumberFormat="1" applyFont="1" applyFill="1" applyBorder="1" applyAlignment="1" applyProtection="1">
      <alignment horizontal="center"/>
    </xf>
    <xf numFmtId="164" fontId="69" fillId="4" borderId="2" xfId="0" applyNumberFormat="1" applyFont="1" applyFill="1" applyBorder="1" applyAlignment="1" applyProtection="1">
      <alignment horizontal="center" vertical="top"/>
    </xf>
    <xf numFmtId="164" fontId="70" fillId="4" borderId="2" xfId="0" applyNumberFormat="1" applyFont="1" applyFill="1" applyBorder="1" applyAlignment="1" applyProtection="1">
      <alignment horizontal="center" vertical="top"/>
    </xf>
    <xf numFmtId="164" fontId="69" fillId="4" borderId="13" xfId="0" applyNumberFormat="1" applyFont="1" applyFill="1" applyBorder="1" applyAlignment="1" applyProtection="1">
      <alignment horizontal="center" vertical="top"/>
    </xf>
    <xf numFmtId="164" fontId="69" fillId="4" borderId="26" xfId="0" applyFont="1" applyFill="1" applyBorder="1" applyAlignment="1">
      <alignment horizontal="center"/>
    </xf>
    <xf numFmtId="164" fontId="69" fillId="4" borderId="38" xfId="0" applyNumberFormat="1" applyFont="1" applyFill="1" applyBorder="1" applyAlignment="1" applyProtection="1">
      <alignment horizontal="center"/>
    </xf>
    <xf numFmtId="164" fontId="68" fillId="4" borderId="14" xfId="0" applyFont="1" applyFill="1" applyBorder="1" applyAlignment="1">
      <alignment horizontal="center"/>
    </xf>
    <xf numFmtId="164" fontId="68" fillId="4" borderId="7" xfId="0" applyFont="1" applyFill="1" applyBorder="1" applyAlignment="1">
      <alignment horizontal="center"/>
    </xf>
    <xf numFmtId="164" fontId="68" fillId="4" borderId="18" xfId="0" applyFont="1" applyFill="1" applyBorder="1" applyAlignment="1">
      <alignment horizontal="center"/>
    </xf>
    <xf numFmtId="164" fontId="68" fillId="4" borderId="81" xfId="0" applyFont="1" applyFill="1" applyBorder="1" applyAlignment="1">
      <alignment horizontal="center"/>
    </xf>
    <xf numFmtId="3" fontId="68" fillId="4" borderId="23" xfId="0" applyNumberFormat="1" applyFont="1" applyFill="1" applyBorder="1" applyAlignment="1">
      <alignment horizontal="center"/>
    </xf>
    <xf numFmtId="3" fontId="68" fillId="4" borderId="24" xfId="0" applyNumberFormat="1" applyFont="1" applyFill="1" applyBorder="1" applyAlignment="1">
      <alignment horizontal="center"/>
    </xf>
    <xf numFmtId="3" fontId="68" fillId="4" borderId="101" xfId="0" applyNumberFormat="1" applyFont="1" applyFill="1" applyBorder="1" applyAlignment="1">
      <alignment horizontal="center"/>
    </xf>
    <xf numFmtId="3" fontId="68" fillId="4" borderId="27" xfId="0" applyNumberFormat="1" applyFont="1" applyFill="1" applyBorder="1" applyAlignment="1">
      <alignment horizontal="center"/>
    </xf>
    <xf numFmtId="164" fontId="68" fillId="4" borderId="41" xfId="0" applyFont="1" applyFill="1" applyBorder="1" applyAlignment="1">
      <alignment horizontal="center"/>
    </xf>
    <xf numFmtId="3" fontId="68" fillId="4" borderId="26" xfId="0" applyNumberFormat="1" applyFont="1" applyFill="1" applyBorder="1" applyAlignment="1">
      <alignment horizontal="center"/>
    </xf>
    <xf numFmtId="3" fontId="68" fillId="4" borderId="38" xfId="0" applyNumberFormat="1" applyFont="1" applyFill="1" applyBorder="1" applyAlignment="1">
      <alignment horizontal="center"/>
    </xf>
    <xf numFmtId="3" fontId="69" fillId="4" borderId="100" xfId="0" applyNumberFormat="1" applyFont="1" applyFill="1" applyBorder="1" applyAlignment="1">
      <alignment horizontal="center" vertical="center"/>
    </xf>
    <xf numFmtId="164" fontId="69" fillId="4" borderId="17" xfId="0" applyFont="1" applyFill="1" applyBorder="1"/>
    <xf numFmtId="164" fontId="69" fillId="4" borderId="18" xfId="0" applyNumberFormat="1" applyFont="1" applyFill="1" applyBorder="1" applyAlignment="1" applyProtection="1">
      <alignment horizontal="center"/>
    </xf>
    <xf numFmtId="164" fontId="69" fillId="4" borderId="42" xfId="0" applyNumberFormat="1" applyFont="1" applyFill="1" applyBorder="1" applyAlignment="1" applyProtection="1">
      <alignment horizontal="center" vertical="top"/>
    </xf>
    <xf numFmtId="164" fontId="68" fillId="4" borderId="2" xfId="0" applyFont="1" applyFill="1" applyBorder="1" applyAlignment="1">
      <alignment horizontal="center"/>
    </xf>
    <xf numFmtId="164" fontId="68" fillId="4" borderId="42" xfId="0" applyFont="1" applyFill="1" applyBorder="1" applyAlignment="1">
      <alignment horizontal="center"/>
    </xf>
    <xf numFmtId="3" fontId="69" fillId="0" borderId="46" xfId="0" applyNumberFormat="1" applyFont="1" applyBorder="1" applyAlignment="1">
      <alignment horizontal="center"/>
    </xf>
    <xf numFmtId="3" fontId="69" fillId="0" borderId="47" xfId="0" applyNumberFormat="1" applyFont="1" applyBorder="1" applyAlignment="1">
      <alignment horizontal="center"/>
    </xf>
    <xf numFmtId="164" fontId="68" fillId="4" borderId="92" xfId="0" applyFont="1" applyFill="1" applyBorder="1" applyAlignment="1">
      <alignment horizontal="center" vertical="center"/>
    </xf>
    <xf numFmtId="164" fontId="68" fillId="4" borderId="7" xfId="0" applyFont="1" applyFill="1" applyBorder="1" applyAlignment="1">
      <alignment horizontal="center" vertical="center"/>
    </xf>
    <xf numFmtId="3" fontId="68" fillId="4" borderId="22" xfId="0" applyNumberFormat="1" applyFont="1" applyFill="1" applyBorder="1" applyAlignment="1">
      <alignment horizontal="center" vertical="center"/>
    </xf>
    <xf numFmtId="3" fontId="68" fillId="4" borderId="85" xfId="0" applyNumberFormat="1" applyFont="1" applyFill="1" applyBorder="1" applyAlignment="1">
      <alignment horizontal="center" vertical="center"/>
    </xf>
    <xf numFmtId="164" fontId="68" fillId="4" borderId="93" xfId="0" applyFont="1" applyFill="1" applyBorder="1" applyAlignment="1">
      <alignment horizontal="center" vertical="center"/>
    </xf>
    <xf numFmtId="164" fontId="68" fillId="4" borderId="81" xfId="0" applyFont="1" applyFill="1" applyBorder="1" applyAlignment="1">
      <alignment horizontal="center" vertical="center"/>
    </xf>
    <xf numFmtId="3" fontId="68" fillId="4" borderId="19" xfId="0" applyNumberFormat="1" applyFont="1" applyFill="1" applyBorder="1" applyAlignment="1">
      <alignment horizontal="center" vertical="center"/>
    </xf>
    <xf numFmtId="3" fontId="68" fillId="4" borderId="18" xfId="0" applyNumberFormat="1" applyFont="1" applyFill="1" applyBorder="1" applyAlignment="1">
      <alignment horizontal="center" vertical="center"/>
    </xf>
    <xf numFmtId="164" fontId="68" fillId="4" borderId="37" xfId="0" applyFont="1" applyFill="1" applyBorder="1" applyAlignment="1">
      <alignment horizontal="center" vertical="center"/>
    </xf>
    <xf numFmtId="164" fontId="68" fillId="4" borderId="2" xfId="0" applyFont="1" applyFill="1" applyBorder="1" applyAlignment="1">
      <alignment horizontal="center" vertical="center"/>
    </xf>
    <xf numFmtId="3" fontId="68" fillId="4" borderId="13" xfId="0" applyNumberFormat="1" applyFont="1" applyFill="1" applyBorder="1" applyAlignment="1">
      <alignment horizontal="center" vertical="center"/>
    </xf>
    <xf numFmtId="3" fontId="68" fillId="4" borderId="42" xfId="0" applyNumberFormat="1" applyFont="1" applyFill="1" applyBorder="1" applyAlignment="1">
      <alignment horizontal="center" vertical="center"/>
    </xf>
    <xf numFmtId="3" fontId="69" fillId="4" borderId="47" xfId="0" applyNumberFormat="1" applyFont="1" applyFill="1" applyBorder="1" applyAlignment="1">
      <alignment horizontal="center" vertical="center"/>
    </xf>
    <xf numFmtId="3" fontId="69" fillId="0" borderId="104" xfId="0" applyNumberFormat="1" applyFont="1" applyBorder="1" applyAlignment="1">
      <alignment horizontal="center"/>
    </xf>
    <xf numFmtId="164" fontId="69" fillId="4" borderId="91" xfId="0" applyFont="1" applyFill="1" applyBorder="1" applyAlignment="1">
      <alignment horizontal="center"/>
    </xf>
    <xf numFmtId="164" fontId="69" fillId="4" borderId="93" xfId="0" applyNumberFormat="1" applyFont="1" applyFill="1" applyBorder="1" applyAlignment="1" applyProtection="1">
      <alignment horizontal="center"/>
    </xf>
    <xf numFmtId="164" fontId="69" fillId="4" borderId="37" xfId="0" applyNumberFormat="1" applyFont="1" applyFill="1" applyBorder="1" applyAlignment="1" applyProtection="1">
      <alignment horizontal="center" vertical="top"/>
    </xf>
    <xf numFmtId="164" fontId="68" fillId="4" borderId="92" xfId="0" applyFont="1" applyFill="1" applyBorder="1" applyAlignment="1">
      <alignment horizontal="center"/>
    </xf>
    <xf numFmtId="3" fontId="68" fillId="4" borderId="18" xfId="0" applyNumberFormat="1" applyFont="1" applyFill="1" applyBorder="1" applyAlignment="1">
      <alignment horizontal="center"/>
    </xf>
    <xf numFmtId="164" fontId="68" fillId="4" borderId="93" xfId="0" applyFont="1" applyFill="1" applyBorder="1" applyAlignment="1">
      <alignment horizontal="center"/>
    </xf>
    <xf numFmtId="164" fontId="68" fillId="4" borderId="37" xfId="0" applyFont="1" applyFill="1" applyBorder="1" applyAlignment="1">
      <alignment horizontal="center"/>
    </xf>
    <xf numFmtId="3" fontId="68" fillId="4" borderId="42" xfId="0" applyNumberFormat="1" applyFont="1" applyFill="1" applyBorder="1" applyAlignment="1">
      <alignment horizontal="center"/>
    </xf>
    <xf numFmtId="3" fontId="69" fillId="4" borderId="45" xfId="0" applyNumberFormat="1" applyFont="1" applyFill="1" applyBorder="1" applyAlignment="1">
      <alignment horizontal="center"/>
    </xf>
    <xf numFmtId="3" fontId="69" fillId="4" borderId="46" xfId="0" applyNumberFormat="1" applyFont="1" applyFill="1" applyBorder="1" applyAlignment="1">
      <alignment horizontal="center"/>
    </xf>
    <xf numFmtId="3" fontId="69" fillId="4" borderId="105" xfId="0" applyNumberFormat="1" applyFont="1" applyFill="1" applyBorder="1" applyAlignment="1">
      <alignment horizontal="center"/>
    </xf>
    <xf numFmtId="164" fontId="0" fillId="4" borderId="82" xfId="0" applyFill="1" applyBorder="1"/>
    <xf numFmtId="164" fontId="71" fillId="4" borderId="83" xfId="0" applyFont="1" applyFill="1" applyBorder="1"/>
    <xf numFmtId="164" fontId="71" fillId="4" borderId="83" xfId="0" applyNumberFormat="1" applyFont="1" applyFill="1" applyBorder="1" applyAlignment="1" applyProtection="1">
      <alignment horizontal="center" vertical="center"/>
    </xf>
    <xf numFmtId="164" fontId="71" fillId="4" borderId="84" xfId="0" applyFont="1" applyFill="1" applyBorder="1" applyAlignment="1">
      <alignment horizontal="center" vertical="center"/>
    </xf>
    <xf numFmtId="164" fontId="71" fillId="4" borderId="14" xfId="0" applyFont="1" applyFill="1" applyBorder="1"/>
    <xf numFmtId="164" fontId="0" fillId="4" borderId="24" xfId="0" applyFill="1" applyBorder="1"/>
    <xf numFmtId="164" fontId="0" fillId="4" borderId="101" xfId="0" applyFill="1" applyBorder="1"/>
    <xf numFmtId="164" fontId="68" fillId="4" borderId="14" xfId="0" applyFont="1" applyFill="1" applyBorder="1"/>
    <xf numFmtId="164" fontId="68" fillId="4" borderId="20" xfId="0" applyFont="1" applyFill="1" applyBorder="1"/>
    <xf numFmtId="3" fontId="68" fillId="4" borderId="96" xfId="0" applyNumberFormat="1" applyFont="1" applyFill="1" applyBorder="1" applyAlignment="1">
      <alignment horizontal="center"/>
    </xf>
    <xf numFmtId="3" fontId="68" fillId="4" borderId="98" xfId="0" applyNumberFormat="1" applyFont="1" applyFill="1" applyBorder="1" applyAlignment="1">
      <alignment horizontal="center"/>
    </xf>
    <xf numFmtId="164" fontId="68" fillId="4" borderId="41" xfId="0" applyFont="1" applyFill="1" applyBorder="1"/>
    <xf numFmtId="164" fontId="74" fillId="4" borderId="0" xfId="0" applyFont="1" applyFill="1" applyBorder="1"/>
    <xf numFmtId="164" fontId="71" fillId="4" borderId="0" xfId="0" applyFont="1" applyFill="1" applyBorder="1" applyAlignment="1" applyProtection="1">
      <alignment horizontal="right"/>
    </xf>
    <xf numFmtId="164" fontId="71" fillId="4" borderId="0" xfId="0" applyFont="1" applyFill="1" applyBorder="1" applyProtection="1"/>
    <xf numFmtId="164" fontId="73" fillId="4" borderId="0" xfId="0" applyFont="1" applyFill="1" applyBorder="1" applyAlignment="1" applyProtection="1">
      <alignment horizontal="center"/>
    </xf>
    <xf numFmtId="164" fontId="75" fillId="4" borderId="0" xfId="0" applyFont="1" applyFill="1" applyBorder="1" applyProtection="1"/>
    <xf numFmtId="164" fontId="76" fillId="4" borderId="0" xfId="0" applyFont="1" applyFill="1" applyBorder="1" applyProtection="1"/>
    <xf numFmtId="164" fontId="73" fillId="4" borderId="0" xfId="0" applyFont="1" applyFill="1" applyBorder="1" applyProtection="1"/>
    <xf numFmtId="164" fontId="77" fillId="4" borderId="14" xfId="0" applyFont="1" applyFill="1" applyBorder="1" applyAlignment="1">
      <alignment horizontal="center"/>
    </xf>
    <xf numFmtId="164" fontId="77" fillId="4" borderId="0" xfId="0" applyFont="1" applyFill="1" applyBorder="1" applyAlignment="1">
      <alignment horizontal="center"/>
    </xf>
    <xf numFmtId="164" fontId="73" fillId="4" borderId="0" xfId="0" applyFont="1" applyFill="1" applyBorder="1"/>
    <xf numFmtId="164" fontId="73" fillId="4" borderId="14" xfId="0" applyFont="1" applyFill="1" applyBorder="1"/>
    <xf numFmtId="164" fontId="73" fillId="4" borderId="14" xfId="0" applyFont="1" applyFill="1" applyBorder="1" applyProtection="1"/>
    <xf numFmtId="164" fontId="74" fillId="4" borderId="14" xfId="0" applyFont="1" applyFill="1" applyBorder="1"/>
    <xf numFmtId="164" fontId="71" fillId="4" borderId="14" xfId="0" applyFont="1" applyFill="1" applyBorder="1" applyAlignment="1" applyProtection="1">
      <alignment horizontal="right"/>
    </xf>
    <xf numFmtId="3" fontId="71" fillId="4" borderId="12" xfId="0" applyNumberFormat="1" applyFont="1" applyFill="1" applyBorder="1" applyAlignment="1">
      <alignment horizontal="center"/>
    </xf>
    <xf numFmtId="164" fontId="68" fillId="4" borderId="17" xfId="0" applyFont="1" applyFill="1" applyBorder="1"/>
    <xf numFmtId="164" fontId="71" fillId="4" borderId="18" xfId="0" applyFont="1" applyFill="1" applyBorder="1"/>
    <xf numFmtId="164" fontId="78" fillId="4" borderId="21" xfId="0" applyFont="1" applyFill="1" applyBorder="1"/>
    <xf numFmtId="164" fontId="0" fillId="4" borderId="42" xfId="0" applyFill="1" applyBorder="1"/>
    <xf numFmtId="3" fontId="71" fillId="4" borderId="0" xfId="0" applyNumberFormat="1" applyFont="1" applyFill="1" applyBorder="1" applyAlignment="1">
      <alignment horizontal="right"/>
    </xf>
    <xf numFmtId="3" fontId="78" fillId="4" borderId="6" xfId="0" applyNumberFormat="1" applyFont="1" applyFill="1" applyBorder="1" applyAlignment="1">
      <alignment horizontal="right"/>
    </xf>
    <xf numFmtId="164" fontId="22" fillId="10" borderId="23" xfId="0" applyFont="1" applyFill="1" applyBorder="1" applyAlignment="1">
      <alignment vertical="center"/>
    </xf>
    <xf numFmtId="164" fontId="38" fillId="10" borderId="23" xfId="0" applyFont="1" applyFill="1" applyBorder="1"/>
    <xf numFmtId="164" fontId="12" fillId="10" borderId="23" xfId="0" applyFont="1" applyFill="1" applyBorder="1"/>
    <xf numFmtId="164" fontId="12" fillId="10" borderId="107" xfId="0" applyFont="1" applyFill="1" applyBorder="1"/>
    <xf numFmtId="164" fontId="12" fillId="10" borderId="108" xfId="0" applyFont="1" applyFill="1" applyBorder="1"/>
    <xf numFmtId="164" fontId="38" fillId="10" borderId="108" xfId="0" applyFont="1" applyFill="1" applyBorder="1"/>
    <xf numFmtId="164" fontId="12" fillId="10" borderId="109" xfId="0" applyFont="1" applyFill="1" applyBorder="1"/>
    <xf numFmtId="164" fontId="12" fillId="10" borderId="110" xfId="0" applyFont="1" applyFill="1" applyBorder="1"/>
    <xf numFmtId="164" fontId="12" fillId="10" borderId="111" xfId="0" applyFont="1" applyFill="1" applyBorder="1"/>
    <xf numFmtId="164" fontId="12" fillId="10" borderId="112" xfId="0" applyFont="1" applyFill="1" applyBorder="1"/>
    <xf numFmtId="164" fontId="69" fillId="4" borderId="0" xfId="0" applyFont="1" applyFill="1" applyBorder="1"/>
    <xf numFmtId="164" fontId="69" fillId="4" borderId="0" xfId="0" applyNumberFormat="1" applyFont="1" applyFill="1" applyBorder="1" applyAlignment="1" applyProtection="1">
      <alignment horizontal="center"/>
    </xf>
    <xf numFmtId="164" fontId="69" fillId="4" borderId="0" xfId="0" applyFont="1" applyFill="1" applyBorder="1" applyAlignment="1">
      <alignment horizontal="center"/>
    </xf>
    <xf numFmtId="164" fontId="0" fillId="4" borderId="111" xfId="0" applyFill="1" applyBorder="1"/>
    <xf numFmtId="164" fontId="69" fillId="4" borderId="0" xfId="0" applyNumberFormat="1" applyFont="1" applyFill="1" applyBorder="1" applyAlignment="1" applyProtection="1">
      <alignment horizontal="center" vertical="top"/>
    </xf>
    <xf numFmtId="164" fontId="69" fillId="4" borderId="116" xfId="0" applyNumberFormat="1" applyFont="1" applyFill="1" applyBorder="1" applyAlignment="1" applyProtection="1">
      <alignment horizontal="center" vertical="center"/>
    </xf>
    <xf numFmtId="164" fontId="69" fillId="4" borderId="109" xfId="0" applyFont="1" applyFill="1" applyBorder="1" applyAlignment="1">
      <alignment horizontal="center"/>
    </xf>
    <xf numFmtId="164" fontId="69" fillId="4" borderId="117" xfId="0" applyNumberFormat="1" applyFont="1" applyFill="1" applyBorder="1" applyAlignment="1" applyProtection="1">
      <alignment horizontal="center" vertical="top"/>
    </xf>
    <xf numFmtId="164" fontId="68" fillId="4" borderId="116" xfId="0" applyFont="1" applyFill="1" applyBorder="1" applyAlignment="1">
      <alignment horizontal="center"/>
    </xf>
    <xf numFmtId="3" fontId="68" fillId="4" borderId="109" xfId="0" applyNumberFormat="1" applyFont="1" applyFill="1" applyBorder="1" applyAlignment="1">
      <alignment horizontal="center"/>
    </xf>
    <xf numFmtId="164" fontId="69" fillId="4" borderId="116" xfId="0" applyFont="1" applyFill="1" applyBorder="1"/>
    <xf numFmtId="164" fontId="69" fillId="4" borderId="109" xfId="0" applyNumberFormat="1" applyFont="1" applyFill="1" applyBorder="1" applyAlignment="1" applyProtection="1">
      <alignment horizontal="center"/>
    </xf>
    <xf numFmtId="164" fontId="68" fillId="4" borderId="109" xfId="0" applyFont="1" applyFill="1" applyBorder="1" applyAlignment="1">
      <alignment horizontal="center"/>
    </xf>
    <xf numFmtId="164" fontId="68" fillId="4" borderId="122" xfId="0" applyFont="1" applyFill="1" applyBorder="1" applyAlignment="1">
      <alignment horizontal="center"/>
    </xf>
    <xf numFmtId="164" fontId="68" fillId="4" borderId="123" xfId="0" applyFont="1" applyFill="1" applyBorder="1" applyAlignment="1">
      <alignment horizontal="center"/>
    </xf>
    <xf numFmtId="164" fontId="68" fillId="4" borderId="124" xfId="0" applyFont="1" applyFill="1" applyBorder="1" applyAlignment="1">
      <alignment horizontal="center"/>
    </xf>
    <xf numFmtId="164" fontId="68" fillId="4" borderId="125" xfId="0" applyFont="1" applyFill="1" applyBorder="1" applyAlignment="1">
      <alignment horizontal="center"/>
    </xf>
    <xf numFmtId="3" fontId="68" fillId="4" borderId="124" xfId="0" applyNumberFormat="1" applyFont="1" applyFill="1" applyBorder="1" applyAlignment="1">
      <alignment horizontal="center"/>
    </xf>
    <xf numFmtId="3" fontId="68" fillId="4" borderId="125" xfId="0" applyNumberFormat="1" applyFont="1" applyFill="1" applyBorder="1" applyAlignment="1">
      <alignment horizontal="center"/>
    </xf>
    <xf numFmtId="9" fontId="68" fillId="4" borderId="124" xfId="0" applyNumberFormat="1" applyFont="1" applyFill="1" applyBorder="1" applyAlignment="1">
      <alignment horizontal="center"/>
    </xf>
    <xf numFmtId="9" fontId="68" fillId="4" borderId="125" xfId="0" applyNumberFormat="1" applyFont="1" applyFill="1" applyBorder="1" applyAlignment="1">
      <alignment horizontal="center"/>
    </xf>
    <xf numFmtId="164" fontId="68" fillId="4" borderId="126" xfId="0" applyFont="1" applyFill="1" applyBorder="1" applyAlignment="1">
      <alignment horizontal="center"/>
    </xf>
    <xf numFmtId="164" fontId="68" fillId="4" borderId="127" xfId="0" applyFont="1" applyFill="1" applyBorder="1" applyAlignment="1">
      <alignment horizontal="center"/>
    </xf>
    <xf numFmtId="3" fontId="68" fillId="4" borderId="127" xfId="0" applyNumberFormat="1" applyFont="1" applyFill="1" applyBorder="1" applyAlignment="1">
      <alignment horizontal="center"/>
    </xf>
    <xf numFmtId="9" fontId="68" fillId="4" borderId="127" xfId="0" applyNumberFormat="1" applyFont="1" applyFill="1" applyBorder="1" applyAlignment="1">
      <alignment horizontal="center"/>
    </xf>
    <xf numFmtId="3" fontId="68" fillId="4" borderId="128" xfId="0" applyNumberFormat="1" applyFont="1" applyFill="1" applyBorder="1" applyAlignment="1">
      <alignment horizontal="center"/>
    </xf>
    <xf numFmtId="164" fontId="69" fillId="4" borderId="132" xfId="0" applyFont="1" applyFill="1" applyBorder="1"/>
    <xf numFmtId="164" fontId="69" fillId="4" borderId="133" xfId="0" applyFont="1" applyFill="1" applyBorder="1" applyAlignment="1">
      <alignment horizontal="center"/>
    </xf>
    <xf numFmtId="164" fontId="69" fillId="4" borderId="134" xfId="0" applyFont="1" applyFill="1" applyBorder="1"/>
    <xf numFmtId="164" fontId="69" fillId="4" borderId="135" xfId="0" applyNumberFormat="1" applyFont="1" applyFill="1" applyBorder="1" applyAlignment="1" applyProtection="1">
      <alignment horizontal="center" vertical="top"/>
    </xf>
    <xf numFmtId="164" fontId="69" fillId="4" borderId="136" xfId="0" applyFont="1" applyFill="1" applyBorder="1"/>
    <xf numFmtId="164" fontId="69" fillId="4" borderId="123" xfId="0" applyNumberFormat="1" applyFont="1" applyFill="1" applyBorder="1" applyAlignment="1" applyProtection="1">
      <alignment horizontal="center" vertical="center"/>
    </xf>
    <xf numFmtId="164" fontId="69" fillId="4" borderId="137" xfId="0" applyNumberFormat="1" applyFont="1" applyFill="1" applyBorder="1" applyAlignment="1" applyProtection="1">
      <alignment horizontal="center" vertical="top"/>
    </xf>
    <xf numFmtId="164" fontId="69" fillId="4" borderId="138" xfId="0" applyFont="1" applyFill="1" applyBorder="1" applyAlignment="1">
      <alignment horizontal="center"/>
    </xf>
    <xf numFmtId="164" fontId="69" fillId="4" borderId="125" xfId="0" applyNumberFormat="1" applyFont="1" applyFill="1" applyBorder="1" applyAlignment="1" applyProtection="1">
      <alignment horizontal="center"/>
    </xf>
    <xf numFmtId="164" fontId="69" fillId="4" borderId="139" xfId="0" applyNumberFormat="1" applyFont="1" applyFill="1" applyBorder="1" applyAlignment="1" applyProtection="1">
      <alignment horizontal="center" vertical="top"/>
    </xf>
    <xf numFmtId="164" fontId="69" fillId="4" borderId="125" xfId="0" applyFont="1" applyFill="1" applyBorder="1" applyAlignment="1">
      <alignment horizontal="center"/>
    </xf>
    <xf numFmtId="164" fontId="69" fillId="4" borderId="138" xfId="0" applyFont="1" applyFill="1" applyBorder="1"/>
    <xf numFmtId="164" fontId="0" fillId="4" borderId="116" xfId="0" applyFill="1" applyBorder="1"/>
    <xf numFmtId="164" fontId="0" fillId="4" borderId="109" xfId="0" applyFill="1" applyBorder="1"/>
    <xf numFmtId="164" fontId="0" fillId="4" borderId="112" xfId="0" applyFill="1" applyBorder="1"/>
    <xf numFmtId="164" fontId="69" fillId="4" borderId="0" xfId="0" applyFont="1" applyFill="1" applyBorder="1" applyAlignment="1">
      <alignment horizontal="right"/>
    </xf>
    <xf numFmtId="164" fontId="69" fillId="4" borderId="120" xfId="0" applyFont="1" applyFill="1" applyBorder="1" applyAlignment="1">
      <alignment horizontal="right"/>
    </xf>
    <xf numFmtId="164" fontId="69" fillId="4" borderId="114" xfId="0" applyFont="1" applyFill="1" applyBorder="1"/>
    <xf numFmtId="164" fontId="69" fillId="4" borderId="113" xfId="0" applyFont="1" applyFill="1" applyBorder="1" applyAlignment="1">
      <alignment horizontal="center"/>
    </xf>
    <xf numFmtId="164" fontId="69" fillId="4" borderId="115" xfId="0" applyNumberFormat="1" applyFont="1" applyFill="1" applyBorder="1" applyAlignment="1" applyProtection="1">
      <alignment horizontal="center"/>
    </xf>
    <xf numFmtId="164" fontId="69" fillId="4" borderId="140" xfId="0" applyNumberFormat="1" applyFont="1" applyFill="1" applyBorder="1" applyAlignment="1" applyProtection="1">
      <alignment horizontal="center" vertical="top"/>
    </xf>
    <xf numFmtId="164" fontId="69" fillId="4" borderId="141" xfId="0" applyNumberFormat="1" applyFont="1" applyFill="1" applyBorder="1" applyAlignment="1" applyProtection="1">
      <alignment horizontal="center" vertical="top"/>
    </xf>
    <xf numFmtId="164" fontId="69" fillId="4" borderId="141" xfId="0" applyFont="1" applyFill="1" applyBorder="1" applyAlignment="1">
      <alignment horizontal="center" wrapText="1"/>
    </xf>
    <xf numFmtId="164" fontId="69" fillId="4" borderId="128" xfId="0" applyNumberFormat="1" applyFont="1" applyFill="1" applyBorder="1" applyAlignment="1" applyProtection="1">
      <alignment horizontal="center" vertical="top"/>
    </xf>
    <xf numFmtId="164" fontId="68" fillId="4" borderId="140" xfId="0" applyFont="1" applyFill="1" applyBorder="1" applyAlignment="1">
      <alignment horizontal="center"/>
    </xf>
    <xf numFmtId="164" fontId="68" fillId="4" borderId="128" xfId="0" applyFont="1" applyFill="1" applyBorder="1" applyAlignment="1">
      <alignment horizontal="center"/>
    </xf>
    <xf numFmtId="164" fontId="69" fillId="4" borderId="125" xfId="0" applyNumberFormat="1" applyFont="1" applyFill="1" applyBorder="1" applyAlignment="1" applyProtection="1">
      <alignment horizontal="center" vertical="top"/>
    </xf>
    <xf numFmtId="164" fontId="79" fillId="4" borderId="127" xfId="0" applyFont="1" applyFill="1" applyBorder="1" applyAlignment="1">
      <alignment horizontal="center"/>
    </xf>
    <xf numFmtId="164" fontId="69" fillId="4" borderId="127" xfId="0" applyNumberFormat="1" applyFont="1" applyFill="1" applyBorder="1" applyAlignment="1" applyProtection="1">
      <alignment horizontal="center" vertical="top"/>
    </xf>
    <xf numFmtId="3" fontId="68" fillId="4" borderId="141" xfId="0" applyNumberFormat="1" applyFont="1" applyFill="1" applyBorder="1" applyAlignment="1">
      <alignment horizontal="center"/>
    </xf>
    <xf numFmtId="3" fontId="69" fillId="4" borderId="129" xfId="0" applyNumberFormat="1" applyFont="1" applyFill="1" applyBorder="1" applyAlignment="1">
      <alignment horizontal="center"/>
    </xf>
    <xf numFmtId="164" fontId="0" fillId="4" borderId="132" xfId="0" applyFill="1" applyBorder="1"/>
    <xf numFmtId="3" fontId="69" fillId="4" borderId="130" xfId="0" applyNumberFormat="1" applyFont="1" applyFill="1" applyBorder="1" applyAlignment="1">
      <alignment horizontal="center"/>
    </xf>
    <xf numFmtId="3" fontId="69" fillId="4" borderId="131" xfId="0" applyNumberFormat="1" applyFont="1" applyFill="1" applyBorder="1" applyAlignment="1">
      <alignment horizontal="center"/>
    </xf>
    <xf numFmtId="3" fontId="69" fillId="4" borderId="143" xfId="0" applyNumberFormat="1" applyFont="1" applyFill="1" applyBorder="1" applyAlignment="1">
      <alignment horizontal="center"/>
    </xf>
    <xf numFmtId="164" fontId="12" fillId="10" borderId="144" xfId="0" applyFont="1" applyFill="1" applyBorder="1"/>
    <xf numFmtId="164" fontId="33" fillId="4" borderId="0" xfId="0" applyFont="1" applyFill="1" applyBorder="1" applyAlignment="1">
      <alignment horizontal="center"/>
    </xf>
    <xf numFmtId="164" fontId="33" fillId="4" borderId="116" xfId="0" applyFont="1" applyFill="1" applyBorder="1" applyAlignment="1">
      <alignment horizontal="center"/>
    </xf>
    <xf numFmtId="164" fontId="0" fillId="4" borderId="118" xfId="0" applyFill="1" applyBorder="1"/>
    <xf numFmtId="164" fontId="0" fillId="4" borderId="146" xfId="0" applyFill="1" applyBorder="1"/>
    <xf numFmtId="164" fontId="0" fillId="4" borderId="147" xfId="0" applyFill="1" applyBorder="1"/>
    <xf numFmtId="164" fontId="0" fillId="4" borderId="63" xfId="0" applyFill="1" applyBorder="1"/>
    <xf numFmtId="164" fontId="0" fillId="4" borderId="148" xfId="0" applyFill="1" applyBorder="1"/>
    <xf numFmtId="164" fontId="0" fillId="4" borderId="145" xfId="0" applyFill="1" applyBorder="1"/>
    <xf numFmtId="164" fontId="0" fillId="4" borderId="149" xfId="0" applyFill="1" applyBorder="1"/>
    <xf numFmtId="164" fontId="8" fillId="4" borderId="149" xfId="0" applyFont="1" applyFill="1" applyBorder="1" applyAlignment="1">
      <alignment wrapText="1"/>
    </xf>
    <xf numFmtId="164" fontId="27" fillId="4" borderId="145" xfId="0" applyFont="1" applyFill="1" applyBorder="1" applyAlignment="1">
      <alignment horizontal="center"/>
    </xf>
    <xf numFmtId="164" fontId="27" fillId="4" borderId="146" xfId="0" applyFont="1" applyFill="1" applyBorder="1" applyAlignment="1">
      <alignment horizontal="center" wrapText="1"/>
    </xf>
    <xf numFmtId="164" fontId="14" fillId="4" borderId="62" xfId="0" applyFont="1" applyFill="1" applyBorder="1" applyAlignment="1">
      <alignment horizontal="left"/>
    </xf>
    <xf numFmtId="164" fontId="14" fillId="4" borderId="56" xfId="0" applyFont="1" applyFill="1" applyBorder="1" applyAlignment="1">
      <alignment wrapText="1"/>
    </xf>
    <xf numFmtId="164" fontId="14" fillId="4" borderId="56" xfId="0" applyFont="1" applyFill="1" applyBorder="1"/>
    <xf numFmtId="164" fontId="42" fillId="4" borderId="9" xfId="0" applyNumberFormat="1" applyFont="1" applyFill="1" applyBorder="1" applyAlignment="1" applyProtection="1">
      <alignment horizontal="center"/>
    </xf>
    <xf numFmtId="164" fontId="12" fillId="4" borderId="37" xfId="0" applyFont="1" applyFill="1" applyBorder="1"/>
    <xf numFmtId="164" fontId="5" fillId="0" borderId="0" xfId="0" applyFont="1" applyAlignment="1">
      <alignment horizontal="left"/>
    </xf>
    <xf numFmtId="0" fontId="7" fillId="4" borderId="9" xfId="0" applyNumberFormat="1" applyFont="1" applyFill="1" applyBorder="1" applyAlignment="1" applyProtection="1">
      <alignment horizontal="left" vertical="center"/>
      <protection locked="0"/>
    </xf>
    <xf numFmtId="164" fontId="12" fillId="16" borderId="17" xfId="0" applyFont="1" applyFill="1" applyBorder="1"/>
    <xf numFmtId="164" fontId="12" fillId="16" borderId="18" xfId="0" applyFont="1" applyFill="1" applyBorder="1"/>
    <xf numFmtId="164" fontId="38" fillId="16" borderId="18" xfId="0" applyFont="1" applyFill="1" applyBorder="1"/>
    <xf numFmtId="164" fontId="12" fillId="16" borderId="21" xfId="0" applyFont="1" applyFill="1" applyBorder="1"/>
    <xf numFmtId="164" fontId="12" fillId="16" borderId="15" xfId="0" applyFont="1" applyFill="1" applyBorder="1"/>
    <xf numFmtId="164" fontId="12" fillId="16" borderId="14" xfId="0" applyFont="1" applyFill="1" applyBorder="1"/>
    <xf numFmtId="164" fontId="12" fillId="16" borderId="77" xfId="0" applyFont="1" applyFill="1" applyBorder="1"/>
    <xf numFmtId="164" fontId="12" fillId="16" borderId="0" xfId="0" applyFont="1" applyFill="1" applyBorder="1"/>
    <xf numFmtId="164" fontId="12" fillId="16" borderId="6" xfId="0" applyFont="1" applyFill="1" applyBorder="1"/>
    <xf numFmtId="164" fontId="0" fillId="16" borderId="6" xfId="0" applyFill="1" applyBorder="1"/>
    <xf numFmtId="164" fontId="0" fillId="16" borderId="6" xfId="0" applyFill="1" applyBorder="1" applyAlignment="1">
      <alignment horizontal="center"/>
    </xf>
    <xf numFmtId="164" fontId="12" fillId="16" borderId="56" xfId="0" applyNumberFormat="1" applyFont="1" applyFill="1" applyBorder="1" applyAlignment="1" applyProtection="1">
      <alignment horizontal="center"/>
      <protection locked="0"/>
    </xf>
    <xf numFmtId="0" fontId="12" fillId="16" borderId="0" xfId="0" applyNumberFormat="1" applyFont="1" applyFill="1" applyBorder="1" applyAlignment="1" applyProtection="1">
      <alignment horizontal="left"/>
      <protection locked="0"/>
    </xf>
    <xf numFmtId="164" fontId="12" fillId="16" borderId="11" xfId="0" applyFont="1" applyFill="1" applyBorder="1" applyAlignment="1" applyProtection="1">
      <alignment horizontal="center"/>
      <protection locked="0"/>
    </xf>
    <xf numFmtId="3" fontId="12" fillId="16" borderId="0" xfId="0" applyNumberFormat="1" applyFont="1" applyFill="1" applyBorder="1" applyAlignment="1" applyProtection="1">
      <alignment horizontal="center"/>
      <protection locked="0"/>
    </xf>
    <xf numFmtId="171" fontId="12" fillId="16" borderId="0" xfId="0" applyNumberFormat="1" applyFont="1" applyFill="1" applyBorder="1" applyAlignment="1" applyProtection="1">
      <alignment horizontal="center"/>
    </xf>
    <xf numFmtId="9" fontId="12" fillId="16" borderId="0" xfId="0" applyNumberFormat="1" applyFont="1" applyFill="1" applyBorder="1" applyAlignment="1" applyProtection="1">
      <alignment horizontal="center"/>
      <protection locked="0"/>
    </xf>
    <xf numFmtId="3" fontId="12" fillId="16" borderId="0" xfId="0" applyNumberFormat="1" applyFont="1" applyFill="1" applyBorder="1" applyAlignment="1" applyProtection="1">
      <alignment horizontal="center"/>
    </xf>
    <xf numFmtId="164" fontId="5" fillId="16" borderId="57" xfId="0" applyFont="1" applyFill="1" applyBorder="1" applyAlignment="1">
      <alignment horizontal="center"/>
    </xf>
    <xf numFmtId="164" fontId="44" fillId="16" borderId="0" xfId="0" applyNumberFormat="1" applyFont="1" applyFill="1" applyBorder="1" applyAlignment="1" applyProtection="1">
      <alignment horizontal="left" vertical="center" wrapText="1"/>
      <protection locked="0"/>
    </xf>
    <xf numFmtId="164" fontId="12" fillId="18" borderId="15" xfId="0" applyFont="1" applyFill="1" applyBorder="1"/>
    <xf numFmtId="164" fontId="12" fillId="18" borderId="14" xfId="0" applyFont="1" applyFill="1" applyBorder="1"/>
    <xf numFmtId="164" fontId="63" fillId="18" borderId="0" xfId="0" applyFont="1" applyFill="1" applyBorder="1" applyAlignment="1">
      <alignment horizontal="left" vertical="top"/>
    </xf>
    <xf numFmtId="164" fontId="60" fillId="18" borderId="0" xfId="0" applyFont="1" applyFill="1" applyBorder="1" applyAlignment="1">
      <alignment horizontal="center" vertical="top"/>
    </xf>
    <xf numFmtId="164" fontId="23" fillId="18" borderId="17" xfId="0" applyFont="1" applyFill="1" applyBorder="1"/>
    <xf numFmtId="164" fontId="23" fillId="18" borderId="18" xfId="0" applyFont="1" applyFill="1" applyBorder="1"/>
    <xf numFmtId="164" fontId="23" fillId="18" borderId="21" xfId="0" applyFont="1" applyFill="1" applyBorder="1"/>
    <xf numFmtId="164" fontId="12" fillId="18" borderId="69" xfId="0" applyFont="1" applyFill="1" applyBorder="1"/>
    <xf numFmtId="164" fontId="44" fillId="18" borderId="0" xfId="0" applyFont="1" applyFill="1" applyBorder="1" applyAlignment="1">
      <alignment horizontal="left" vertical="center" wrapText="1"/>
    </xf>
    <xf numFmtId="164" fontId="38" fillId="18" borderId="14" xfId="0" applyFont="1" applyFill="1" applyBorder="1"/>
    <xf numFmtId="164" fontId="12" fillId="18" borderId="0" xfId="0" applyFont="1" applyFill="1" applyBorder="1"/>
    <xf numFmtId="164" fontId="12" fillId="18" borderId="20" xfId="0" applyFont="1" applyFill="1" applyBorder="1"/>
    <xf numFmtId="164" fontId="12" fillId="18" borderId="6" xfId="0" applyFont="1" applyFill="1" applyBorder="1"/>
    <xf numFmtId="164" fontId="5" fillId="18" borderId="6" xfId="0" applyNumberFormat="1" applyFont="1" applyFill="1" applyBorder="1" applyAlignment="1" applyProtection="1">
      <alignment horizontal="center" vertical="top"/>
    </xf>
    <xf numFmtId="164" fontId="45" fillId="18" borderId="6" xfId="0" applyNumberFormat="1" applyFont="1" applyFill="1" applyBorder="1" applyAlignment="1" applyProtection="1">
      <alignment horizontal="center" vertical="top"/>
    </xf>
    <xf numFmtId="164" fontId="5" fillId="18" borderId="6" xfId="0" applyFont="1" applyFill="1" applyBorder="1" applyAlignment="1">
      <alignment horizontal="center" vertical="top"/>
    </xf>
    <xf numFmtId="164" fontId="38" fillId="16" borderId="20" xfId="0" applyFont="1" applyFill="1" applyBorder="1"/>
    <xf numFmtId="164" fontId="38" fillId="16" borderId="14" xfId="0" applyFont="1" applyFill="1" applyBorder="1"/>
    <xf numFmtId="164" fontId="5" fillId="16" borderId="0" xfId="0" applyFont="1" applyFill="1" applyBorder="1" applyAlignment="1">
      <alignment vertical="top"/>
    </xf>
    <xf numFmtId="164" fontId="38" fillId="16" borderId="0" xfId="0" applyFont="1" applyFill="1" applyBorder="1"/>
    <xf numFmtId="164" fontId="23" fillId="16" borderId="18" xfId="0" applyFont="1" applyFill="1" applyBorder="1"/>
    <xf numFmtId="164" fontId="39" fillId="16" borderId="0" xfId="0" applyFont="1" applyFill="1" applyBorder="1"/>
    <xf numFmtId="164" fontId="23" fillId="16" borderId="21" xfId="0" applyFont="1" applyFill="1" applyBorder="1"/>
    <xf numFmtId="164" fontId="12" fillId="16" borderId="0" xfId="0" applyNumberFormat="1" applyFont="1" applyFill="1" applyBorder="1" applyAlignment="1" applyProtection="1">
      <alignment horizontal="center"/>
      <protection locked="0"/>
    </xf>
    <xf numFmtId="164" fontId="12" fillId="16" borderId="57" xfId="0" applyFont="1" applyFill="1" applyBorder="1" applyAlignment="1">
      <alignment horizontal="center"/>
    </xf>
    <xf numFmtId="164" fontId="5" fillId="16" borderId="0" xfId="0" applyNumberFormat="1" applyFont="1" applyFill="1" applyBorder="1" applyAlignment="1" applyProtection="1">
      <alignment horizontal="center"/>
      <protection locked="0"/>
    </xf>
    <xf numFmtId="3" fontId="5" fillId="16" borderId="0" xfId="0" applyNumberFormat="1" applyFont="1" applyFill="1" applyBorder="1" applyAlignment="1" applyProtection="1">
      <alignment horizontal="center"/>
    </xf>
    <xf numFmtId="3" fontId="5" fillId="16" borderId="0" xfId="0" applyNumberFormat="1" applyFont="1" applyFill="1" applyBorder="1" applyAlignment="1" applyProtection="1">
      <alignment horizontal="center"/>
      <protection locked="0"/>
    </xf>
    <xf numFmtId="9" fontId="5" fillId="16" borderId="0" xfId="0" applyNumberFormat="1" applyFont="1" applyFill="1" applyBorder="1" applyAlignment="1" applyProtection="1">
      <alignment horizontal="center"/>
      <protection locked="0"/>
    </xf>
    <xf numFmtId="164" fontId="5" fillId="16" borderId="0" xfId="0" applyFont="1" applyFill="1" applyBorder="1" applyAlignment="1">
      <alignment horizontal="center"/>
    </xf>
    <xf numFmtId="164" fontId="5" fillId="16" borderId="6" xfId="0" applyFont="1" applyFill="1" applyBorder="1" applyAlignment="1">
      <alignment vertical="top"/>
    </xf>
    <xf numFmtId="164" fontId="38" fillId="16" borderId="6" xfId="0" applyFont="1" applyFill="1" applyBorder="1"/>
    <xf numFmtId="164" fontId="62" fillId="16" borderId="0" xfId="0" applyFont="1" applyFill="1"/>
    <xf numFmtId="164" fontId="12" fillId="7" borderId="61" xfId="0" applyNumberFormat="1" applyFont="1" applyFill="1" applyBorder="1" applyAlignment="1" applyProtection="1">
      <alignment horizontal="center" vertical="center"/>
      <protection locked="0"/>
    </xf>
    <xf numFmtId="0" fontId="12" fillId="7" borderId="1" xfId="0" applyNumberFormat="1" applyFont="1" applyFill="1" applyBorder="1" applyAlignment="1" applyProtection="1">
      <alignment horizontal="left" vertical="center"/>
      <protection locked="0"/>
    </xf>
    <xf numFmtId="164" fontId="12" fillId="7" borderId="1" xfId="0" applyFont="1" applyFill="1" applyBorder="1" applyAlignment="1" applyProtection="1">
      <alignment horizontal="center" vertical="center"/>
      <protection locked="0"/>
    </xf>
    <xf numFmtId="9" fontId="12" fillId="7" borderId="1" xfId="0" applyNumberFormat="1" applyFont="1" applyFill="1" applyBorder="1" applyAlignment="1" applyProtection="1">
      <alignment horizontal="center" vertical="center"/>
      <protection locked="0"/>
    </xf>
    <xf numFmtId="164" fontId="80" fillId="4" borderId="9" xfId="0" applyNumberFormat="1" applyFont="1" applyFill="1" applyBorder="1" applyAlignment="1" applyProtection="1">
      <alignment horizontal="center"/>
    </xf>
    <xf numFmtId="3" fontId="80" fillId="4" borderId="9" xfId="0" applyNumberFormat="1" applyFont="1" applyFill="1" applyBorder="1" applyAlignment="1" applyProtection="1">
      <alignment horizontal="left"/>
    </xf>
    <xf numFmtId="164" fontId="5" fillId="0" borderId="0" xfId="0" applyFont="1" applyBorder="1" applyAlignment="1" applyProtection="1">
      <alignment horizontal="right"/>
    </xf>
    <xf numFmtId="164" fontId="5" fillId="0" borderId="0" xfId="0" applyFont="1" applyFill="1" applyBorder="1" applyAlignment="1" applyProtection="1">
      <alignment horizontal="right"/>
    </xf>
    <xf numFmtId="164" fontId="5" fillId="0" borderId="23" xfId="0" applyFont="1" applyBorder="1" applyAlignment="1" applyProtection="1">
      <alignment horizontal="right"/>
    </xf>
    <xf numFmtId="3" fontId="5" fillId="0" borderId="0" xfId="0" applyNumberFormat="1" applyFont="1" applyBorder="1" applyAlignment="1" applyProtection="1">
      <alignment horizontal="right"/>
    </xf>
    <xf numFmtId="164" fontId="56" fillId="0" borderId="12" xfId="0" applyFont="1" applyBorder="1" applyAlignment="1">
      <alignment horizontal="center" wrapText="1"/>
    </xf>
    <xf numFmtId="164" fontId="12" fillId="0" borderId="1" xfId="0" applyNumberFormat="1" applyFont="1" applyBorder="1" applyAlignment="1" applyProtection="1">
      <alignment horizontal="left" vertical="center"/>
    </xf>
    <xf numFmtId="164" fontId="12" fillId="0" borderId="1" xfId="0" applyFont="1" applyBorder="1" applyAlignment="1">
      <alignment horizontal="left" vertical="center"/>
    </xf>
    <xf numFmtId="164" fontId="12" fillId="4" borderId="8" xfId="0" applyNumberFormat="1" applyFont="1" applyFill="1" applyBorder="1" applyAlignment="1" applyProtection="1">
      <alignment horizontal="left" vertical="center"/>
    </xf>
    <xf numFmtId="3" fontId="45" fillId="4" borderId="32" xfId="0" applyNumberFormat="1" applyFont="1" applyFill="1" applyBorder="1" applyAlignment="1" applyProtection="1">
      <alignment horizontal="left" vertical="center"/>
    </xf>
    <xf numFmtId="3" fontId="5" fillId="4" borderId="10" xfId="0" applyNumberFormat="1" applyFont="1" applyFill="1" applyBorder="1" applyAlignment="1" applyProtection="1">
      <alignment horizontal="center" vertical="center"/>
    </xf>
    <xf numFmtId="168" fontId="12" fillId="3" borderId="1" xfId="0" applyNumberFormat="1" applyFont="1" applyFill="1" applyBorder="1" applyAlignment="1" applyProtection="1">
      <alignment horizontal="center" vertical="center"/>
      <protection locked="0"/>
    </xf>
    <xf numFmtId="3" fontId="12" fillId="0" borderId="28" xfId="0" applyNumberFormat="1" applyFont="1" applyBorder="1" applyAlignment="1" applyProtection="1">
      <alignment horizontal="center" vertical="center"/>
    </xf>
    <xf numFmtId="3" fontId="12" fillId="0" borderId="10" xfId="0" applyNumberFormat="1" applyFont="1" applyBorder="1" applyAlignment="1" applyProtection="1">
      <alignment horizontal="center" vertical="center"/>
    </xf>
    <xf numFmtId="3" fontId="12" fillId="0" borderId="1" xfId="0" applyNumberFormat="1" applyFont="1" applyFill="1" applyBorder="1" applyAlignment="1" applyProtection="1">
      <alignment horizontal="center" vertical="center"/>
      <protection locked="0"/>
    </xf>
    <xf numFmtId="3" fontId="12" fillId="0" borderId="8" xfId="0" applyNumberFormat="1" applyFont="1" applyBorder="1" applyAlignment="1" applyProtection="1">
      <alignment horizontal="center" vertical="center"/>
    </xf>
    <xf numFmtId="3" fontId="12" fillId="0" borderId="33" xfId="0" applyNumberFormat="1" applyFont="1" applyFill="1" applyBorder="1" applyAlignment="1" applyProtection="1">
      <alignment horizontal="center" vertical="center"/>
    </xf>
    <xf numFmtId="3" fontId="12" fillId="0" borderId="1" xfId="0" applyNumberFormat="1" applyFont="1" applyFill="1" applyBorder="1" applyAlignment="1" applyProtection="1">
      <alignment horizontal="center" vertical="center"/>
    </xf>
    <xf numFmtId="168" fontId="12" fillId="3" borderId="8" xfId="0" applyNumberFormat="1" applyFont="1" applyFill="1" applyBorder="1" applyAlignment="1" applyProtection="1">
      <alignment horizontal="center" vertical="center"/>
      <protection locked="0"/>
    </xf>
    <xf numFmtId="3" fontId="41" fillId="0" borderId="1" xfId="0" applyNumberFormat="1" applyFont="1" applyBorder="1" applyAlignment="1" applyProtection="1">
      <alignment horizontal="center" vertical="center"/>
    </xf>
    <xf numFmtId="3" fontId="12" fillId="4" borderId="10" xfId="0" applyNumberFormat="1" applyFont="1" applyFill="1" applyBorder="1" applyAlignment="1" applyProtection="1">
      <alignment horizontal="center" vertical="center"/>
    </xf>
    <xf numFmtId="3" fontId="12" fillId="4" borderId="1" xfId="0" applyNumberFormat="1" applyFont="1" applyFill="1" applyBorder="1" applyAlignment="1" applyProtection="1">
      <alignment horizontal="center" vertical="center"/>
    </xf>
    <xf numFmtId="168" fontId="12" fillId="7" borderId="9" xfId="0" applyNumberFormat="1" applyFont="1" applyFill="1" applyBorder="1" applyAlignment="1" applyProtection="1">
      <alignment horizontal="center" vertical="center"/>
      <protection locked="0"/>
    </xf>
    <xf numFmtId="3" fontId="12" fillId="0" borderId="33" xfId="0" applyNumberFormat="1" applyFont="1" applyBorder="1" applyAlignment="1" applyProtection="1">
      <alignment horizontal="center" vertical="center"/>
    </xf>
    <xf numFmtId="164" fontId="5" fillId="0" borderId="1" xfId="0" applyNumberFormat="1" applyFont="1" applyBorder="1" applyAlignment="1" applyProtection="1">
      <alignment horizontal="center" vertical="center"/>
    </xf>
    <xf numFmtId="3" fontId="5" fillId="0" borderId="1" xfId="0" applyNumberFormat="1" applyFont="1" applyBorder="1" applyAlignment="1" applyProtection="1">
      <alignment horizontal="center" vertical="center"/>
    </xf>
    <xf numFmtId="2" fontId="5" fillId="0" borderId="1" xfId="0" applyNumberFormat="1" applyFont="1" applyBorder="1" applyAlignment="1" applyProtection="1">
      <alignment horizontal="center" vertical="center"/>
    </xf>
    <xf numFmtId="3" fontId="5" fillId="0" borderId="28" xfId="0" applyNumberFormat="1" applyFont="1" applyBorder="1" applyAlignment="1" applyProtection="1">
      <alignment horizontal="center" vertical="center"/>
    </xf>
    <xf numFmtId="3" fontId="5" fillId="0" borderId="10" xfId="0" applyNumberFormat="1" applyFont="1" applyBorder="1" applyAlignment="1" applyProtection="1">
      <alignment horizontal="center" vertical="center"/>
    </xf>
    <xf numFmtId="164" fontId="83" fillId="18" borderId="0" xfId="0" applyFont="1" applyFill="1" applyBorder="1" applyAlignment="1">
      <alignment horizontal="center" vertical="center"/>
    </xf>
    <xf numFmtId="164" fontId="83" fillId="18" borderId="0" xfId="0" applyFont="1" applyFill="1" applyBorder="1" applyAlignment="1">
      <alignment horizontal="center" vertical="top" wrapText="1"/>
    </xf>
    <xf numFmtId="164" fontId="45" fillId="18" borderId="0" xfId="0" applyFont="1" applyFill="1" applyBorder="1" applyAlignment="1">
      <alignment horizontal="right" vertical="center"/>
    </xf>
    <xf numFmtId="164" fontId="83" fillId="18" borderId="0" xfId="0" applyFont="1" applyFill="1" applyBorder="1" applyAlignment="1">
      <alignment horizontal="center" vertical="center" wrapText="1"/>
    </xf>
    <xf numFmtId="164" fontId="12" fillId="13" borderId="0" xfId="0" applyFont="1" applyFill="1" applyBorder="1" applyProtection="1"/>
    <xf numFmtId="164" fontId="5" fillId="13" borderId="23" xfId="0" applyFont="1" applyFill="1" applyBorder="1" applyAlignment="1" applyProtection="1"/>
    <xf numFmtId="164" fontId="12" fillId="0" borderId="14" xfId="0" applyFont="1" applyBorder="1" applyProtection="1"/>
    <xf numFmtId="164" fontId="12" fillId="0" borderId="0" xfId="0" applyFont="1" applyBorder="1" applyProtection="1"/>
    <xf numFmtId="164" fontId="12" fillId="13" borderId="0" xfId="0" applyFont="1" applyFill="1" applyProtection="1"/>
    <xf numFmtId="164" fontId="5" fillId="4" borderId="14" xfId="0" applyFont="1" applyFill="1" applyBorder="1" applyAlignment="1" applyProtection="1"/>
    <xf numFmtId="164" fontId="12" fillId="0" borderId="20" xfId="0" applyFont="1" applyBorder="1" applyProtection="1"/>
    <xf numFmtId="164" fontId="12" fillId="0" borderId="6" xfId="0" applyFont="1" applyBorder="1" applyProtection="1"/>
    <xf numFmtId="172" fontId="68" fillId="4" borderId="7" xfId="0" applyNumberFormat="1" applyFont="1" applyFill="1" applyBorder="1" applyAlignment="1">
      <alignment horizontal="center"/>
    </xf>
    <xf numFmtId="172" fontId="68" fillId="4" borderId="81" xfId="0" applyNumberFormat="1" applyFont="1" applyFill="1" applyBorder="1" applyAlignment="1">
      <alignment horizontal="center"/>
    </xf>
    <xf numFmtId="164" fontId="69" fillId="4" borderId="20" xfId="0" applyFont="1" applyFill="1" applyBorder="1" applyAlignment="1">
      <alignment horizontal="left"/>
    </xf>
    <xf numFmtId="164" fontId="69" fillId="4" borderId="6" xfId="0" applyFont="1" applyFill="1" applyBorder="1" applyAlignment="1">
      <alignment horizontal="left"/>
    </xf>
    <xf numFmtId="164" fontId="69" fillId="4" borderId="21" xfId="0" applyFont="1" applyFill="1" applyBorder="1" applyAlignment="1">
      <alignment horizontal="center"/>
    </xf>
    <xf numFmtId="3" fontId="69" fillId="0" borderId="1" xfId="0" applyNumberFormat="1" applyFont="1" applyBorder="1" applyAlignment="1">
      <alignment horizontal="center"/>
    </xf>
    <xf numFmtId="3" fontId="69" fillId="0" borderId="9" xfId="0" applyNumberFormat="1" applyFont="1" applyBorder="1" applyAlignment="1">
      <alignment horizontal="center"/>
    </xf>
    <xf numFmtId="164" fontId="69" fillId="4" borderId="9" xfId="0" applyFont="1" applyFill="1" applyBorder="1" applyAlignment="1">
      <alignment horizontal="center"/>
    </xf>
    <xf numFmtId="164" fontId="69" fillId="4" borderId="25" xfId="0" applyFont="1" applyFill="1" applyBorder="1" applyAlignment="1">
      <alignment horizontal="center"/>
    </xf>
    <xf numFmtId="3" fontId="69" fillId="4" borderId="100" xfId="0" applyNumberFormat="1" applyFont="1" applyFill="1" applyBorder="1" applyAlignment="1">
      <alignment horizontal="center"/>
    </xf>
    <xf numFmtId="164" fontId="69" fillId="4" borderId="100" xfId="0" applyFont="1" applyFill="1" applyBorder="1" applyAlignment="1">
      <alignment horizontal="center"/>
    </xf>
    <xf numFmtId="164" fontId="69" fillId="4" borderId="103" xfId="0" applyFont="1" applyFill="1" applyBorder="1" applyAlignment="1">
      <alignment horizontal="left" vertical="center" wrapText="1"/>
    </xf>
    <xf numFmtId="164" fontId="69" fillId="4" borderId="106" xfId="0" applyFont="1" applyFill="1" applyBorder="1" applyAlignment="1">
      <alignment horizontal="left"/>
    </xf>
    <xf numFmtId="172" fontId="68" fillId="4" borderId="0" xfId="0" applyNumberFormat="1" applyFont="1" applyFill="1" applyBorder="1" applyAlignment="1">
      <alignment horizontal="center"/>
    </xf>
    <xf numFmtId="3" fontId="41" fillId="4" borderId="1" xfId="0" applyNumberFormat="1" applyFont="1" applyFill="1" applyBorder="1" applyAlignment="1" applyProtection="1">
      <alignment horizontal="center" vertical="center"/>
      <protection locked="0"/>
    </xf>
    <xf numFmtId="173" fontId="5" fillId="4" borderId="2" xfId="0" applyNumberFormat="1" applyFont="1" applyFill="1" applyBorder="1" applyAlignment="1" applyProtection="1">
      <alignment horizontal="center"/>
    </xf>
    <xf numFmtId="165" fontId="7" fillId="4" borderId="1" xfId="0" applyNumberFormat="1" applyFont="1" applyFill="1" applyBorder="1" applyAlignment="1" applyProtection="1">
      <alignment horizontal="center"/>
    </xf>
    <xf numFmtId="173" fontId="5" fillId="4" borderId="1" xfId="0" applyNumberFormat="1" applyFont="1" applyFill="1" applyBorder="1" applyAlignment="1" applyProtection="1">
      <alignment horizontal="center"/>
    </xf>
    <xf numFmtId="164" fontId="5" fillId="0" borderId="0" xfId="0" applyFont="1" applyBorder="1" applyAlignment="1" applyProtection="1">
      <alignment horizontal="right"/>
    </xf>
    <xf numFmtId="164" fontId="84" fillId="0" borderId="0" xfId="0" applyNumberFormat="1" applyFont="1" applyBorder="1" applyAlignment="1" applyProtection="1">
      <alignment horizontal="center"/>
    </xf>
    <xf numFmtId="164" fontId="12" fillId="0" borderId="1" xfId="0" applyFont="1" applyBorder="1" applyAlignment="1">
      <alignment horizontal="center" wrapText="1"/>
    </xf>
    <xf numFmtId="164" fontId="12" fillId="15" borderId="8" xfId="0" applyFont="1" applyFill="1" applyBorder="1" applyAlignment="1">
      <alignment horizontal="center"/>
    </xf>
    <xf numFmtId="164" fontId="12" fillId="15" borderId="9" xfId="0" applyFont="1" applyFill="1" applyBorder="1" applyAlignment="1">
      <alignment horizontal="center"/>
    </xf>
    <xf numFmtId="2" fontId="5" fillId="15" borderId="8" xfId="0" applyNumberFormat="1" applyFont="1" applyFill="1" applyBorder="1" applyAlignment="1"/>
    <xf numFmtId="2" fontId="5" fillId="15" borderId="9" xfId="0" applyNumberFormat="1" applyFont="1" applyFill="1" applyBorder="1" applyAlignment="1"/>
    <xf numFmtId="2" fontId="5" fillId="15" borderId="10" xfId="0" applyNumberFormat="1" applyFont="1" applyFill="1" applyBorder="1" applyAlignment="1"/>
    <xf numFmtId="168" fontId="12" fillId="15" borderId="8" xfId="0" applyNumberFormat="1" applyFont="1" applyFill="1" applyBorder="1" applyAlignment="1"/>
    <xf numFmtId="168" fontId="12" fillId="15" borderId="9" xfId="0" applyNumberFormat="1" applyFont="1" applyFill="1" applyBorder="1" applyAlignment="1"/>
    <xf numFmtId="168" fontId="12" fillId="15" borderId="10" xfId="0" applyNumberFormat="1" applyFont="1" applyFill="1" applyBorder="1" applyAlignment="1"/>
    <xf numFmtId="164" fontId="12" fillId="0" borderId="7" xfId="0" applyFont="1" applyBorder="1" applyAlignment="1">
      <alignment horizontal="center"/>
    </xf>
    <xf numFmtId="164" fontId="14" fillId="7" borderId="34" xfId="0" applyFont="1" applyFill="1" applyBorder="1" applyAlignment="1" applyProtection="1">
      <alignment horizontal="center"/>
      <protection locked="0"/>
    </xf>
    <xf numFmtId="1" fontId="5" fillId="4" borderId="0" xfId="0" applyNumberFormat="1" applyFont="1" applyFill="1" applyBorder="1" applyAlignment="1" applyProtection="1">
      <alignment horizontal="center"/>
    </xf>
    <xf numFmtId="164" fontId="85" fillId="4" borderId="0" xfId="0" applyFont="1" applyFill="1"/>
    <xf numFmtId="2" fontId="8" fillId="0" borderId="10" xfId="0" applyNumberFormat="1" applyFont="1" applyBorder="1" applyAlignment="1">
      <alignment horizontal="center"/>
    </xf>
    <xf numFmtId="2" fontId="8" fillId="0" borderId="13" xfId="0" applyNumberFormat="1" applyFont="1" applyBorder="1" applyAlignment="1">
      <alignment horizontal="center"/>
    </xf>
    <xf numFmtId="164" fontId="5" fillId="0" borderId="0" xfId="0" applyFont="1" applyBorder="1" applyAlignment="1">
      <alignment horizontal="right"/>
    </xf>
    <xf numFmtId="9" fontId="5" fillId="0" borderId="1" xfId="4" applyFont="1" applyBorder="1" applyAlignment="1" applyProtection="1"/>
    <xf numFmtId="10" fontId="5" fillId="0" borderId="1" xfId="4" applyNumberFormat="1" applyFont="1" applyBorder="1" applyAlignment="1" applyProtection="1"/>
    <xf numFmtId="9" fontId="68" fillId="4" borderId="26" xfId="0" applyNumberFormat="1" applyFont="1" applyFill="1" applyBorder="1" applyAlignment="1">
      <alignment horizontal="center"/>
    </xf>
    <xf numFmtId="9" fontId="68" fillId="4" borderId="38" xfId="0" applyNumberFormat="1" applyFont="1" applyFill="1" applyBorder="1" applyAlignment="1">
      <alignment horizontal="center"/>
    </xf>
    <xf numFmtId="164" fontId="89" fillId="19" borderId="153" xfId="0" applyFont="1" applyFill="1" applyBorder="1" applyAlignment="1"/>
    <xf numFmtId="164" fontId="90" fillId="20" borderId="0" xfId="0" applyFont="1" applyFill="1"/>
    <xf numFmtId="164" fontId="91" fillId="0" borderId="0" xfId="0" applyFont="1"/>
    <xf numFmtId="164" fontId="92" fillId="0" borderId="0" xfId="0" applyFont="1"/>
    <xf numFmtId="164" fontId="93" fillId="0" borderId="0" xfId="0" applyFont="1"/>
    <xf numFmtId="164" fontId="90" fillId="0" borderId="0" xfId="0" applyFont="1"/>
    <xf numFmtId="164" fontId="95" fillId="0" borderId="0" xfId="3" applyFont="1" applyAlignment="1" applyProtection="1">
      <alignment wrapText="1"/>
    </xf>
    <xf numFmtId="164" fontId="91" fillId="20" borderId="0" xfId="0" applyFont="1" applyFill="1"/>
    <xf numFmtId="164" fontId="90" fillId="0" borderId="0" xfId="0" applyFont="1" applyBorder="1" applyAlignment="1" applyProtection="1"/>
    <xf numFmtId="164" fontId="90" fillId="21" borderId="1" xfId="0" applyFont="1" applyFill="1" applyBorder="1" applyAlignment="1" applyProtection="1"/>
    <xf numFmtId="164" fontId="90" fillId="0" borderId="0" xfId="0" applyFont="1" applyFill="1" applyBorder="1" applyAlignment="1" applyProtection="1"/>
    <xf numFmtId="164" fontId="96" fillId="0" borderId="0" xfId="0" applyFont="1"/>
    <xf numFmtId="164" fontId="97" fillId="0" borderId="0" xfId="0" applyFont="1" applyFill="1"/>
    <xf numFmtId="164" fontId="93" fillId="0" borderId="0" xfId="0" applyNumberFormat="1" applyFont="1" applyAlignment="1" applyProtection="1">
      <alignment horizontal="left"/>
    </xf>
    <xf numFmtId="164" fontId="98" fillId="0" borderId="0" xfId="0" applyFont="1" applyAlignment="1">
      <alignment horizontal="center"/>
    </xf>
    <xf numFmtId="164" fontId="90" fillId="0" borderId="0" xfId="0" applyFont="1" applyFill="1" applyBorder="1" applyAlignment="1" applyProtection="1">
      <alignment horizontal="right"/>
      <protection locked="0"/>
    </xf>
    <xf numFmtId="164" fontId="90" fillId="0" borderId="0" xfId="0" applyNumberFormat="1" applyFont="1" applyAlignment="1" applyProtection="1">
      <alignment horizontal="left" wrapText="1"/>
    </xf>
    <xf numFmtId="164" fontId="90" fillId="0" borderId="0" xfId="0" applyNumberFormat="1" applyFont="1" applyAlignment="1" applyProtection="1">
      <alignment horizontal="center"/>
    </xf>
    <xf numFmtId="164" fontId="90" fillId="3" borderId="1" xfId="0" applyNumberFormat="1" applyFont="1" applyFill="1" applyBorder="1" applyProtection="1">
      <protection locked="0"/>
    </xf>
    <xf numFmtId="164" fontId="90" fillId="0" borderId="0" xfId="0" applyNumberFormat="1" applyFont="1" applyFill="1" applyBorder="1" applyProtection="1">
      <protection locked="0"/>
    </xf>
    <xf numFmtId="164" fontId="91" fillId="0" borderId="0" xfId="0" applyFont="1" applyFill="1"/>
    <xf numFmtId="174" fontId="90" fillId="3" borderId="1" xfId="5" applyNumberFormat="1" applyFont="1" applyFill="1" applyBorder="1" applyProtection="1">
      <protection locked="0"/>
    </xf>
    <xf numFmtId="174" fontId="90" fillId="0" borderId="0" xfId="5" applyNumberFormat="1" applyFont="1"/>
    <xf numFmtId="174" fontId="90" fillId="0" borderId="0" xfId="5" applyNumberFormat="1" applyFont="1" applyFill="1" applyBorder="1" applyProtection="1">
      <protection locked="0"/>
    </xf>
    <xf numFmtId="5" fontId="90" fillId="3" borderId="1" xfId="0" applyNumberFormat="1" applyFont="1" applyFill="1" applyBorder="1" applyProtection="1">
      <protection locked="0"/>
    </xf>
    <xf numFmtId="44" fontId="90" fillId="0" borderId="0" xfId="6" applyFont="1"/>
    <xf numFmtId="44" fontId="90" fillId="0" borderId="0" xfId="6" applyFont="1" applyFill="1" applyBorder="1" applyProtection="1">
      <protection locked="0"/>
    </xf>
    <xf numFmtId="9" fontId="90" fillId="3" borderId="1" xfId="4" applyFont="1" applyFill="1" applyBorder="1" applyProtection="1">
      <protection locked="0"/>
    </xf>
    <xf numFmtId="9" fontId="90" fillId="0" borderId="0" xfId="4" applyFont="1"/>
    <xf numFmtId="9" fontId="90" fillId="0" borderId="0" xfId="4" applyFont="1" applyFill="1" applyBorder="1" applyProtection="1">
      <protection locked="0"/>
    </xf>
    <xf numFmtId="7" fontId="90" fillId="3" borderId="1" xfId="0" applyNumberFormat="1" applyFont="1" applyFill="1" applyBorder="1" applyProtection="1">
      <protection locked="0"/>
    </xf>
    <xf numFmtId="44" fontId="93" fillId="0" borderId="0" xfId="6" applyFont="1" applyFill="1" applyBorder="1" applyAlignment="1" applyProtection="1">
      <alignment horizontal="center"/>
      <protection locked="0"/>
    </xf>
    <xf numFmtId="164" fontId="93" fillId="0" borderId="0" xfId="0" applyNumberFormat="1" applyFont="1" applyBorder="1" applyAlignment="1" applyProtection="1">
      <alignment horizontal="center"/>
    </xf>
    <xf numFmtId="164" fontId="99" fillId="0" borderId="0" xfId="0" applyFont="1" applyFill="1" applyProtection="1">
      <protection locked="0"/>
    </xf>
    <xf numFmtId="2" fontId="99" fillId="0" borderId="0" xfId="0" applyNumberFormat="1" applyFont="1" applyFill="1" applyProtection="1">
      <protection locked="0"/>
    </xf>
    <xf numFmtId="164" fontId="93" fillId="0" borderId="0" xfId="0" applyNumberFormat="1" applyFont="1" applyAlignment="1" applyProtection="1">
      <alignment horizontal="left" wrapText="1"/>
    </xf>
    <xf numFmtId="164" fontId="93" fillId="2" borderId="1" xfId="0" applyNumberFormat="1" applyFont="1" applyFill="1" applyBorder="1" applyAlignment="1" applyProtection="1">
      <alignment horizontal="center" wrapText="1"/>
    </xf>
    <xf numFmtId="164" fontId="93" fillId="2" borderId="1" xfId="0" applyFont="1" applyFill="1" applyBorder="1" applyAlignment="1">
      <alignment horizontal="center" wrapText="1"/>
    </xf>
    <xf numFmtId="164" fontId="93" fillId="0" borderId="0" xfId="0" applyFont="1" applyFill="1" applyBorder="1" applyAlignment="1" applyProtection="1">
      <alignment wrapText="1"/>
    </xf>
    <xf numFmtId="164" fontId="91" fillId="0" borderId="0" xfId="0" applyNumberFormat="1" applyFont="1" applyAlignment="1">
      <alignment wrapText="1"/>
    </xf>
    <xf numFmtId="164" fontId="94" fillId="0" borderId="0" xfId="3" applyNumberFormat="1" applyFont="1" applyAlignment="1" applyProtection="1">
      <alignment horizontal="left" wrapText="1"/>
    </xf>
    <xf numFmtId="9" fontId="91" fillId="3" borderId="1" xfId="4" applyFont="1" applyFill="1" applyBorder="1" applyProtection="1">
      <protection locked="0"/>
    </xf>
    <xf numFmtId="7" fontId="90" fillId="0" borderId="0" xfId="0" applyNumberFormat="1" applyFont="1" applyBorder="1" applyAlignment="1"/>
    <xf numFmtId="5" fontId="90" fillId="0" borderId="0" xfId="0" applyNumberFormat="1" applyFont="1"/>
    <xf numFmtId="164" fontId="90" fillId="0" borderId="0" xfId="0" applyFont="1" applyAlignment="1">
      <alignment wrapText="1"/>
    </xf>
    <xf numFmtId="164" fontId="90" fillId="0" borderId="7" xfId="0" applyFont="1" applyBorder="1"/>
    <xf numFmtId="164" fontId="90" fillId="0" borderId="22" xfId="0" applyNumberFormat="1" applyFont="1" applyBorder="1" applyProtection="1">
      <protection locked="0"/>
    </xf>
    <xf numFmtId="164" fontId="90" fillId="0" borderId="7" xfId="0" applyNumberFormat="1" applyFont="1" applyBorder="1" applyProtection="1">
      <protection locked="0"/>
    </xf>
    <xf numFmtId="164" fontId="91" fillId="0" borderId="7" xfId="0" applyFont="1" applyBorder="1"/>
    <xf numFmtId="175" fontId="90" fillId="0" borderId="0" xfId="0" applyNumberFormat="1" applyFont="1" applyBorder="1" applyAlignment="1"/>
    <xf numFmtId="164" fontId="90" fillId="0" borderId="0" xfId="0" applyFont="1" applyFill="1"/>
    <xf numFmtId="164" fontId="90" fillId="0" borderId="81" xfId="0" applyFont="1" applyBorder="1"/>
    <xf numFmtId="164" fontId="90" fillId="0" borderId="19" xfId="0" applyNumberFormat="1" applyFont="1" applyBorder="1" applyProtection="1">
      <protection locked="0"/>
    </xf>
    <xf numFmtId="164" fontId="90" fillId="0" borderId="81" xfId="0" applyNumberFormat="1" applyFont="1" applyBorder="1" applyProtection="1">
      <protection locked="0"/>
    </xf>
    <xf numFmtId="164" fontId="90" fillId="0" borderId="81" xfId="0" applyNumberFormat="1" applyFont="1" applyFill="1" applyBorder="1" applyProtection="1">
      <protection locked="0"/>
    </xf>
    <xf numFmtId="164" fontId="91" fillId="0" borderId="81" xfId="0" applyFont="1" applyBorder="1"/>
    <xf numFmtId="164" fontId="90" fillId="0" borderId="81" xfId="0" applyNumberFormat="1" applyFont="1" applyBorder="1" applyAlignment="1" applyProtection="1">
      <alignment horizontal="left"/>
    </xf>
    <xf numFmtId="7" fontId="90" fillId="3" borderId="10" xfId="0" applyNumberFormat="1" applyFont="1" applyFill="1" applyBorder="1" applyProtection="1">
      <protection locked="0"/>
    </xf>
    <xf numFmtId="44" fontId="90" fillId="0" borderId="81" xfId="6" applyFont="1" applyFill="1" applyBorder="1" applyProtection="1">
      <protection locked="0"/>
    </xf>
    <xf numFmtId="7" fontId="90" fillId="0" borderId="81" xfId="0" applyNumberFormat="1" applyFont="1" applyBorder="1" applyAlignment="1" applyProtection="1">
      <alignment horizontal="left"/>
      <protection locked="0"/>
    </xf>
    <xf numFmtId="5" fontId="90" fillId="0" borderId="0" xfId="0" applyNumberFormat="1" applyFont="1" applyBorder="1" applyAlignment="1"/>
    <xf numFmtId="164" fontId="90" fillId="3" borderId="10" xfId="0" applyNumberFormat="1" applyFont="1" applyFill="1" applyBorder="1" applyProtection="1">
      <protection locked="0"/>
    </xf>
    <xf numFmtId="164" fontId="90" fillId="0" borderId="81" xfId="0" applyNumberFormat="1" applyFont="1" applyBorder="1" applyAlignment="1" applyProtection="1">
      <alignment horizontal="left"/>
      <protection locked="0"/>
    </xf>
    <xf numFmtId="44" fontId="90" fillId="0" borderId="19" xfId="6" applyFont="1" applyFill="1" applyBorder="1" applyProtection="1">
      <protection locked="0"/>
    </xf>
    <xf numFmtId="44" fontId="90" fillId="3" borderId="1" xfId="6" applyFont="1" applyFill="1" applyBorder="1" applyProtection="1">
      <protection locked="0"/>
    </xf>
    <xf numFmtId="164" fontId="90" fillId="0" borderId="19" xfId="0" applyNumberFormat="1" applyFont="1" applyFill="1" applyBorder="1" applyProtection="1">
      <protection locked="0"/>
    </xf>
    <xf numFmtId="164" fontId="91" fillId="19" borderId="0" xfId="0" applyFont="1" applyFill="1"/>
    <xf numFmtId="44" fontId="91" fillId="3" borderId="1" xfId="6" applyFont="1" applyFill="1" applyBorder="1" applyProtection="1">
      <protection locked="0"/>
    </xf>
    <xf numFmtId="164" fontId="91" fillId="3" borderId="1" xfId="0" applyFont="1" applyFill="1" applyBorder="1" applyProtection="1">
      <protection locked="0"/>
    </xf>
    <xf numFmtId="164" fontId="91" fillId="2" borderId="1" xfId="0" applyFont="1" applyFill="1" applyBorder="1"/>
    <xf numFmtId="164" fontId="90" fillId="0" borderId="1" xfId="0" applyNumberFormat="1" applyFont="1" applyFill="1" applyBorder="1" applyProtection="1">
      <protection locked="0"/>
    </xf>
    <xf numFmtId="164" fontId="90" fillId="0" borderId="81" xfId="0" applyNumberFormat="1" applyFont="1" applyBorder="1" applyAlignment="1" applyProtection="1">
      <alignment horizontal="center"/>
    </xf>
    <xf numFmtId="176" fontId="91" fillId="3" borderId="1" xfId="4" applyNumberFormat="1" applyFont="1" applyFill="1" applyBorder="1" applyProtection="1">
      <protection locked="0"/>
    </xf>
    <xf numFmtId="176" fontId="90" fillId="3" borderId="1" xfId="4" applyNumberFormat="1" applyFont="1" applyFill="1" applyBorder="1" applyProtection="1">
      <protection locked="0"/>
    </xf>
    <xf numFmtId="164" fontId="90" fillId="0" borderId="0" xfId="0" applyFont="1" applyAlignment="1">
      <alignment horizontal="center"/>
    </xf>
    <xf numFmtId="164" fontId="90" fillId="3" borderId="1" xfId="0" applyNumberFormat="1" applyFont="1" applyFill="1" applyBorder="1" applyAlignment="1" applyProtection="1">
      <alignment horizontal="right"/>
      <protection locked="0"/>
    </xf>
    <xf numFmtId="164" fontId="90" fillId="0" borderId="0" xfId="0" applyNumberFormat="1" applyFont="1" applyFill="1" applyBorder="1" applyAlignment="1" applyProtection="1">
      <alignment horizontal="right"/>
    </xf>
    <xf numFmtId="164" fontId="91" fillId="0" borderId="0" xfId="0" applyFont="1" applyFill="1" applyBorder="1"/>
    <xf numFmtId="164" fontId="93" fillId="0" borderId="12" xfId="0" applyNumberFormat="1" applyFont="1" applyBorder="1" applyAlignment="1" applyProtection="1">
      <alignment horizontal="left" wrapText="1"/>
    </xf>
    <xf numFmtId="164" fontId="90" fillId="0" borderId="12" xfId="0" applyFont="1" applyBorder="1"/>
    <xf numFmtId="164" fontId="93" fillId="0" borderId="41" xfId="0" applyNumberFormat="1" applyFont="1" applyBorder="1" applyAlignment="1" applyProtection="1">
      <alignment horizontal="left" wrapText="1"/>
    </xf>
    <xf numFmtId="164" fontId="93" fillId="0" borderId="13" xfId="0" applyFont="1" applyBorder="1" applyAlignment="1">
      <alignment horizontal="center"/>
    </xf>
    <xf numFmtId="164" fontId="93" fillId="0" borderId="1" xfId="0" applyNumberFormat="1" applyFont="1" applyBorder="1" applyAlignment="1" applyProtection="1">
      <alignment horizontal="center" wrapText="1"/>
    </xf>
    <xf numFmtId="164" fontId="90" fillId="0" borderId="14" xfId="0" applyNumberFormat="1" applyFont="1" applyBorder="1" applyAlignment="1" applyProtection="1">
      <alignment horizontal="left" wrapText="1"/>
    </xf>
    <xf numFmtId="37" fontId="90" fillId="0" borderId="22" xfId="0" applyNumberFormat="1" applyFont="1" applyBorder="1" applyAlignment="1" applyProtection="1">
      <alignment horizontal="center"/>
    </xf>
    <xf numFmtId="37" fontId="90" fillId="0" borderId="22" xfId="0" applyNumberFormat="1" applyFont="1" applyBorder="1" applyProtection="1"/>
    <xf numFmtId="1" fontId="91" fillId="0" borderId="0" xfId="0" applyNumberFormat="1" applyFont="1"/>
    <xf numFmtId="164" fontId="91" fillId="0" borderId="14" xfId="0" applyFont="1" applyBorder="1" applyAlignment="1">
      <alignment wrapText="1"/>
    </xf>
    <xf numFmtId="164" fontId="91" fillId="0" borderId="19" xfId="0" applyFont="1" applyBorder="1" applyAlignment="1">
      <alignment horizontal="center"/>
    </xf>
    <xf numFmtId="164" fontId="91" fillId="0" borderId="19" xfId="0" applyFont="1" applyBorder="1"/>
    <xf numFmtId="37" fontId="90" fillId="0" borderId="19" xfId="0" applyNumberFormat="1" applyFont="1" applyBorder="1" applyAlignment="1" applyProtection="1">
      <alignment horizontal="center"/>
    </xf>
    <xf numFmtId="37" fontId="90" fillId="0" borderId="19" xfId="0" applyNumberFormat="1" applyFont="1" applyBorder="1" applyProtection="1"/>
    <xf numFmtId="164" fontId="90" fillId="0" borderId="19" xfId="0" applyFont="1" applyBorder="1" applyAlignment="1">
      <alignment horizontal="center"/>
    </xf>
    <xf numFmtId="42" fontId="90" fillId="0" borderId="19" xfId="0" applyNumberFormat="1" applyFont="1" applyBorder="1" applyProtection="1"/>
    <xf numFmtId="174" fontId="90" fillId="0" borderId="19" xfId="5" applyNumberFormat="1" applyFont="1" applyBorder="1" applyProtection="1"/>
    <xf numFmtId="174" fontId="90" fillId="0" borderId="81" xfId="5" applyNumberFormat="1" applyFont="1" applyBorder="1" applyProtection="1"/>
    <xf numFmtId="174" fontId="100" fillId="0" borderId="19" xfId="5" applyNumberFormat="1" applyFont="1" applyBorder="1" applyProtection="1"/>
    <xf numFmtId="5" fontId="90" fillId="0" borderId="19" xfId="0" applyNumberFormat="1" applyFont="1" applyBorder="1" applyAlignment="1" applyProtection="1">
      <alignment horizontal="center"/>
    </xf>
    <xf numFmtId="164" fontId="93" fillId="0" borderId="14" xfId="0" applyNumberFormat="1" applyFont="1" applyBorder="1" applyAlignment="1" applyProtection="1">
      <alignment horizontal="left" wrapText="1"/>
    </xf>
    <xf numFmtId="164" fontId="93" fillId="0" borderId="19" xfId="0" applyFont="1" applyBorder="1" applyAlignment="1">
      <alignment horizontal="center"/>
    </xf>
    <xf numFmtId="42" fontId="93" fillId="0" borderId="19" xfId="0" applyNumberFormat="1" applyFont="1" applyBorder="1" applyProtection="1"/>
    <xf numFmtId="164" fontId="90" fillId="0" borderId="14" xfId="0" applyFont="1" applyBorder="1" applyAlignment="1">
      <alignment wrapText="1"/>
    </xf>
    <xf numFmtId="177" fontId="100" fillId="0" borderId="19" xfId="6" applyNumberFormat="1" applyFont="1" applyBorder="1"/>
    <xf numFmtId="177" fontId="93" fillId="0" borderId="19" xfId="6" applyNumberFormat="1" applyFont="1" applyBorder="1" applyProtection="1"/>
    <xf numFmtId="177" fontId="101" fillId="0" borderId="19" xfId="6" applyNumberFormat="1" applyFont="1" applyBorder="1" applyProtection="1"/>
    <xf numFmtId="44" fontId="90" fillId="0" borderId="19" xfId="6" applyFont="1" applyBorder="1" applyProtection="1"/>
    <xf numFmtId="164" fontId="93" fillId="0" borderId="14" xfId="0" applyFont="1" applyBorder="1" applyAlignment="1">
      <alignment wrapText="1"/>
    </xf>
    <xf numFmtId="177" fontId="93" fillId="0" borderId="19" xfId="6" applyNumberFormat="1" applyFont="1" applyBorder="1"/>
    <xf numFmtId="164" fontId="93" fillId="0" borderId="20" xfId="0" applyFont="1" applyBorder="1" applyAlignment="1">
      <alignment wrapText="1"/>
    </xf>
    <xf numFmtId="164" fontId="93" fillId="0" borderId="44" xfId="0" applyFont="1" applyBorder="1" applyAlignment="1">
      <alignment horizontal="center"/>
    </xf>
    <xf numFmtId="177" fontId="93" fillId="0" borderId="44" xfId="6" applyNumberFormat="1" applyFont="1" applyBorder="1"/>
    <xf numFmtId="164" fontId="91" fillId="0" borderId="0" xfId="0" applyFont="1" applyAlignment="1"/>
    <xf numFmtId="164" fontId="90" fillId="0" borderId="0" xfId="0" applyFont="1" applyBorder="1" applyAlignment="1" applyProtection="1">
      <alignment horizontal="left"/>
    </xf>
    <xf numFmtId="164" fontId="94" fillId="0" borderId="0" xfId="3" applyFont="1" applyAlignment="1" applyProtection="1">
      <alignment horizontal="left"/>
    </xf>
    <xf numFmtId="164" fontId="102" fillId="0" borderId="0" xfId="0" applyFont="1"/>
    <xf numFmtId="164" fontId="90" fillId="0" borderId="0" xfId="3" applyFont="1" applyAlignment="1" applyProtection="1">
      <alignment horizontal="left"/>
    </xf>
    <xf numFmtId="14" fontId="90" fillId="0" borderId="0" xfId="0" applyNumberFormat="1" applyFont="1" applyAlignment="1" applyProtection="1">
      <alignment horizontal="left"/>
    </xf>
    <xf numFmtId="164" fontId="103" fillId="0" borderId="0" xfId="0" applyFont="1" applyAlignment="1">
      <alignment horizontal="left"/>
    </xf>
    <xf numFmtId="164" fontId="103" fillId="0" borderId="0" xfId="0" applyFont="1" applyAlignment="1">
      <alignment horizontal="left" wrapText="1"/>
    </xf>
    <xf numFmtId="164" fontId="103" fillId="0" borderId="0" xfId="0" applyFont="1" applyAlignment="1">
      <alignment wrapText="1"/>
    </xf>
    <xf numFmtId="49" fontId="45" fillId="7" borderId="1" xfId="0" applyNumberFormat="1" applyFont="1" applyFill="1" applyBorder="1" applyAlignment="1" applyProtection="1">
      <alignment horizontal="center"/>
      <protection locked="0"/>
    </xf>
    <xf numFmtId="164" fontId="45" fillId="7" borderId="1" xfId="0" applyFont="1" applyFill="1" applyBorder="1" applyAlignment="1" applyProtection="1">
      <alignment horizontal="center"/>
      <protection locked="0"/>
    </xf>
    <xf numFmtId="164" fontId="106" fillId="10" borderId="0" xfId="0" applyFont="1" applyFill="1" applyBorder="1"/>
    <xf numFmtId="3" fontId="88" fillId="0" borderId="9" xfId="0" applyNumberFormat="1" applyFont="1" applyBorder="1" applyAlignment="1" applyProtection="1">
      <alignment horizontal="center"/>
    </xf>
    <xf numFmtId="164" fontId="88" fillId="0" borderId="10" xfId="0" applyFont="1" applyBorder="1" applyProtection="1"/>
    <xf numFmtId="164" fontId="5" fillId="16" borderId="0" xfId="0" applyFont="1" applyFill="1" applyBorder="1"/>
    <xf numFmtId="164" fontId="109" fillId="16" borderId="0" xfId="0" applyFont="1" applyFill="1" applyBorder="1"/>
    <xf numFmtId="164" fontId="12" fillId="16" borderId="6" xfId="0" applyFont="1" applyFill="1" applyBorder="1" applyAlignment="1">
      <alignment vertical="top"/>
    </xf>
    <xf numFmtId="164" fontId="108" fillId="16" borderId="6" xfId="0" applyFont="1" applyFill="1" applyBorder="1" applyAlignment="1">
      <alignment vertical="top"/>
    </xf>
    <xf numFmtId="168" fontId="7" fillId="3" borderId="1" xfId="0" applyNumberFormat="1" applyFont="1" applyFill="1" applyBorder="1" applyAlignment="1" applyProtection="1">
      <alignment horizontal="center" vertical="center"/>
      <protection locked="0"/>
    </xf>
    <xf numFmtId="10" fontId="68" fillId="4" borderId="0" xfId="0" applyNumberFormat="1" applyFont="1" applyFill="1" applyBorder="1" applyAlignment="1">
      <alignment horizontal="center"/>
    </xf>
    <xf numFmtId="10" fontId="68" fillId="4" borderId="26" xfId="0" applyNumberFormat="1" applyFont="1" applyFill="1" applyBorder="1" applyAlignment="1">
      <alignment horizontal="center"/>
    </xf>
    <xf numFmtId="164" fontId="88" fillId="0" borderId="0" xfId="0" applyFont="1" applyBorder="1" applyAlignment="1">
      <alignment horizontal="right"/>
    </xf>
    <xf numFmtId="10" fontId="110" fillId="0" borderId="9" xfId="0" applyNumberFormat="1" applyFont="1" applyBorder="1" applyAlignment="1" applyProtection="1"/>
    <xf numFmtId="164" fontId="22" fillId="10" borderId="0" xfId="0" applyFont="1" applyFill="1" applyBorder="1" applyAlignment="1">
      <alignment horizontal="center" vertical="center"/>
    </xf>
    <xf numFmtId="164" fontId="22" fillId="10" borderId="109" xfId="0" applyFont="1" applyFill="1" applyBorder="1" applyAlignment="1">
      <alignment horizontal="center" vertical="center"/>
    </xf>
    <xf numFmtId="164" fontId="44" fillId="8" borderId="8" xfId="0" applyNumberFormat="1" applyFont="1" applyFill="1" applyBorder="1" applyAlignment="1" applyProtection="1">
      <alignment horizontal="right"/>
    </xf>
    <xf numFmtId="164" fontId="44" fillId="8" borderId="9" xfId="0" applyNumberFormat="1" applyFont="1" applyFill="1" applyBorder="1" applyAlignment="1" applyProtection="1">
      <alignment horizontal="right"/>
    </xf>
    <xf numFmtId="164" fontId="63" fillId="18" borderId="0" xfId="0" applyFont="1" applyFill="1" applyBorder="1" applyAlignment="1">
      <alignment horizontal="center" vertical="top"/>
    </xf>
    <xf numFmtId="164" fontId="12" fillId="8" borderId="0" xfId="0" applyNumberFormat="1" applyFont="1" applyFill="1" applyBorder="1" applyAlignment="1" applyProtection="1">
      <alignment horizontal="right"/>
    </xf>
    <xf numFmtId="164" fontId="41" fillId="8" borderId="0" xfId="0" applyNumberFormat="1" applyFont="1" applyFill="1" applyBorder="1" applyAlignment="1" applyProtection="1">
      <alignment horizontal="right"/>
    </xf>
    <xf numFmtId="164" fontId="38" fillId="8" borderId="0" xfId="0" applyNumberFormat="1" applyFont="1" applyFill="1" applyBorder="1" applyAlignment="1" applyProtection="1">
      <alignment horizontal="right"/>
    </xf>
    <xf numFmtId="164" fontId="45" fillId="0" borderId="23" xfId="0" applyFont="1" applyBorder="1" applyAlignment="1">
      <alignment horizontal="right"/>
    </xf>
    <xf numFmtId="164" fontId="45" fillId="0" borderId="0" xfId="0" applyFont="1" applyBorder="1" applyAlignment="1">
      <alignment horizontal="right"/>
    </xf>
    <xf numFmtId="164" fontId="45" fillId="0" borderId="19" xfId="0" applyFont="1" applyBorder="1" applyAlignment="1">
      <alignment horizontal="right"/>
    </xf>
    <xf numFmtId="164" fontId="59" fillId="9" borderId="75" xfId="0" applyNumberFormat="1" applyFont="1" applyFill="1" applyBorder="1" applyAlignment="1" applyProtection="1">
      <alignment horizontal="left" vertical="center" wrapText="1"/>
    </xf>
    <xf numFmtId="164" fontId="59" fillId="9" borderId="76" xfId="0" applyNumberFormat="1" applyFont="1" applyFill="1" applyBorder="1" applyAlignment="1" applyProtection="1">
      <alignment horizontal="left" vertical="center" wrapText="1"/>
    </xf>
    <xf numFmtId="164" fontId="45" fillId="0" borderId="11" xfId="0" applyFont="1" applyBorder="1" applyAlignment="1">
      <alignment horizontal="center"/>
    </xf>
    <xf numFmtId="164" fontId="45" fillId="0" borderId="0" xfId="0" applyFont="1" applyBorder="1" applyAlignment="1">
      <alignment horizontal="center"/>
    </xf>
    <xf numFmtId="164" fontId="5" fillId="0" borderId="0" xfId="0" applyFont="1" applyBorder="1" applyAlignment="1" applyProtection="1">
      <alignment horizontal="right"/>
    </xf>
    <xf numFmtId="164" fontId="107" fillId="0" borderId="8" xfId="0" applyFont="1" applyBorder="1" applyAlignment="1" applyProtection="1">
      <alignment horizontal="right"/>
    </xf>
    <xf numFmtId="164" fontId="107" fillId="0" borderId="9" xfId="0" applyFont="1" applyBorder="1" applyAlignment="1" applyProtection="1">
      <alignment horizontal="right"/>
    </xf>
    <xf numFmtId="164" fontId="22" fillId="10" borderId="8" xfId="0" applyFont="1" applyFill="1" applyBorder="1" applyAlignment="1">
      <alignment horizontal="center" vertical="center"/>
    </xf>
    <xf numFmtId="164" fontId="22" fillId="10" borderId="9" xfId="0" applyFont="1" applyFill="1" applyBorder="1" applyAlignment="1">
      <alignment horizontal="center" vertical="center"/>
    </xf>
    <xf numFmtId="164" fontId="22" fillId="10" borderId="10" xfId="0" applyFont="1" applyFill="1" applyBorder="1" applyAlignment="1">
      <alignment horizontal="center" vertical="center"/>
    </xf>
    <xf numFmtId="164" fontId="5" fillId="10" borderId="8" xfId="0" applyFont="1" applyFill="1" applyBorder="1" applyAlignment="1" applyProtection="1">
      <alignment horizontal="center"/>
    </xf>
    <xf numFmtId="164" fontId="5" fillId="10" borderId="9" xfId="0" applyFont="1" applyFill="1" applyBorder="1" applyAlignment="1" applyProtection="1">
      <alignment horizontal="center"/>
    </xf>
    <xf numFmtId="164" fontId="5" fillId="10" borderId="10" xfId="0" applyFont="1" applyFill="1" applyBorder="1" applyAlignment="1" applyProtection="1">
      <alignment horizontal="center"/>
    </xf>
    <xf numFmtId="164" fontId="5" fillId="0" borderId="0" xfId="0" applyFont="1" applyFill="1" applyBorder="1" applyAlignment="1" applyProtection="1">
      <alignment horizontal="right"/>
    </xf>
    <xf numFmtId="164" fontId="5" fillId="0" borderId="19" xfId="0" applyFont="1" applyFill="1" applyBorder="1" applyAlignment="1" applyProtection="1">
      <alignment horizontal="right"/>
    </xf>
    <xf numFmtId="164" fontId="44" fillId="0" borderId="0" xfId="0" applyFont="1" applyBorder="1" applyAlignment="1" applyProtection="1">
      <alignment horizontal="right"/>
    </xf>
    <xf numFmtId="164" fontId="5" fillId="0" borderId="23" xfId="0" applyFont="1" applyBorder="1" applyAlignment="1" applyProtection="1">
      <alignment horizontal="right"/>
    </xf>
    <xf numFmtId="164" fontId="5" fillId="0" borderId="19" xfId="0" applyFont="1" applyBorder="1" applyAlignment="1" applyProtection="1">
      <alignment horizontal="right"/>
    </xf>
    <xf numFmtId="164" fontId="44" fillId="0" borderId="12" xfId="0" applyFont="1" applyBorder="1" applyAlignment="1" applyProtection="1">
      <alignment horizontal="right"/>
    </xf>
    <xf numFmtId="164" fontId="44" fillId="0" borderId="13" xfId="0" applyFont="1" applyBorder="1" applyAlignment="1" applyProtection="1">
      <alignment horizontal="right"/>
    </xf>
    <xf numFmtId="164" fontId="5" fillId="0" borderId="23" xfId="0" applyFont="1" applyBorder="1" applyAlignment="1" applyProtection="1">
      <alignment horizontal="right" vertical="center"/>
    </xf>
    <xf numFmtId="164" fontId="5" fillId="0" borderId="0" xfId="0" applyFont="1" applyBorder="1" applyAlignment="1" applyProtection="1">
      <alignment horizontal="right" vertical="center"/>
    </xf>
    <xf numFmtId="0" fontId="41" fillId="7" borderId="24" xfId="0" applyNumberFormat="1" applyFont="1" applyFill="1" applyBorder="1" applyAlignment="1" applyProtection="1">
      <alignment horizontal="left" vertical="top" wrapText="1"/>
      <protection locked="0"/>
    </xf>
    <xf numFmtId="0" fontId="41" fillId="7" borderId="11" xfId="0" applyNumberFormat="1" applyFont="1" applyFill="1" applyBorder="1" applyAlignment="1" applyProtection="1">
      <alignment horizontal="left" vertical="top" wrapText="1"/>
      <protection locked="0"/>
    </xf>
    <xf numFmtId="0" fontId="41" fillId="7" borderId="22" xfId="0" applyNumberFormat="1" applyFont="1" applyFill="1" applyBorder="1" applyAlignment="1" applyProtection="1">
      <alignment horizontal="left" vertical="top" wrapText="1"/>
      <protection locked="0"/>
    </xf>
    <xf numFmtId="0" fontId="41" fillId="7" borderId="23" xfId="0" applyNumberFormat="1" applyFont="1" applyFill="1" applyBorder="1" applyAlignment="1" applyProtection="1">
      <alignment horizontal="left" vertical="top" wrapText="1"/>
      <protection locked="0"/>
    </xf>
    <xf numFmtId="0" fontId="41" fillId="7" borderId="0" xfId="0" applyNumberFormat="1" applyFont="1" applyFill="1" applyBorder="1" applyAlignment="1" applyProtection="1">
      <alignment horizontal="left" vertical="top" wrapText="1"/>
      <protection locked="0"/>
    </xf>
    <xf numFmtId="0" fontId="41" fillId="7" borderId="19" xfId="0" applyNumberFormat="1" applyFont="1" applyFill="1" applyBorder="1" applyAlignment="1" applyProtection="1">
      <alignment horizontal="left" vertical="top" wrapText="1"/>
      <protection locked="0"/>
    </xf>
    <xf numFmtId="0" fontId="41" fillId="7" borderId="26" xfId="0" applyNumberFormat="1" applyFont="1" applyFill="1" applyBorder="1" applyAlignment="1" applyProtection="1">
      <alignment horizontal="left" vertical="top" wrapText="1"/>
      <protection locked="0"/>
    </xf>
    <xf numFmtId="0" fontId="41" fillId="7" borderId="12" xfId="0" applyNumberFormat="1" applyFont="1" applyFill="1" applyBorder="1" applyAlignment="1" applyProtection="1">
      <alignment horizontal="left" vertical="top" wrapText="1"/>
      <protection locked="0"/>
    </xf>
    <xf numFmtId="0" fontId="41" fillId="7" borderId="13" xfId="0" applyNumberFormat="1" applyFont="1" applyFill="1" applyBorder="1" applyAlignment="1" applyProtection="1">
      <alignment horizontal="left" vertical="top" wrapText="1"/>
      <protection locked="0"/>
    </xf>
    <xf numFmtId="3" fontId="5" fillId="0" borderId="0" xfId="0" applyNumberFormat="1" applyFont="1" applyBorder="1" applyAlignment="1" applyProtection="1">
      <alignment horizontal="right"/>
    </xf>
    <xf numFmtId="164" fontId="5" fillId="0" borderId="11" xfId="0" applyFont="1" applyBorder="1" applyAlignment="1">
      <alignment horizontal="center"/>
    </xf>
    <xf numFmtId="164" fontId="5" fillId="0" borderId="0" xfId="0" applyFont="1" applyBorder="1" applyAlignment="1">
      <alignment horizontal="center"/>
    </xf>
    <xf numFmtId="164" fontId="12" fillId="16" borderId="20" xfId="0" applyFont="1" applyFill="1" applyBorder="1" applyAlignment="1">
      <alignment horizontal="right" vertical="center"/>
    </xf>
    <xf numFmtId="164" fontId="12" fillId="16" borderId="6" xfId="0" applyFont="1" applyFill="1" applyBorder="1" applyAlignment="1">
      <alignment horizontal="right" vertical="center"/>
    </xf>
    <xf numFmtId="164" fontId="5" fillId="0" borderId="65" xfId="0" applyFont="1" applyBorder="1" applyAlignment="1">
      <alignment horizontal="center"/>
    </xf>
    <xf numFmtId="164" fontId="5" fillId="0" borderId="66" xfId="0" applyFont="1" applyBorder="1" applyAlignment="1">
      <alignment horizontal="center"/>
    </xf>
    <xf numFmtId="164" fontId="27" fillId="16" borderId="14" xfId="0" applyFont="1" applyFill="1" applyBorder="1" applyAlignment="1">
      <alignment horizontal="center" wrapText="1"/>
    </xf>
    <xf numFmtId="164" fontId="27" fillId="16" borderId="0" xfId="0" applyFont="1" applyFill="1" applyBorder="1" applyAlignment="1">
      <alignment horizontal="center" wrapText="1"/>
    </xf>
    <xf numFmtId="164" fontId="22" fillId="0" borderId="50" xfId="0" applyFont="1" applyBorder="1" applyAlignment="1">
      <alignment horizontal="center" vertical="center"/>
    </xf>
    <xf numFmtId="164" fontId="22" fillId="0" borderId="48" xfId="0" applyFont="1" applyBorder="1" applyAlignment="1">
      <alignment horizontal="center" vertical="center"/>
    </xf>
    <xf numFmtId="164" fontId="22" fillId="0" borderId="51" xfId="0" applyFont="1" applyBorder="1" applyAlignment="1">
      <alignment horizontal="center" vertical="center"/>
    </xf>
    <xf numFmtId="164" fontId="59" fillId="0" borderId="52" xfId="0" applyFont="1" applyBorder="1" applyAlignment="1">
      <alignment horizontal="left" vertical="top" wrapText="1"/>
    </xf>
    <xf numFmtId="164" fontId="59" fillId="0" borderId="12" xfId="0" applyFont="1" applyBorder="1" applyAlignment="1">
      <alignment horizontal="left" vertical="top" wrapText="1"/>
    </xf>
    <xf numFmtId="164" fontId="59" fillId="0" borderId="53" xfId="0" applyFont="1" applyBorder="1" applyAlignment="1">
      <alignment horizontal="left" vertical="top" wrapText="1"/>
    </xf>
    <xf numFmtId="164" fontId="5" fillId="4" borderId="11" xfId="0" applyNumberFormat="1" applyFont="1" applyFill="1" applyBorder="1" applyAlignment="1" applyProtection="1">
      <alignment horizontal="center" vertical="center"/>
    </xf>
    <xf numFmtId="164" fontId="5" fillId="4" borderId="22" xfId="0" applyNumberFormat="1" applyFont="1" applyFill="1" applyBorder="1" applyAlignment="1" applyProtection="1">
      <alignment horizontal="center" vertical="center"/>
    </xf>
    <xf numFmtId="164" fontId="12" fillId="0" borderId="8" xfId="0" applyNumberFormat="1" applyFont="1" applyBorder="1" applyAlignment="1" applyProtection="1">
      <alignment horizontal="right" vertical="center"/>
    </xf>
    <xf numFmtId="164" fontId="12" fillId="0" borderId="9" xfId="0" applyNumberFormat="1" applyFont="1" applyBorder="1" applyAlignment="1" applyProtection="1">
      <alignment horizontal="right" vertical="center"/>
    </xf>
    <xf numFmtId="164" fontId="12" fillId="0" borderId="10" xfId="0" applyNumberFormat="1" applyFont="1" applyBorder="1" applyAlignment="1" applyProtection="1">
      <alignment horizontal="right" vertical="center"/>
    </xf>
    <xf numFmtId="164" fontId="60" fillId="18" borderId="0" xfId="0" applyFont="1" applyFill="1" applyBorder="1" applyAlignment="1">
      <alignment horizontal="center" vertical="top"/>
    </xf>
    <xf numFmtId="3" fontId="5" fillId="13" borderId="11" xfId="0" applyNumberFormat="1" applyFont="1" applyFill="1" applyBorder="1" applyAlignment="1" applyProtection="1">
      <alignment horizontal="center"/>
    </xf>
    <xf numFmtId="164" fontId="50" fillId="18" borderId="16" xfId="0" applyFont="1" applyFill="1" applyBorder="1" applyAlignment="1">
      <alignment horizontal="center"/>
    </xf>
    <xf numFmtId="164" fontId="12" fillId="3" borderId="7" xfId="0" applyNumberFormat="1" applyFont="1" applyFill="1" applyBorder="1" applyAlignment="1" applyProtection="1">
      <alignment horizontal="center" vertical="center"/>
      <protection locked="0"/>
    </xf>
    <xf numFmtId="164" fontId="12" fillId="3" borderId="2" xfId="0" applyNumberFormat="1" applyFont="1" applyFill="1" applyBorder="1" applyAlignment="1" applyProtection="1">
      <alignment horizontal="center" vertical="center"/>
      <protection locked="0"/>
    </xf>
    <xf numFmtId="164" fontId="12" fillId="7" borderId="7" xfId="0" applyNumberFormat="1" applyFont="1" applyFill="1" applyBorder="1" applyAlignment="1" applyProtection="1">
      <alignment horizontal="center" vertical="center"/>
      <protection locked="0"/>
    </xf>
    <xf numFmtId="164" fontId="12" fillId="7" borderId="2" xfId="0" applyNumberFormat="1" applyFont="1" applyFill="1" applyBorder="1" applyAlignment="1" applyProtection="1">
      <alignment horizontal="center" vertical="center"/>
      <protection locked="0"/>
    </xf>
    <xf numFmtId="164" fontId="12" fillId="10" borderId="0" xfId="0" applyFont="1" applyFill="1" applyBorder="1" applyAlignment="1">
      <alignment horizontal="center" wrapText="1"/>
    </xf>
    <xf numFmtId="164" fontId="12" fillId="10" borderId="109" xfId="0" applyFont="1" applyFill="1" applyBorder="1" applyAlignment="1">
      <alignment horizontal="center" wrapText="1"/>
    </xf>
    <xf numFmtId="164" fontId="59" fillId="14" borderId="72" xfId="0" applyFont="1" applyFill="1" applyBorder="1" applyAlignment="1">
      <alignment horizontal="left" vertical="center" wrapText="1"/>
    </xf>
    <xf numFmtId="164" fontId="59" fillId="14" borderId="73" xfId="0" applyFont="1" applyFill="1" applyBorder="1" applyAlignment="1">
      <alignment horizontal="left" vertical="center" wrapText="1"/>
    </xf>
    <xf numFmtId="164" fontId="5" fillId="0" borderId="0" xfId="0" applyFont="1" applyBorder="1" applyAlignment="1">
      <alignment horizontal="right"/>
    </xf>
    <xf numFmtId="164" fontId="5" fillId="0" borderId="19" xfId="0" applyFont="1" applyBorder="1" applyAlignment="1">
      <alignment horizontal="right"/>
    </xf>
    <xf numFmtId="164" fontId="5" fillId="4" borderId="8" xfId="0" applyNumberFormat="1" applyFont="1" applyFill="1" applyBorder="1" applyAlignment="1" applyProtection="1">
      <alignment horizontal="right" vertical="center"/>
    </xf>
    <xf numFmtId="164" fontId="5" fillId="4" borderId="9" xfId="0" applyNumberFormat="1" applyFont="1" applyFill="1" applyBorder="1" applyAlignment="1" applyProtection="1">
      <alignment horizontal="right" vertical="center"/>
    </xf>
    <xf numFmtId="164" fontId="5" fillId="0" borderId="8" xfId="0" applyNumberFormat="1" applyFont="1" applyBorder="1" applyAlignment="1" applyProtection="1">
      <alignment horizontal="right" vertical="center"/>
    </xf>
    <xf numFmtId="164" fontId="5" fillId="0" borderId="10" xfId="0" applyNumberFormat="1" applyFont="1" applyBorder="1" applyAlignment="1" applyProtection="1">
      <alignment horizontal="right" vertical="center"/>
    </xf>
    <xf numFmtId="164" fontId="5" fillId="4" borderId="11" xfId="0" applyNumberFormat="1" applyFont="1" applyFill="1" applyBorder="1" applyAlignment="1" applyProtection="1">
      <alignment horizontal="center"/>
    </xf>
    <xf numFmtId="164" fontId="5" fillId="4" borderId="30" xfId="0" applyNumberFormat="1" applyFont="1" applyFill="1" applyBorder="1" applyAlignment="1" applyProtection="1">
      <alignment horizontal="center"/>
    </xf>
    <xf numFmtId="164" fontId="5" fillId="8" borderId="0" xfId="0" applyNumberFormat="1" applyFont="1" applyFill="1" applyBorder="1" applyAlignment="1" applyProtection="1">
      <alignment horizontal="right"/>
    </xf>
    <xf numFmtId="164" fontId="43" fillId="0" borderId="0" xfId="0" applyNumberFormat="1" applyFont="1" applyBorder="1" applyAlignment="1" applyProtection="1">
      <alignment horizontal="center" vertical="center"/>
    </xf>
    <xf numFmtId="164" fontId="22" fillId="13" borderId="71" xfId="0" applyFont="1" applyFill="1" applyBorder="1" applyAlignment="1">
      <alignment horizontal="center" vertical="center"/>
    </xf>
    <xf numFmtId="164" fontId="22" fillId="10" borderId="16" xfId="0" applyNumberFormat="1" applyFont="1" applyFill="1" applyBorder="1" applyAlignment="1" applyProtection="1">
      <alignment horizontal="center" vertical="center"/>
      <protection locked="0"/>
    </xf>
    <xf numFmtId="164" fontId="22" fillId="11" borderId="74" xfId="0" applyNumberFormat="1" applyFont="1" applyFill="1" applyBorder="1" applyAlignment="1" applyProtection="1">
      <alignment horizontal="center" vertical="center"/>
    </xf>
    <xf numFmtId="164" fontId="5" fillId="0" borderId="11" xfId="0" applyNumberFormat="1" applyFont="1" applyBorder="1" applyAlignment="1" applyProtection="1">
      <alignment horizontal="center" vertical="center"/>
    </xf>
    <xf numFmtId="164" fontId="5" fillId="0" borderId="22" xfId="0" applyNumberFormat="1" applyFont="1" applyBorder="1" applyAlignment="1" applyProtection="1">
      <alignment horizontal="center" vertical="center"/>
    </xf>
    <xf numFmtId="164" fontId="5" fillId="0" borderId="0" xfId="0" applyNumberFormat="1" applyFont="1" applyBorder="1" applyAlignment="1" applyProtection="1">
      <alignment horizontal="center" vertical="center"/>
    </xf>
    <xf numFmtId="164" fontId="5" fillId="0" borderId="19" xfId="0" applyNumberFormat="1" applyFont="1" applyBorder="1" applyAlignment="1" applyProtection="1">
      <alignment horizontal="center" vertical="center"/>
    </xf>
    <xf numFmtId="164" fontId="38" fillId="13" borderId="71" xfId="0" applyFont="1" applyFill="1" applyBorder="1" applyAlignment="1">
      <alignment horizontal="left" vertical="top"/>
    </xf>
    <xf numFmtId="164" fontId="27" fillId="11" borderId="14" xfId="0" applyFont="1" applyFill="1" applyBorder="1" applyAlignment="1">
      <alignment horizontal="center" wrapText="1"/>
    </xf>
    <xf numFmtId="164" fontId="27" fillId="11" borderId="19" xfId="0" applyFont="1" applyFill="1" applyBorder="1" applyAlignment="1">
      <alignment horizontal="center" wrapText="1"/>
    </xf>
    <xf numFmtId="164" fontId="5" fillId="0" borderId="15" xfId="0" applyFont="1" applyBorder="1" applyAlignment="1">
      <alignment horizontal="center"/>
    </xf>
    <xf numFmtId="164" fontId="5" fillId="0" borderId="16" xfId="0" applyFont="1" applyBorder="1" applyAlignment="1">
      <alignment horizontal="center"/>
    </xf>
    <xf numFmtId="164" fontId="5" fillId="0" borderId="17" xfId="0" applyFont="1" applyBorder="1" applyAlignment="1">
      <alignment horizontal="center"/>
    </xf>
    <xf numFmtId="164" fontId="59" fillId="17" borderId="150" xfId="0" applyNumberFormat="1" applyFont="1" applyFill="1" applyBorder="1" applyAlignment="1" applyProtection="1">
      <alignment horizontal="left" vertical="center" wrapText="1"/>
      <protection locked="0"/>
    </xf>
    <xf numFmtId="164" fontId="59" fillId="17" borderId="151" xfId="0" applyNumberFormat="1" applyFont="1" applyFill="1" applyBorder="1" applyAlignment="1" applyProtection="1">
      <alignment horizontal="left" vertical="center" wrapText="1"/>
      <protection locked="0"/>
    </xf>
    <xf numFmtId="164" fontId="59" fillId="17" borderId="152" xfId="0" applyNumberFormat="1" applyFont="1" applyFill="1" applyBorder="1" applyAlignment="1" applyProtection="1">
      <alignment horizontal="left" vertical="center" wrapText="1"/>
      <protection locked="0"/>
    </xf>
    <xf numFmtId="164" fontId="22" fillId="16" borderId="16" xfId="0" applyFont="1" applyFill="1" applyBorder="1" applyAlignment="1">
      <alignment horizontal="center" vertical="center"/>
    </xf>
    <xf numFmtId="164" fontId="59" fillId="11" borderId="78" xfId="0" applyFont="1" applyFill="1" applyBorder="1" applyAlignment="1">
      <alignment horizontal="left" vertical="center" wrapText="1"/>
    </xf>
    <xf numFmtId="164" fontId="59" fillId="11" borderId="79" xfId="0" applyFont="1" applyFill="1" applyBorder="1" applyAlignment="1">
      <alignment horizontal="left" vertical="center" wrapText="1"/>
    </xf>
    <xf numFmtId="164" fontId="59" fillId="11" borderId="80" xfId="0" applyFont="1" applyFill="1" applyBorder="1" applyAlignment="1">
      <alignment horizontal="left" vertical="center" wrapText="1"/>
    </xf>
    <xf numFmtId="164" fontId="46" fillId="18" borderId="14" xfId="0" applyFont="1" applyFill="1" applyBorder="1" applyAlignment="1">
      <alignment horizontal="center" wrapText="1"/>
    </xf>
    <xf numFmtId="164" fontId="46" fillId="18" borderId="19" xfId="0" applyFont="1" applyFill="1" applyBorder="1" applyAlignment="1">
      <alignment horizontal="center" wrapText="1"/>
    </xf>
    <xf numFmtId="164" fontId="52" fillId="4" borderId="14" xfId="0" applyFont="1" applyFill="1" applyBorder="1" applyAlignment="1">
      <alignment horizontal="left" wrapText="1"/>
    </xf>
    <xf numFmtId="164" fontId="52" fillId="4" borderId="0" xfId="0" applyFont="1" applyFill="1" applyBorder="1" applyAlignment="1">
      <alignment horizontal="left" wrapText="1"/>
    </xf>
    <xf numFmtId="164" fontId="52" fillId="4" borderId="18" xfId="0" applyFont="1" applyFill="1" applyBorder="1" applyAlignment="1">
      <alignment horizontal="left" wrapText="1"/>
    </xf>
    <xf numFmtId="164" fontId="51" fillId="4" borderId="14" xfId="0" applyFont="1" applyFill="1" applyBorder="1" applyAlignment="1">
      <alignment horizontal="left" wrapText="1"/>
    </xf>
    <xf numFmtId="164" fontId="51" fillId="4" borderId="0" xfId="0" applyFont="1" applyFill="1" applyBorder="1" applyAlignment="1">
      <alignment horizontal="left" wrapText="1"/>
    </xf>
    <xf numFmtId="164" fontId="51" fillId="4" borderId="18" xfId="0" applyFont="1" applyFill="1" applyBorder="1" applyAlignment="1">
      <alignment horizontal="left" wrapText="1"/>
    </xf>
    <xf numFmtId="164" fontId="61" fillId="15" borderId="24" xfId="0" applyFont="1" applyFill="1" applyBorder="1" applyAlignment="1">
      <alignment horizontal="center" vertical="center" wrapText="1"/>
    </xf>
    <xf numFmtId="164" fontId="61" fillId="15" borderId="11" xfId="0" applyFont="1" applyFill="1" applyBorder="1" applyAlignment="1">
      <alignment horizontal="center" vertical="center" wrapText="1"/>
    </xf>
    <xf numFmtId="164" fontId="61" fillId="15" borderId="22" xfId="0" applyFont="1" applyFill="1" applyBorder="1" applyAlignment="1">
      <alignment horizontal="center" vertical="center" wrapText="1"/>
    </xf>
    <xf numFmtId="164" fontId="61" fillId="15" borderId="26" xfId="0" applyFont="1" applyFill="1" applyBorder="1" applyAlignment="1">
      <alignment horizontal="center" vertical="center" wrapText="1"/>
    </xf>
    <xf numFmtId="164" fontId="61" fillId="15" borderId="12" xfId="0" applyFont="1" applyFill="1" applyBorder="1" applyAlignment="1">
      <alignment horizontal="center" vertical="center" wrapText="1"/>
    </xf>
    <xf numFmtId="164" fontId="61" fillId="15" borderId="13" xfId="0" applyFont="1" applyFill="1" applyBorder="1" applyAlignment="1">
      <alignment horizontal="center" vertical="center" wrapText="1"/>
    </xf>
    <xf numFmtId="164" fontId="12" fillId="4" borderId="16" xfId="0" applyFont="1" applyFill="1" applyBorder="1" applyAlignment="1" applyProtection="1">
      <alignment horizontal="right"/>
    </xf>
    <xf numFmtId="164" fontId="12" fillId="4" borderId="36" xfId="0" applyFont="1" applyFill="1" applyBorder="1" applyAlignment="1" applyProtection="1">
      <alignment horizontal="right"/>
    </xf>
    <xf numFmtId="164" fontId="12" fillId="4" borderId="0" xfId="0" applyFont="1" applyFill="1" applyBorder="1" applyAlignment="1" applyProtection="1">
      <alignment horizontal="right"/>
    </xf>
    <xf numFmtId="164" fontId="12" fillId="4" borderId="19" xfId="0" applyFont="1" applyFill="1" applyBorder="1" applyAlignment="1" applyProtection="1">
      <alignment horizontal="right"/>
    </xf>
    <xf numFmtId="164" fontId="12" fillId="4" borderId="14" xfId="0" applyFont="1" applyFill="1" applyBorder="1" applyAlignment="1">
      <alignment horizontal="left"/>
    </xf>
    <xf numFmtId="164" fontId="12" fillId="4" borderId="0" xfId="0" applyFont="1" applyFill="1" applyBorder="1" applyAlignment="1">
      <alignment horizontal="left"/>
    </xf>
    <xf numFmtId="164" fontId="5" fillId="4" borderId="15" xfId="0" applyFont="1" applyFill="1" applyBorder="1" applyAlignment="1" applyProtection="1">
      <alignment horizontal="center"/>
    </xf>
    <xf numFmtId="164" fontId="5" fillId="4" borderId="16" xfId="0" applyFont="1" applyFill="1" applyBorder="1" applyAlignment="1" applyProtection="1">
      <alignment horizontal="center"/>
    </xf>
    <xf numFmtId="164" fontId="5" fillId="4" borderId="17" xfId="0" applyFont="1" applyFill="1" applyBorder="1" applyAlignment="1" applyProtection="1">
      <alignment horizontal="center"/>
    </xf>
    <xf numFmtId="164" fontId="5" fillId="4" borderId="14" xfId="0" applyFont="1" applyFill="1" applyBorder="1" applyAlignment="1" applyProtection="1">
      <alignment horizontal="center"/>
    </xf>
    <xf numFmtId="164" fontId="5" fillId="4" borderId="0" xfId="0" applyFont="1" applyFill="1" applyBorder="1" applyAlignment="1" applyProtection="1">
      <alignment horizontal="center"/>
    </xf>
    <xf numFmtId="164" fontId="5" fillId="4" borderId="18" xfId="0" applyFont="1" applyFill="1" applyBorder="1" applyAlignment="1" applyProtection="1">
      <alignment horizontal="center"/>
    </xf>
    <xf numFmtId="164" fontId="16" fillId="4" borderId="15" xfId="0" applyFont="1" applyFill="1" applyBorder="1" applyAlignment="1">
      <alignment horizontal="center"/>
    </xf>
    <xf numFmtId="164" fontId="16" fillId="4" borderId="16" xfId="0" applyFont="1" applyFill="1" applyBorder="1" applyAlignment="1">
      <alignment horizontal="center"/>
    </xf>
    <xf numFmtId="164" fontId="16" fillId="4" borderId="17" xfId="0" applyFont="1" applyFill="1" applyBorder="1" applyAlignment="1">
      <alignment horizontal="center"/>
    </xf>
    <xf numFmtId="164" fontId="8" fillId="4" borderId="0" xfId="0" applyFont="1" applyFill="1" applyBorder="1" applyAlignment="1">
      <alignment horizontal="left" wrapText="1"/>
    </xf>
    <xf numFmtId="164" fontId="8" fillId="4" borderId="0" xfId="0" applyFont="1" applyFill="1" applyBorder="1" applyAlignment="1">
      <alignment horizontal="left"/>
    </xf>
    <xf numFmtId="164" fontId="64" fillId="4" borderId="0" xfId="3" applyFont="1" applyFill="1" applyBorder="1" applyAlignment="1">
      <alignment horizontal="left" wrapText="1"/>
    </xf>
    <xf numFmtId="164" fontId="64" fillId="4" borderId="0" xfId="3" applyFont="1" applyFill="1" applyBorder="1" applyAlignment="1">
      <alignment horizontal="left"/>
    </xf>
    <xf numFmtId="164" fontId="8" fillId="4" borderId="1" xfId="0" applyFont="1" applyFill="1" applyBorder="1" applyAlignment="1">
      <alignment horizontal="center"/>
    </xf>
    <xf numFmtId="164" fontId="8" fillId="4" borderId="8" xfId="0" applyFont="1" applyFill="1" applyBorder="1" applyAlignment="1">
      <alignment horizontal="center"/>
    </xf>
    <xf numFmtId="164" fontId="8" fillId="4" borderId="9" xfId="0" applyFont="1" applyFill="1" applyBorder="1" applyAlignment="1">
      <alignment horizontal="center"/>
    </xf>
    <xf numFmtId="164" fontId="8" fillId="4" borderId="10" xfId="0" applyFont="1" applyFill="1" applyBorder="1" applyAlignment="1">
      <alignment horizontal="center"/>
    </xf>
    <xf numFmtId="164" fontId="8" fillId="4" borderId="7" xfId="0" applyFont="1" applyFill="1" applyBorder="1" applyAlignment="1">
      <alignment horizontal="center" wrapText="1"/>
    </xf>
    <xf numFmtId="164" fontId="8" fillId="4" borderId="2" xfId="0" applyFont="1" applyFill="1" applyBorder="1" applyAlignment="1">
      <alignment horizontal="center" wrapText="1"/>
    </xf>
    <xf numFmtId="164" fontId="8" fillId="4" borderId="1" xfId="0" applyFont="1" applyFill="1" applyBorder="1" applyAlignment="1">
      <alignment horizontal="center" wrapText="1"/>
    </xf>
    <xf numFmtId="49" fontId="8" fillId="4" borderId="1" xfId="0" applyNumberFormat="1" applyFont="1" applyFill="1" applyBorder="1" applyAlignment="1">
      <alignment horizontal="center" wrapText="1"/>
    </xf>
    <xf numFmtId="164" fontId="0" fillId="4" borderId="8" xfId="0" applyFill="1" applyBorder="1" applyAlignment="1">
      <alignment horizontal="left"/>
    </xf>
    <xf numFmtId="164" fontId="0" fillId="4" borderId="9" xfId="0" applyFill="1" applyBorder="1" applyAlignment="1">
      <alignment horizontal="left"/>
    </xf>
    <xf numFmtId="164" fontId="0" fillId="4" borderId="10" xfId="0" applyFill="1" applyBorder="1" applyAlignment="1">
      <alignment horizontal="left"/>
    </xf>
    <xf numFmtId="164" fontId="8" fillId="4" borderId="81" xfId="0" applyFont="1" applyFill="1" applyBorder="1" applyAlignment="1">
      <alignment horizontal="center" wrapText="1"/>
    </xf>
    <xf numFmtId="164" fontId="8" fillId="4" borderId="7" xfId="0" applyFont="1" applyFill="1" applyBorder="1" applyAlignment="1">
      <alignment horizontal="center"/>
    </xf>
    <xf numFmtId="164" fontId="8" fillId="4" borderId="81" xfId="0" applyFont="1" applyFill="1" applyBorder="1" applyAlignment="1">
      <alignment horizontal="center"/>
    </xf>
    <xf numFmtId="164" fontId="8" fillId="4" borderId="2" xfId="0" applyFont="1" applyFill="1" applyBorder="1" applyAlignment="1">
      <alignment horizontal="center"/>
    </xf>
    <xf numFmtId="164" fontId="14" fillId="4" borderId="0" xfId="0" applyFont="1" applyFill="1" applyBorder="1" applyAlignment="1">
      <alignment horizontal="center"/>
    </xf>
    <xf numFmtId="164" fontId="67" fillId="4" borderId="0" xfId="0" applyFont="1" applyFill="1" applyBorder="1" applyAlignment="1">
      <alignment horizontal="left" wrapText="1"/>
    </xf>
    <xf numFmtId="49" fontId="7" fillId="4" borderId="24" xfId="0" applyNumberFormat="1" applyFont="1" applyFill="1" applyBorder="1" applyAlignment="1">
      <alignment horizontal="left" vertical="top" wrapText="1"/>
    </xf>
    <xf numFmtId="49" fontId="7" fillId="4" borderId="11" xfId="0" applyNumberFormat="1" applyFont="1" applyFill="1" applyBorder="1" applyAlignment="1">
      <alignment horizontal="left" vertical="top" wrapText="1"/>
    </xf>
    <xf numFmtId="49" fontId="7" fillId="4" borderId="22" xfId="0" applyNumberFormat="1" applyFont="1" applyFill="1" applyBorder="1" applyAlignment="1">
      <alignment horizontal="left" vertical="top" wrapText="1"/>
    </xf>
    <xf numFmtId="49" fontId="7" fillId="4" borderId="23" xfId="0" applyNumberFormat="1" applyFont="1" applyFill="1" applyBorder="1" applyAlignment="1">
      <alignment horizontal="left" vertical="top" wrapText="1"/>
    </xf>
    <xf numFmtId="49" fontId="7" fillId="4" borderId="0" xfId="0" applyNumberFormat="1" applyFont="1" applyFill="1" applyBorder="1" applyAlignment="1">
      <alignment horizontal="left" vertical="top" wrapText="1"/>
    </xf>
    <xf numFmtId="49" fontId="7" fillId="4" borderId="19" xfId="0" applyNumberFormat="1" applyFont="1" applyFill="1" applyBorder="1" applyAlignment="1">
      <alignment horizontal="left" vertical="top" wrapText="1"/>
    </xf>
    <xf numFmtId="49" fontId="7" fillId="4" borderId="26" xfId="0" applyNumberFormat="1" applyFont="1" applyFill="1" applyBorder="1" applyAlignment="1">
      <alignment horizontal="left" vertical="top" wrapText="1"/>
    </xf>
    <xf numFmtId="49" fontId="7" fillId="4" borderId="12" xfId="0" applyNumberFormat="1" applyFont="1" applyFill="1" applyBorder="1" applyAlignment="1">
      <alignment horizontal="left" vertical="top" wrapText="1"/>
    </xf>
    <xf numFmtId="49" fontId="7" fillId="4" borderId="13" xfId="0" applyNumberFormat="1" applyFont="1" applyFill="1" applyBorder="1" applyAlignment="1">
      <alignment horizontal="left" vertical="top" wrapText="1"/>
    </xf>
    <xf numFmtId="49" fontId="7" fillId="14" borderId="15" xfId="0" applyNumberFormat="1" applyFont="1" applyFill="1" applyBorder="1" applyAlignment="1">
      <alignment horizontal="left" wrapText="1"/>
    </xf>
    <xf numFmtId="49" fontId="7" fillId="14" borderId="16" xfId="0" applyNumberFormat="1" applyFont="1" applyFill="1" applyBorder="1" applyAlignment="1">
      <alignment horizontal="left" wrapText="1"/>
    </xf>
    <xf numFmtId="49" fontId="7" fillId="14" borderId="17" xfId="0" applyNumberFormat="1" applyFont="1" applyFill="1" applyBorder="1" applyAlignment="1">
      <alignment horizontal="left" wrapText="1"/>
    </xf>
    <xf numFmtId="49" fontId="14" fillId="4" borderId="12" xfId="0" applyNumberFormat="1" applyFont="1" applyFill="1" applyBorder="1" applyAlignment="1">
      <alignment horizontal="center"/>
    </xf>
    <xf numFmtId="164" fontId="14" fillId="4" borderId="12" xfId="0" applyFont="1" applyFill="1" applyBorder="1" applyAlignment="1">
      <alignment horizontal="center"/>
    </xf>
    <xf numFmtId="49" fontId="14" fillId="4" borderId="0" xfId="0" applyNumberFormat="1" applyFont="1" applyFill="1" applyAlignment="1">
      <alignment horizontal="center"/>
    </xf>
    <xf numFmtId="164" fontId="6" fillId="4" borderId="0" xfId="0" applyFont="1" applyFill="1" applyAlignment="1">
      <alignment horizontal="center"/>
    </xf>
    <xf numFmtId="164" fontId="8" fillId="4" borderId="8" xfId="0" applyFont="1" applyFill="1" applyBorder="1" applyAlignment="1">
      <alignment horizontal="left"/>
    </xf>
    <xf numFmtId="164" fontId="8" fillId="4" borderId="9" xfId="0" applyFont="1" applyFill="1" applyBorder="1" applyAlignment="1">
      <alignment horizontal="left"/>
    </xf>
    <xf numFmtId="164" fontId="8" fillId="4" borderId="10" xfId="0" applyFont="1" applyFill="1" applyBorder="1" applyAlignment="1">
      <alignment horizontal="left"/>
    </xf>
    <xf numFmtId="164" fontId="5" fillId="4" borderId="114" xfId="0" applyFont="1" applyFill="1" applyBorder="1" applyAlignment="1">
      <alignment horizontal="center"/>
    </xf>
    <xf numFmtId="164" fontId="5" fillId="4" borderId="113" xfId="0" applyFont="1" applyFill="1" applyBorder="1" applyAlignment="1">
      <alignment horizontal="center"/>
    </xf>
    <xf numFmtId="164" fontId="5" fillId="4" borderId="115" xfId="0" applyFont="1" applyFill="1" applyBorder="1" applyAlignment="1">
      <alignment horizontal="center"/>
    </xf>
    <xf numFmtId="164" fontId="5" fillId="4" borderId="116" xfId="0" applyFont="1" applyFill="1" applyBorder="1" applyAlignment="1">
      <alignment horizontal="center"/>
    </xf>
    <xf numFmtId="164" fontId="5" fillId="4" borderId="0" xfId="0" applyFont="1" applyFill="1" applyBorder="1" applyAlignment="1">
      <alignment horizontal="center"/>
    </xf>
    <xf numFmtId="164" fontId="5" fillId="4" borderId="109" xfId="0" applyFont="1" applyFill="1" applyBorder="1" applyAlignment="1">
      <alignment horizontal="center"/>
    </xf>
    <xf numFmtId="164" fontId="5" fillId="4" borderId="145" xfId="0" applyFont="1" applyFill="1" applyBorder="1" applyAlignment="1">
      <alignment horizontal="center"/>
    </xf>
    <xf numFmtId="164" fontId="5" fillId="4" borderId="146" xfId="0" applyFont="1" applyFill="1" applyBorder="1" applyAlignment="1">
      <alignment horizontal="center"/>
    </xf>
    <xf numFmtId="164" fontId="5" fillId="4" borderId="147" xfId="0" applyFont="1" applyFill="1" applyBorder="1" applyAlignment="1">
      <alignment horizontal="center"/>
    </xf>
    <xf numFmtId="164" fontId="7" fillId="4" borderId="56" xfId="0" applyFont="1" applyFill="1" applyBorder="1" applyAlignment="1">
      <alignment horizontal="left" wrapText="1"/>
    </xf>
    <xf numFmtId="164" fontId="7" fillId="4" borderId="0" xfId="0" applyFont="1" applyFill="1" applyBorder="1" applyAlignment="1">
      <alignment horizontal="left" wrapText="1"/>
    </xf>
    <xf numFmtId="164" fontId="7" fillId="4" borderId="109" xfId="0" applyFont="1" applyFill="1" applyBorder="1" applyAlignment="1">
      <alignment horizontal="left" wrapText="1"/>
    </xf>
    <xf numFmtId="164" fontId="7" fillId="4" borderId="116" xfId="0" applyFont="1" applyFill="1" applyBorder="1" applyAlignment="1">
      <alignment horizontal="left" wrapText="1"/>
    </xf>
    <xf numFmtId="164" fontId="5" fillId="4" borderId="15" xfId="1" applyNumberFormat="1" applyFont="1" applyFill="1" applyBorder="1" applyAlignment="1">
      <alignment horizontal="center"/>
    </xf>
    <xf numFmtId="164" fontId="5" fillId="4" borderId="16" xfId="1" applyNumberFormat="1" applyFont="1" applyFill="1" applyBorder="1" applyAlignment="1">
      <alignment horizontal="center"/>
    </xf>
    <xf numFmtId="164" fontId="5" fillId="4" borderId="17" xfId="1" applyNumberFormat="1" applyFont="1" applyFill="1" applyBorder="1" applyAlignment="1">
      <alignment horizontal="center"/>
    </xf>
    <xf numFmtId="164" fontId="7" fillId="4" borderId="41" xfId="0" applyFont="1" applyFill="1" applyBorder="1" applyAlignment="1">
      <alignment horizontal="center"/>
    </xf>
    <xf numFmtId="164" fontId="7" fillId="4" borderId="12" xfId="0" applyFont="1" applyFill="1" applyBorder="1" applyAlignment="1">
      <alignment horizontal="center"/>
    </xf>
    <xf numFmtId="164" fontId="7" fillId="4" borderId="42" xfId="0" applyFont="1" applyFill="1" applyBorder="1" applyAlignment="1">
      <alignment horizontal="center"/>
    </xf>
    <xf numFmtId="164" fontId="90" fillId="0" borderId="0" xfId="3" applyFont="1" applyAlignment="1" applyProtection="1">
      <alignment horizontal="left" wrapText="1"/>
    </xf>
    <xf numFmtId="164" fontId="94" fillId="0" borderId="0" xfId="3" applyFont="1" applyAlignment="1" applyProtection="1">
      <alignment horizontal="left" wrapText="1"/>
    </xf>
    <xf numFmtId="164" fontId="90" fillId="0" borderId="0" xfId="0" applyFont="1" applyBorder="1" applyAlignment="1" applyProtection="1">
      <alignment horizontal="left"/>
    </xf>
    <xf numFmtId="164" fontId="103" fillId="0" borderId="0" xfId="0" applyFont="1" applyAlignment="1">
      <alignment horizontal="left" wrapText="1"/>
    </xf>
    <xf numFmtId="164" fontId="12" fillId="9" borderId="0" xfId="0" applyFont="1" applyFill="1" applyAlignment="1">
      <alignment horizontal="left" wrapText="1"/>
    </xf>
    <xf numFmtId="164" fontId="27" fillId="4" borderId="83" xfId="0" applyFont="1" applyFill="1" applyBorder="1" applyAlignment="1">
      <alignment horizontal="center" wrapText="1"/>
    </xf>
    <xf numFmtId="164" fontId="27" fillId="4" borderId="84" xfId="0" applyFont="1" applyFill="1" applyBorder="1" applyAlignment="1">
      <alignment horizontal="center" wrapText="1"/>
    </xf>
    <xf numFmtId="164" fontId="5" fillId="15" borderId="8" xfId="0" applyFont="1" applyFill="1" applyBorder="1" applyAlignment="1">
      <alignment horizontal="center" vertical="center"/>
    </xf>
    <xf numFmtId="164" fontId="5" fillId="15" borderId="10" xfId="0" applyFont="1" applyFill="1" applyBorder="1" applyAlignment="1">
      <alignment horizontal="center" vertical="center"/>
    </xf>
    <xf numFmtId="164" fontId="12" fillId="0" borderId="0" xfId="0" applyFont="1" applyAlignment="1">
      <alignment horizontal="left"/>
    </xf>
    <xf numFmtId="164" fontId="69" fillId="4" borderId="90" xfId="0" applyNumberFormat="1" applyFont="1" applyFill="1" applyBorder="1" applyAlignment="1" applyProtection="1">
      <alignment horizontal="center" vertical="center"/>
    </xf>
    <xf numFmtId="164" fontId="69" fillId="4" borderId="16" xfId="0" applyNumberFormat="1" applyFont="1" applyFill="1" applyBorder="1" applyAlignment="1" applyProtection="1">
      <alignment horizontal="center" vertical="center"/>
    </xf>
    <xf numFmtId="164" fontId="69" fillId="4" borderId="17" xfId="0" applyNumberFormat="1" applyFont="1" applyFill="1" applyBorder="1" applyAlignment="1" applyProtection="1">
      <alignment horizontal="center" vertical="center"/>
    </xf>
    <xf numFmtId="164" fontId="69" fillId="4" borderId="90" xfId="0" applyNumberFormat="1" applyFont="1" applyFill="1" applyBorder="1" applyAlignment="1" applyProtection="1">
      <alignment horizontal="left"/>
    </xf>
    <xf numFmtId="164" fontId="69" fillId="4" borderId="16" xfId="0" applyNumberFormat="1" applyFont="1" applyFill="1" applyBorder="1" applyAlignment="1" applyProtection="1">
      <alignment horizontal="left"/>
    </xf>
    <xf numFmtId="164" fontId="69" fillId="4" borderId="17" xfId="0" applyNumberFormat="1" applyFont="1" applyFill="1" applyBorder="1" applyAlignment="1" applyProtection="1">
      <alignment horizontal="left"/>
    </xf>
    <xf numFmtId="164" fontId="69" fillId="4" borderId="26" xfId="0" applyNumberFormat="1" applyFont="1" applyFill="1" applyBorder="1" applyAlignment="1" applyProtection="1">
      <alignment horizontal="left"/>
    </xf>
    <xf numFmtId="164" fontId="69" fillId="4" borderId="12" xfId="0" applyNumberFormat="1" applyFont="1" applyFill="1" applyBorder="1" applyAlignment="1" applyProtection="1">
      <alignment horizontal="left"/>
    </xf>
    <xf numFmtId="164" fontId="69" fillId="4" borderId="42" xfId="0" applyNumberFormat="1" applyFont="1" applyFill="1" applyBorder="1" applyAlignment="1" applyProtection="1">
      <alignment horizontal="left"/>
    </xf>
    <xf numFmtId="164" fontId="69" fillId="4" borderId="87" xfId="0" applyNumberFormat="1" applyFont="1" applyFill="1" applyBorder="1" applyAlignment="1" applyProtection="1">
      <alignment horizontal="center" vertical="center"/>
    </xf>
    <xf numFmtId="164" fontId="69" fillId="4" borderId="39" xfId="0" applyNumberFormat="1" applyFont="1" applyFill="1" applyBorder="1" applyAlignment="1" applyProtection="1">
      <alignment horizontal="center" vertical="center"/>
    </xf>
    <xf numFmtId="164" fontId="69" fillId="4" borderId="89" xfId="0" applyNumberFormat="1" applyFont="1" applyFill="1" applyBorder="1" applyAlignment="1" applyProtection="1">
      <alignment horizontal="center" vertical="center"/>
    </xf>
    <xf numFmtId="164" fontId="69" fillId="4" borderId="1" xfId="0" applyNumberFormat="1" applyFont="1" applyFill="1" applyBorder="1" applyAlignment="1" applyProtection="1">
      <alignment horizontal="center" vertical="center"/>
    </xf>
    <xf numFmtId="164" fontId="69" fillId="4" borderId="88" xfId="0" applyNumberFormat="1" applyFont="1" applyFill="1" applyBorder="1" applyAlignment="1" applyProtection="1">
      <alignment horizontal="center" vertical="center"/>
    </xf>
    <xf numFmtId="164" fontId="69" fillId="4" borderId="2" xfId="0" applyNumberFormat="1" applyFont="1" applyFill="1" applyBorder="1" applyAlignment="1" applyProtection="1">
      <alignment horizontal="center" vertical="center"/>
    </xf>
    <xf numFmtId="164" fontId="69" fillId="4" borderId="90" xfId="0" applyNumberFormat="1" applyFont="1" applyFill="1" applyBorder="1" applyAlignment="1" applyProtection="1">
      <alignment horizontal="left" vertical="center"/>
    </xf>
    <xf numFmtId="164" fontId="69" fillId="4" borderId="36" xfId="0" applyNumberFormat="1" applyFont="1" applyFill="1" applyBorder="1" applyAlignment="1" applyProtection="1">
      <alignment horizontal="left" vertical="center"/>
    </xf>
    <xf numFmtId="164" fontId="69" fillId="4" borderId="26" xfId="0" applyNumberFormat="1" applyFont="1" applyFill="1" applyBorder="1" applyAlignment="1" applyProtection="1">
      <alignment horizontal="left" vertical="center"/>
    </xf>
    <xf numFmtId="164" fontId="69" fillId="4" borderId="13" xfId="0" applyNumberFormat="1" applyFont="1" applyFill="1" applyBorder="1" applyAlignment="1" applyProtection="1">
      <alignment horizontal="left" vertical="center"/>
    </xf>
    <xf numFmtId="164" fontId="12" fillId="0" borderId="24" xfId="0" applyFont="1" applyBorder="1" applyAlignment="1">
      <alignment horizontal="left" vertical="top" wrapText="1"/>
    </xf>
    <xf numFmtId="164" fontId="12" fillId="0" borderId="11" xfId="0" applyFont="1" applyBorder="1" applyAlignment="1">
      <alignment horizontal="left" vertical="top" wrapText="1"/>
    </xf>
    <xf numFmtId="164" fontId="12" fillId="0" borderId="22" xfId="0" applyFont="1" applyBorder="1" applyAlignment="1">
      <alignment horizontal="left" vertical="top" wrapText="1"/>
    </xf>
    <xf numFmtId="164" fontId="12" fillId="0" borderId="23" xfId="0" applyFont="1" applyBorder="1" applyAlignment="1">
      <alignment horizontal="left" vertical="top" wrapText="1"/>
    </xf>
    <xf numFmtId="164" fontId="12" fillId="0" borderId="0" xfId="0" applyFont="1" applyBorder="1" applyAlignment="1">
      <alignment horizontal="left" vertical="top" wrapText="1"/>
    </xf>
    <xf numFmtId="164" fontId="12" fillId="0" borderId="19" xfId="0" applyFont="1" applyBorder="1" applyAlignment="1">
      <alignment horizontal="left" vertical="top" wrapText="1"/>
    </xf>
    <xf numFmtId="164" fontId="12" fillId="0" borderId="26" xfId="0" applyFont="1" applyBorder="1" applyAlignment="1">
      <alignment horizontal="left" vertical="top" wrapText="1"/>
    </xf>
    <xf numFmtId="164" fontId="12" fillId="0" borderId="12" xfId="0" applyFont="1" applyBorder="1" applyAlignment="1">
      <alignment horizontal="left" vertical="top" wrapText="1"/>
    </xf>
    <xf numFmtId="164" fontId="12" fillId="0" borderId="13" xfId="0" applyFont="1" applyBorder="1" applyAlignment="1">
      <alignment horizontal="left" vertical="top" wrapText="1"/>
    </xf>
    <xf numFmtId="164" fontId="70" fillId="4" borderId="88" xfId="0" applyFont="1" applyFill="1" applyBorder="1" applyAlignment="1">
      <alignment horizontal="center"/>
    </xf>
    <xf numFmtId="164" fontId="70" fillId="4" borderId="81" xfId="0" applyFont="1" applyFill="1" applyBorder="1" applyAlignment="1">
      <alignment horizontal="center"/>
    </xf>
    <xf numFmtId="164" fontId="70" fillId="4" borderId="90" xfId="0" applyNumberFormat="1" applyFont="1" applyFill="1" applyBorder="1" applyAlignment="1" applyProtection="1">
      <alignment horizontal="center" vertical="center"/>
    </xf>
    <xf numFmtId="164" fontId="70" fillId="4" borderId="16" xfId="0" applyNumberFormat="1" applyFont="1" applyFill="1" applyBorder="1" applyAlignment="1" applyProtection="1">
      <alignment horizontal="center" vertical="center"/>
    </xf>
    <xf numFmtId="164" fontId="70" fillId="4" borderId="17" xfId="0" applyNumberFormat="1" applyFont="1" applyFill="1" applyBorder="1" applyAlignment="1" applyProtection="1">
      <alignment horizontal="center" vertical="center"/>
    </xf>
    <xf numFmtId="164" fontId="70" fillId="4" borderId="23" xfId="0" applyNumberFormat="1" applyFont="1" applyFill="1" applyBorder="1" applyAlignment="1" applyProtection="1">
      <alignment horizontal="center" vertical="center"/>
    </xf>
    <xf numFmtId="164" fontId="70" fillId="4" borderId="0" xfId="0" applyNumberFormat="1" applyFont="1" applyFill="1" applyBorder="1" applyAlignment="1" applyProtection="1">
      <alignment horizontal="center" vertical="center"/>
    </xf>
    <xf numFmtId="164" fontId="70" fillId="4" borderId="18" xfId="0" applyNumberFormat="1" applyFont="1" applyFill="1" applyBorder="1" applyAlignment="1" applyProtection="1">
      <alignment horizontal="center" vertical="center"/>
    </xf>
    <xf numFmtId="164" fontId="69" fillId="4" borderId="36" xfId="0" applyNumberFormat="1" applyFont="1" applyFill="1" applyBorder="1" applyAlignment="1" applyProtection="1">
      <alignment horizontal="center" vertical="center"/>
    </xf>
    <xf numFmtId="164" fontId="69" fillId="4" borderId="23" xfId="0" applyNumberFormat="1" applyFont="1" applyFill="1" applyBorder="1" applyAlignment="1" applyProtection="1">
      <alignment horizontal="center" vertical="center"/>
    </xf>
    <xf numFmtId="164" fontId="69" fillId="4" borderId="0" xfId="0" applyNumberFormat="1" applyFont="1" applyFill="1" applyBorder="1" applyAlignment="1" applyProtection="1">
      <alignment horizontal="center" vertical="center"/>
    </xf>
    <xf numFmtId="164" fontId="69" fillId="4" borderId="19" xfId="0" applyNumberFormat="1" applyFont="1" applyFill="1" applyBorder="1" applyAlignment="1" applyProtection="1">
      <alignment horizontal="center" vertical="center"/>
    </xf>
    <xf numFmtId="164" fontId="69" fillId="4" borderId="26" xfId="0" applyNumberFormat="1" applyFont="1" applyFill="1" applyBorder="1" applyAlignment="1" applyProtection="1">
      <alignment horizontal="center" vertical="center"/>
    </xf>
    <xf numFmtId="164" fontId="69" fillId="4" borderId="12" xfId="0" applyNumberFormat="1" applyFont="1" applyFill="1" applyBorder="1" applyAlignment="1" applyProtection="1">
      <alignment horizontal="center" vertical="center"/>
    </xf>
    <xf numFmtId="164" fontId="69" fillId="4" borderId="13" xfId="0" applyNumberFormat="1" applyFont="1" applyFill="1" applyBorder="1" applyAlignment="1" applyProtection="1">
      <alignment horizontal="center" vertical="center"/>
    </xf>
    <xf numFmtId="164" fontId="68" fillId="4" borderId="24" xfId="0" applyFont="1" applyFill="1" applyBorder="1" applyAlignment="1">
      <alignment horizontal="center"/>
    </xf>
    <xf numFmtId="164" fontId="68" fillId="4" borderId="11" xfId="0" applyFont="1" applyFill="1" applyBorder="1" applyAlignment="1">
      <alignment horizontal="center"/>
    </xf>
    <xf numFmtId="164" fontId="68" fillId="4" borderId="23" xfId="0" applyFont="1" applyFill="1" applyBorder="1" applyAlignment="1">
      <alignment horizontal="center"/>
    </xf>
    <xf numFmtId="164" fontId="68" fillId="4" borderId="0" xfId="0" applyFont="1" applyFill="1" applyBorder="1" applyAlignment="1">
      <alignment horizontal="center"/>
    </xf>
    <xf numFmtId="164" fontId="69" fillId="4" borderId="18" xfId="0" applyNumberFormat="1" applyFont="1" applyFill="1" applyBorder="1" applyAlignment="1" applyProtection="1">
      <alignment horizontal="center" vertical="center"/>
    </xf>
    <xf numFmtId="164" fontId="69" fillId="0" borderId="103" xfId="0" applyFont="1" applyBorder="1" applyAlignment="1">
      <alignment horizontal="right"/>
    </xf>
    <xf numFmtId="164" fontId="69" fillId="0" borderId="104" xfId="0" applyFont="1" applyBorder="1" applyAlignment="1">
      <alignment horizontal="right"/>
    </xf>
    <xf numFmtId="164" fontId="69" fillId="0" borderId="45" xfId="0" applyFont="1" applyBorder="1" applyAlignment="1">
      <alignment horizontal="right"/>
    </xf>
    <xf numFmtId="164" fontId="71" fillId="0" borderId="35" xfId="0" applyFont="1" applyBorder="1" applyAlignment="1">
      <alignment horizontal="center"/>
    </xf>
    <xf numFmtId="164" fontId="71" fillId="0" borderId="86" xfId="0" applyFont="1" applyBorder="1" applyAlignment="1">
      <alignment horizontal="center"/>
    </xf>
    <xf numFmtId="164" fontId="71" fillId="0" borderId="102" xfId="0" applyFont="1" applyBorder="1" applyAlignment="1">
      <alignment horizontal="center"/>
    </xf>
    <xf numFmtId="164" fontId="68" fillId="0" borderId="0" xfId="0" applyFont="1" applyAlignment="1">
      <alignment horizontal="left" wrapText="1"/>
    </xf>
    <xf numFmtId="164" fontId="68" fillId="4" borderId="26" xfId="0" applyFont="1" applyFill="1" applyBorder="1" applyAlignment="1">
      <alignment horizontal="center" vertical="center"/>
    </xf>
    <xf numFmtId="164" fontId="68" fillId="4" borderId="12" xfId="0" applyFont="1" applyFill="1" applyBorder="1" applyAlignment="1">
      <alignment horizontal="center" vertical="center"/>
    </xf>
    <xf numFmtId="164" fontId="68" fillId="4" borderId="13" xfId="0" applyFont="1" applyFill="1" applyBorder="1" applyAlignment="1">
      <alignment horizontal="center" vertical="center"/>
    </xf>
    <xf numFmtId="164" fontId="68" fillId="4" borderId="23" xfId="0" applyFont="1" applyFill="1" applyBorder="1" applyAlignment="1">
      <alignment horizontal="center" vertical="center"/>
    </xf>
    <xf numFmtId="164" fontId="68" fillId="4" borderId="0" xfId="0" applyFont="1" applyFill="1" applyBorder="1" applyAlignment="1">
      <alignment horizontal="center" vertical="center"/>
    </xf>
    <xf numFmtId="164" fontId="68" fillId="4" borderId="19" xfId="0" applyFont="1" applyFill="1" applyBorder="1" applyAlignment="1">
      <alignment horizontal="center" vertical="center"/>
    </xf>
    <xf numFmtId="164" fontId="68" fillId="4" borderId="24" xfId="0" applyFont="1" applyFill="1" applyBorder="1" applyAlignment="1">
      <alignment horizontal="center" vertical="center"/>
    </xf>
    <xf numFmtId="164" fontId="68" fillId="4" borderId="11" xfId="0" applyFont="1" applyFill="1" applyBorder="1" applyAlignment="1">
      <alignment horizontal="center" vertical="center"/>
    </xf>
    <xf numFmtId="164" fontId="68" fillId="4" borderId="22" xfId="0" applyFont="1" applyFill="1" applyBorder="1" applyAlignment="1">
      <alignment horizontal="center" vertical="center"/>
    </xf>
    <xf numFmtId="164" fontId="69" fillId="0" borderId="40" xfId="0" applyFont="1" applyBorder="1" applyAlignment="1">
      <alignment horizontal="left"/>
    </xf>
    <xf numFmtId="164" fontId="69" fillId="0" borderId="9" xfId="0" applyFont="1" applyBorder="1" applyAlignment="1">
      <alignment horizontal="left"/>
    </xf>
    <xf numFmtId="164" fontId="69" fillId="0" borderId="10" xfId="0" applyFont="1" applyBorder="1" applyAlignment="1">
      <alignment horizontal="left"/>
    </xf>
    <xf numFmtId="164" fontId="68" fillId="4" borderId="26" xfId="0" applyFont="1" applyFill="1" applyBorder="1" applyAlignment="1">
      <alignment horizontal="center"/>
    </xf>
    <xf numFmtId="164" fontId="68" fillId="4" borderId="12" xfId="0" applyFont="1" applyFill="1" applyBorder="1" applyAlignment="1">
      <alignment horizontal="center"/>
    </xf>
    <xf numFmtId="164" fontId="68" fillId="4" borderId="14" xfId="0" applyFont="1" applyFill="1" applyBorder="1" applyAlignment="1">
      <alignment horizontal="right"/>
    </xf>
    <xf numFmtId="164" fontId="68" fillId="4" borderId="19" xfId="0" applyFont="1" applyFill="1" applyBorder="1" applyAlignment="1">
      <alignment horizontal="right"/>
    </xf>
    <xf numFmtId="164" fontId="71" fillId="4" borderId="14" xfId="0" applyFont="1" applyFill="1" applyBorder="1" applyAlignment="1" applyProtection="1">
      <alignment horizontal="right"/>
    </xf>
    <xf numFmtId="164" fontId="71" fillId="4" borderId="0" xfId="0" applyFont="1" applyFill="1" applyBorder="1" applyAlignment="1" applyProtection="1">
      <alignment horizontal="right"/>
    </xf>
    <xf numFmtId="164" fontId="77" fillId="4" borderId="15" xfId="0" applyFont="1" applyFill="1" applyBorder="1" applyAlignment="1">
      <alignment horizontal="center"/>
    </xf>
    <xf numFmtId="164" fontId="77" fillId="4" borderId="16" xfId="0" applyFont="1" applyFill="1" applyBorder="1" applyAlignment="1">
      <alignment horizontal="center"/>
    </xf>
    <xf numFmtId="164" fontId="72" fillId="4" borderId="14" xfId="0" applyFont="1" applyFill="1" applyBorder="1" applyAlignment="1" applyProtection="1">
      <alignment horizontal="right"/>
    </xf>
    <xf numFmtId="164" fontId="72" fillId="4" borderId="0" xfId="0" applyFont="1" applyFill="1" applyBorder="1" applyAlignment="1" applyProtection="1">
      <alignment horizontal="right"/>
    </xf>
    <xf numFmtId="164" fontId="78" fillId="4" borderId="103" xfId="0" applyFont="1" applyFill="1" applyBorder="1" applyAlignment="1" applyProtection="1">
      <alignment horizontal="right"/>
    </xf>
    <xf numFmtId="164" fontId="78" fillId="4" borderId="104" xfId="0" applyFont="1" applyFill="1" applyBorder="1" applyAlignment="1" applyProtection="1">
      <alignment horizontal="right"/>
    </xf>
    <xf numFmtId="3" fontId="71" fillId="4" borderId="0" xfId="0" applyNumberFormat="1" applyFont="1" applyFill="1" applyBorder="1" applyAlignment="1" applyProtection="1">
      <alignment horizontal="right"/>
    </xf>
    <xf numFmtId="164" fontId="69" fillId="4" borderId="125" xfId="0" applyFont="1" applyFill="1" applyBorder="1" applyAlignment="1">
      <alignment horizontal="center"/>
    </xf>
    <xf numFmtId="164" fontId="71" fillId="0" borderId="119" xfId="0" applyFont="1" applyBorder="1" applyAlignment="1">
      <alignment horizontal="center"/>
    </xf>
    <xf numFmtId="164" fontId="71" fillId="0" borderId="120" xfId="0" applyFont="1" applyBorder="1" applyAlignment="1">
      <alignment horizontal="center"/>
    </xf>
    <xf numFmtId="164" fontId="71" fillId="0" borderId="121" xfId="0" applyFont="1" applyBorder="1" applyAlignment="1">
      <alignment horizontal="center"/>
    </xf>
    <xf numFmtId="164" fontId="69" fillId="4" borderId="142" xfId="0" applyFont="1" applyFill="1" applyBorder="1" applyAlignment="1">
      <alignment horizontal="right"/>
    </xf>
    <xf numFmtId="164" fontId="69" fillId="4" borderId="143" xfId="0" applyFont="1" applyFill="1" applyBorder="1" applyAlignment="1">
      <alignment horizontal="right"/>
    </xf>
    <xf numFmtId="164" fontId="71" fillId="4" borderId="119" xfId="0" applyFont="1" applyFill="1" applyBorder="1" applyAlignment="1">
      <alignment horizontal="center"/>
    </xf>
    <xf numFmtId="164" fontId="71" fillId="4" borderId="120" xfId="0" applyFont="1" applyFill="1" applyBorder="1" applyAlignment="1">
      <alignment horizontal="center"/>
    </xf>
    <xf numFmtId="164" fontId="71" fillId="4" borderId="121" xfId="0" applyFont="1" applyFill="1" applyBorder="1" applyAlignment="1">
      <alignment horizontal="center"/>
    </xf>
  </cellXfs>
  <cellStyles count="7">
    <cellStyle name="Comma" xfId="5" builtinId="3"/>
    <cellStyle name="Currency" xfId="6" builtinId="4"/>
    <cellStyle name="Hyperlink" xfId="3" builtinId="8"/>
    <cellStyle name="Normal" xfId="0" builtinId="0"/>
    <cellStyle name="Normal 2" xfId="1" xr:uid="{00000000-0005-0000-0000-000004000000}"/>
    <cellStyle name="Normal 3" xfId="2" xr:uid="{00000000-0005-0000-0000-000005000000}"/>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99"/>
      <color rgb="FFFDF4B5"/>
      <color rgb="FFFAE75C"/>
      <color rgb="FFD2BA06"/>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activeX/activeX14.xml><?xml version="1.0" encoding="utf-8"?>
<ax:ocx xmlns:ax="http://schemas.microsoft.com/office/2006/activeX" xmlns:r="http://schemas.openxmlformats.org/officeDocument/2006/relationships" ax:classid="{8BD21D30-EC42-11CE-9E0D-00AA006002F3}" ax:persistence="persistStreamInit" r:id="rId1"/>
</file>

<file path=xl/activeX/activeX15.xml><?xml version="1.0" encoding="utf-8"?>
<ax:ocx xmlns:ax="http://schemas.microsoft.com/office/2006/activeX" xmlns:r="http://schemas.openxmlformats.org/officeDocument/2006/relationships" ax:classid="{8BD21D30-EC42-11CE-9E0D-00AA006002F3}" ax:persistence="persistStreamInit" r:id="rId1"/>
</file>

<file path=xl/activeX/activeX16.xml><?xml version="1.0" encoding="utf-8"?>
<ax:ocx xmlns:ax="http://schemas.microsoft.com/office/2006/activeX" xmlns:r="http://schemas.openxmlformats.org/officeDocument/2006/relationships" ax:classid="{8BD21D30-EC42-11CE-9E0D-00AA006002F3}" ax:persistence="persistStreamInit" r:id="rId1"/>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990318292633007"/>
          <c:y val="0.20277570114107829"/>
          <c:w val="0.83097008207437051"/>
          <c:h val="0.64355252584071609"/>
        </c:manualLayout>
      </c:layout>
      <c:lineChart>
        <c:grouping val="standard"/>
        <c:varyColors val="0"/>
        <c:ser>
          <c:idx val="0"/>
          <c:order val="0"/>
          <c:tx>
            <c:v>Forage Growth (Lbs)</c:v>
          </c:tx>
          <c:spPr>
            <a:ln>
              <a:solidFill>
                <a:schemeClr val="accent3"/>
              </a:solidFill>
            </a:ln>
          </c:spPr>
          <c:marker>
            <c:symbol val="circle"/>
            <c:size val="10"/>
            <c:spPr>
              <a:solidFill>
                <a:schemeClr val="accent3"/>
              </a:solidFill>
              <a:ln>
                <a:solidFill>
                  <a:schemeClr val="accent3"/>
                </a:solidFill>
              </a:ln>
            </c:spPr>
          </c:marker>
          <c:cat>
            <c:strRef>
              <c:f>LivestockForageBalance!$N$228:$Y$228</c:f>
              <c:strCache>
                <c:ptCount val="12"/>
                <c:pt idx="0">
                  <c:v>Apr.</c:v>
                </c:pt>
                <c:pt idx="1">
                  <c:v>May</c:v>
                </c:pt>
                <c:pt idx="2">
                  <c:v>June</c:v>
                </c:pt>
                <c:pt idx="3">
                  <c:v>July</c:v>
                </c:pt>
                <c:pt idx="4">
                  <c:v>Aug.</c:v>
                </c:pt>
                <c:pt idx="5">
                  <c:v>Sept.</c:v>
                </c:pt>
                <c:pt idx="6">
                  <c:v>Oct.</c:v>
                </c:pt>
                <c:pt idx="7">
                  <c:v>Nov.</c:v>
                </c:pt>
                <c:pt idx="8">
                  <c:v>Dec.</c:v>
                </c:pt>
                <c:pt idx="9">
                  <c:v>Jan.</c:v>
                </c:pt>
                <c:pt idx="10">
                  <c:v>Feb.</c:v>
                </c:pt>
                <c:pt idx="11">
                  <c:v>Mar.</c:v>
                </c:pt>
              </c:strCache>
            </c:strRef>
          </c:cat>
          <c:val>
            <c:numRef>
              <c:f>LivestockForageBalance!$N$229:$Y$229</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0-4413-4037-A82E-3F0CE2A6E1E1}"/>
            </c:ext>
          </c:extLst>
        </c:ser>
        <c:ser>
          <c:idx val="1"/>
          <c:order val="1"/>
          <c:tx>
            <c:v>Forage Demand (Lbs)</c:v>
          </c:tx>
          <c:marker>
            <c:symbol val="square"/>
            <c:size val="8"/>
          </c:marker>
          <c:cat>
            <c:strRef>
              <c:f>LivestockForageBalance!$N$228:$Y$228</c:f>
              <c:strCache>
                <c:ptCount val="12"/>
                <c:pt idx="0">
                  <c:v>Apr.</c:v>
                </c:pt>
                <c:pt idx="1">
                  <c:v>May</c:v>
                </c:pt>
                <c:pt idx="2">
                  <c:v>June</c:v>
                </c:pt>
                <c:pt idx="3">
                  <c:v>July</c:v>
                </c:pt>
                <c:pt idx="4">
                  <c:v>Aug.</c:v>
                </c:pt>
                <c:pt idx="5">
                  <c:v>Sept.</c:v>
                </c:pt>
                <c:pt idx="6">
                  <c:v>Oct.</c:v>
                </c:pt>
                <c:pt idx="7">
                  <c:v>Nov.</c:v>
                </c:pt>
                <c:pt idx="8">
                  <c:v>Dec.</c:v>
                </c:pt>
                <c:pt idx="9">
                  <c:v>Jan.</c:v>
                </c:pt>
                <c:pt idx="10">
                  <c:v>Feb.</c:v>
                </c:pt>
                <c:pt idx="11">
                  <c:v>Mar.</c:v>
                </c:pt>
              </c:strCache>
            </c:strRef>
          </c:cat>
          <c:val>
            <c:numRef>
              <c:f>LivestockForageBalance!$N$230:$Y$230</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1-4413-4037-A82E-3F0CE2A6E1E1}"/>
            </c:ext>
          </c:extLst>
        </c:ser>
        <c:ser>
          <c:idx val="2"/>
          <c:order val="2"/>
          <c:tx>
            <c:v>Accumulated Balance (Lbs)</c:v>
          </c:tx>
          <c:spPr>
            <a:ln>
              <a:solidFill>
                <a:srgbClr val="0070C0"/>
              </a:solidFill>
            </a:ln>
          </c:spPr>
          <c:marker>
            <c:symbol val="triangle"/>
            <c:size val="10"/>
            <c:spPr>
              <a:solidFill>
                <a:srgbClr val="0070C0"/>
              </a:solidFill>
              <a:ln>
                <a:solidFill>
                  <a:srgbClr val="0070C0"/>
                </a:solidFill>
              </a:ln>
            </c:spPr>
          </c:marker>
          <c:cat>
            <c:strRef>
              <c:f>LivestockForageBalance!$N$228:$Y$228</c:f>
              <c:strCache>
                <c:ptCount val="12"/>
                <c:pt idx="0">
                  <c:v>Apr.</c:v>
                </c:pt>
                <c:pt idx="1">
                  <c:v>May</c:v>
                </c:pt>
                <c:pt idx="2">
                  <c:v>June</c:v>
                </c:pt>
                <c:pt idx="3">
                  <c:v>July</c:v>
                </c:pt>
                <c:pt idx="4">
                  <c:v>Aug.</c:v>
                </c:pt>
                <c:pt idx="5">
                  <c:v>Sept.</c:v>
                </c:pt>
                <c:pt idx="6">
                  <c:v>Oct.</c:v>
                </c:pt>
                <c:pt idx="7">
                  <c:v>Nov.</c:v>
                </c:pt>
                <c:pt idx="8">
                  <c:v>Dec.</c:v>
                </c:pt>
                <c:pt idx="9">
                  <c:v>Jan.</c:v>
                </c:pt>
                <c:pt idx="10">
                  <c:v>Feb.</c:v>
                </c:pt>
                <c:pt idx="11">
                  <c:v>Mar.</c:v>
                </c:pt>
              </c:strCache>
            </c:strRef>
          </c:cat>
          <c:val>
            <c:numRef>
              <c:f>LivestockForageBalance!$N$232:$Y$232</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2-4413-4037-A82E-3F0CE2A6E1E1}"/>
            </c:ext>
          </c:extLst>
        </c:ser>
        <c:dLbls>
          <c:showLegendKey val="0"/>
          <c:showVal val="0"/>
          <c:showCatName val="0"/>
          <c:showSerName val="0"/>
          <c:showPercent val="0"/>
          <c:showBubbleSize val="0"/>
        </c:dLbls>
        <c:marker val="1"/>
        <c:smooth val="0"/>
        <c:axId val="286660184"/>
        <c:axId val="286660576"/>
      </c:lineChart>
      <c:catAx>
        <c:axId val="286660184"/>
        <c:scaling>
          <c:orientation val="minMax"/>
        </c:scaling>
        <c:delete val="0"/>
        <c:axPos val="b"/>
        <c:numFmt formatCode="General" sourceLinked="0"/>
        <c:majorTickMark val="out"/>
        <c:minorTickMark val="none"/>
        <c:tickLblPos val="nextTo"/>
        <c:spPr>
          <a:ln w="38100">
            <a:solidFill>
              <a:schemeClr val="tx1"/>
            </a:solidFill>
          </a:ln>
        </c:spPr>
        <c:txPr>
          <a:bodyPr/>
          <a:lstStyle/>
          <a:p>
            <a:pPr>
              <a:defRPr sz="1200">
                <a:latin typeface="Arial" pitchFamily="34" charset="0"/>
                <a:cs typeface="Arial" pitchFamily="34" charset="0"/>
              </a:defRPr>
            </a:pPr>
            <a:endParaRPr lang="en-US"/>
          </a:p>
        </c:txPr>
        <c:crossAx val="286660576"/>
        <c:crosses val="autoZero"/>
        <c:auto val="1"/>
        <c:lblAlgn val="ctr"/>
        <c:lblOffset val="100"/>
        <c:noMultiLvlLbl val="0"/>
      </c:catAx>
      <c:valAx>
        <c:axId val="286660576"/>
        <c:scaling>
          <c:orientation val="minMax"/>
        </c:scaling>
        <c:delete val="0"/>
        <c:axPos val="l"/>
        <c:majorGridlines/>
        <c:numFmt formatCode="#,##0" sourceLinked="1"/>
        <c:majorTickMark val="out"/>
        <c:minorTickMark val="none"/>
        <c:tickLblPos val="nextTo"/>
        <c:txPr>
          <a:bodyPr/>
          <a:lstStyle/>
          <a:p>
            <a:pPr>
              <a:defRPr sz="1200">
                <a:latin typeface="Arial" pitchFamily="34" charset="0"/>
                <a:cs typeface="Arial" pitchFamily="34" charset="0"/>
              </a:defRPr>
            </a:pPr>
            <a:endParaRPr lang="en-US"/>
          </a:p>
        </c:txPr>
        <c:crossAx val="286660184"/>
        <c:crosses val="autoZero"/>
        <c:crossBetween val="between"/>
      </c:valAx>
    </c:plotArea>
    <c:legend>
      <c:legendPos val="r"/>
      <c:layout>
        <c:manualLayout>
          <c:xMode val="edge"/>
          <c:yMode val="edge"/>
          <c:x val="0.14719995687010526"/>
          <c:y val="0.90895500220350667"/>
          <c:w val="0.76520922689541859"/>
          <c:h val="6.6010196233034182E-2"/>
        </c:manualLayout>
      </c:layout>
      <c:overlay val="0"/>
      <c:spPr>
        <a:ln>
          <a:solidFill>
            <a:schemeClr val="tx1"/>
          </a:solidFill>
        </a:ln>
      </c:spPr>
      <c:txPr>
        <a:bodyPr/>
        <a:lstStyle/>
        <a:p>
          <a:pPr>
            <a:defRPr sz="1200">
              <a:latin typeface="Arial" pitchFamily="34" charset="0"/>
              <a:cs typeface="Arial" pitchFamily="34" charset="0"/>
            </a:defRPr>
          </a:pPr>
          <a:endParaRPr lang="en-US"/>
        </a:p>
      </c:txPr>
    </c:legend>
    <c:plotVisOnly val="1"/>
    <c:dispBlanksAs val="gap"/>
    <c:showDLblsOverMax val="0"/>
  </c:chart>
  <c:spPr>
    <a:ln w="25400">
      <a:solidFill>
        <a:schemeClr val="tx1"/>
      </a:solidFill>
    </a:ln>
  </c:spPr>
  <c:printSettings>
    <c:headerFooter/>
    <c:pageMargins b="0.75" l="0.7" r="0.7" t="0.5" header="0.3" footer="0.3"/>
    <c:pageSetup orientation="landscape"/>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065913507015966"/>
          <c:y val="0.21177241726732252"/>
          <c:w val="0.84806104931366544"/>
          <c:h val="0.63234699964286989"/>
        </c:manualLayout>
      </c:layout>
      <c:lineChart>
        <c:grouping val="standard"/>
        <c:varyColors val="0"/>
        <c:ser>
          <c:idx val="0"/>
          <c:order val="0"/>
          <c:tx>
            <c:v>Forage Growth (Lbs)</c:v>
          </c:tx>
          <c:spPr>
            <a:ln>
              <a:solidFill>
                <a:schemeClr val="accent3"/>
              </a:solidFill>
            </a:ln>
          </c:spPr>
          <c:marker>
            <c:symbol val="circle"/>
            <c:size val="10"/>
            <c:spPr>
              <a:solidFill>
                <a:schemeClr val="accent3"/>
              </a:solidFill>
              <a:ln>
                <a:solidFill>
                  <a:schemeClr val="accent3"/>
                </a:solidFill>
              </a:ln>
            </c:spPr>
          </c:marker>
          <c:cat>
            <c:strRef>
              <c:f>LivestockForageBalance!$N$228:$Y$228</c:f>
              <c:strCache>
                <c:ptCount val="12"/>
                <c:pt idx="0">
                  <c:v>Apr.</c:v>
                </c:pt>
                <c:pt idx="1">
                  <c:v>May</c:v>
                </c:pt>
                <c:pt idx="2">
                  <c:v>June</c:v>
                </c:pt>
                <c:pt idx="3">
                  <c:v>July</c:v>
                </c:pt>
                <c:pt idx="4">
                  <c:v>Aug.</c:v>
                </c:pt>
                <c:pt idx="5">
                  <c:v>Sept.</c:v>
                </c:pt>
                <c:pt idx="6">
                  <c:v>Oct.</c:v>
                </c:pt>
                <c:pt idx="7">
                  <c:v>Nov.</c:v>
                </c:pt>
                <c:pt idx="8">
                  <c:v>Dec.</c:v>
                </c:pt>
                <c:pt idx="9">
                  <c:v>Jan.</c:v>
                </c:pt>
                <c:pt idx="10">
                  <c:v>Feb.</c:v>
                </c:pt>
                <c:pt idx="11">
                  <c:v>Mar.</c:v>
                </c:pt>
              </c:strCache>
            </c:strRef>
          </c:cat>
          <c:val>
            <c:numRef>
              <c:f>LivestockForageBalance!$N$235:$Y$235</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0-0773-454B-BFF4-682FD0783BC4}"/>
            </c:ext>
          </c:extLst>
        </c:ser>
        <c:ser>
          <c:idx val="1"/>
          <c:order val="1"/>
          <c:tx>
            <c:v>Forage Demand (Lbs)</c:v>
          </c:tx>
          <c:marker>
            <c:symbol val="square"/>
            <c:size val="8"/>
          </c:marker>
          <c:cat>
            <c:strRef>
              <c:f>LivestockForageBalance!$N$228:$Y$228</c:f>
              <c:strCache>
                <c:ptCount val="12"/>
                <c:pt idx="0">
                  <c:v>Apr.</c:v>
                </c:pt>
                <c:pt idx="1">
                  <c:v>May</c:v>
                </c:pt>
                <c:pt idx="2">
                  <c:v>June</c:v>
                </c:pt>
                <c:pt idx="3">
                  <c:v>July</c:v>
                </c:pt>
                <c:pt idx="4">
                  <c:v>Aug.</c:v>
                </c:pt>
                <c:pt idx="5">
                  <c:v>Sept.</c:v>
                </c:pt>
                <c:pt idx="6">
                  <c:v>Oct.</c:v>
                </c:pt>
                <c:pt idx="7">
                  <c:v>Nov.</c:v>
                </c:pt>
                <c:pt idx="8">
                  <c:v>Dec.</c:v>
                </c:pt>
                <c:pt idx="9">
                  <c:v>Jan.</c:v>
                </c:pt>
                <c:pt idx="10">
                  <c:v>Feb.</c:v>
                </c:pt>
                <c:pt idx="11">
                  <c:v>Mar.</c:v>
                </c:pt>
              </c:strCache>
            </c:strRef>
          </c:cat>
          <c:val>
            <c:numRef>
              <c:f>LivestockForageBalance!$N$236:$Y$236</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1-0773-454B-BFF4-682FD0783BC4}"/>
            </c:ext>
          </c:extLst>
        </c:ser>
        <c:ser>
          <c:idx val="2"/>
          <c:order val="2"/>
          <c:tx>
            <c:v>Accumulated Balance (Lbs)</c:v>
          </c:tx>
          <c:spPr>
            <a:ln>
              <a:solidFill>
                <a:srgbClr val="0070C0"/>
              </a:solidFill>
            </a:ln>
          </c:spPr>
          <c:marker>
            <c:symbol val="triangle"/>
            <c:size val="10"/>
            <c:spPr>
              <a:solidFill>
                <a:srgbClr val="0070C0"/>
              </a:solidFill>
              <a:ln>
                <a:solidFill>
                  <a:srgbClr val="0070C0"/>
                </a:solidFill>
              </a:ln>
            </c:spPr>
          </c:marker>
          <c:val>
            <c:numRef>
              <c:f>LivestockForageBalance!$N$238:$Y$238</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2-0773-454B-BFF4-682FD0783BC4}"/>
            </c:ext>
          </c:extLst>
        </c:ser>
        <c:dLbls>
          <c:showLegendKey val="0"/>
          <c:showVal val="0"/>
          <c:showCatName val="0"/>
          <c:showSerName val="0"/>
          <c:showPercent val="0"/>
          <c:showBubbleSize val="0"/>
        </c:dLbls>
        <c:marker val="1"/>
        <c:smooth val="0"/>
        <c:axId val="286661360"/>
        <c:axId val="286661752"/>
      </c:lineChart>
      <c:catAx>
        <c:axId val="286661360"/>
        <c:scaling>
          <c:orientation val="minMax"/>
        </c:scaling>
        <c:delete val="0"/>
        <c:axPos val="b"/>
        <c:numFmt formatCode="General" sourceLinked="0"/>
        <c:majorTickMark val="out"/>
        <c:minorTickMark val="none"/>
        <c:tickLblPos val="nextTo"/>
        <c:spPr>
          <a:ln w="38100">
            <a:solidFill>
              <a:schemeClr val="tx1"/>
            </a:solidFill>
          </a:ln>
        </c:spPr>
        <c:txPr>
          <a:bodyPr/>
          <a:lstStyle/>
          <a:p>
            <a:pPr>
              <a:defRPr sz="1200">
                <a:latin typeface="Arial" pitchFamily="34" charset="0"/>
                <a:cs typeface="Arial" pitchFamily="34" charset="0"/>
              </a:defRPr>
            </a:pPr>
            <a:endParaRPr lang="en-US"/>
          </a:p>
        </c:txPr>
        <c:crossAx val="286661752"/>
        <c:crosses val="autoZero"/>
        <c:auto val="1"/>
        <c:lblAlgn val="ctr"/>
        <c:lblOffset val="100"/>
        <c:noMultiLvlLbl val="0"/>
      </c:catAx>
      <c:valAx>
        <c:axId val="286661752"/>
        <c:scaling>
          <c:orientation val="minMax"/>
        </c:scaling>
        <c:delete val="0"/>
        <c:axPos val="l"/>
        <c:majorGridlines/>
        <c:numFmt formatCode="#,##0" sourceLinked="1"/>
        <c:majorTickMark val="out"/>
        <c:minorTickMark val="none"/>
        <c:tickLblPos val="nextTo"/>
        <c:txPr>
          <a:bodyPr/>
          <a:lstStyle/>
          <a:p>
            <a:pPr>
              <a:defRPr sz="1200">
                <a:latin typeface="Arial" pitchFamily="34" charset="0"/>
                <a:cs typeface="Arial" pitchFamily="34" charset="0"/>
              </a:defRPr>
            </a:pPr>
            <a:endParaRPr lang="en-US"/>
          </a:p>
        </c:txPr>
        <c:crossAx val="286661360"/>
        <c:crosses val="autoZero"/>
        <c:crossBetween val="between"/>
      </c:valAx>
    </c:plotArea>
    <c:legend>
      <c:legendPos val="r"/>
      <c:layout>
        <c:manualLayout>
          <c:xMode val="edge"/>
          <c:yMode val="edge"/>
          <c:x val="0.13254378479934911"/>
          <c:y val="0.90709374190058223"/>
          <c:w val="0.82411956450141177"/>
          <c:h val="6.8628835365440746E-2"/>
        </c:manualLayout>
      </c:layout>
      <c:overlay val="0"/>
      <c:spPr>
        <a:ln>
          <a:solidFill>
            <a:schemeClr val="tx1"/>
          </a:solidFill>
        </a:ln>
      </c:spPr>
      <c:txPr>
        <a:bodyPr/>
        <a:lstStyle/>
        <a:p>
          <a:pPr>
            <a:defRPr sz="1200">
              <a:latin typeface="Arial" pitchFamily="34" charset="0"/>
              <a:cs typeface="Arial" pitchFamily="34" charset="0"/>
            </a:defRPr>
          </a:pPr>
          <a:endParaRPr lang="en-US"/>
        </a:p>
      </c:txPr>
    </c:legend>
    <c:plotVisOnly val="1"/>
    <c:dispBlanksAs val="gap"/>
    <c:showDLblsOverMax val="0"/>
  </c:chart>
  <c:spPr>
    <a:ln w="25400">
      <a:solidFill>
        <a:schemeClr val="tx1"/>
      </a:solidFill>
    </a:ln>
  </c:spPr>
  <c:printSettings>
    <c:headerFooter/>
    <c:pageMargins b="0.75" l="0.7" r="0.7" t="0.5" header="0.3" footer="0.3"/>
    <c:pageSetup orientation="landscape"/>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2766739710132773E-2"/>
          <c:y val="5.4749956076924483E-2"/>
          <c:w val="0.89302997578032439"/>
          <c:h val="0.80533292935026868"/>
        </c:manualLayout>
      </c:layout>
      <c:lineChart>
        <c:grouping val="standard"/>
        <c:varyColors val="0"/>
        <c:ser>
          <c:idx val="0"/>
          <c:order val="0"/>
          <c:marker>
            <c:symbol val="none"/>
          </c:marker>
          <c:val>
            <c:numRef>
              <c:f>PastureGrazingEfficiency!$C$9:$C$108</c:f>
              <c:numCache>
                <c:formatCode>General_)</c:formatCode>
                <c:ptCount val="100"/>
                <c:pt idx="0">
                  <c:v>25</c:v>
                </c:pt>
                <c:pt idx="1">
                  <c:v>28</c:v>
                </c:pt>
                <c:pt idx="2">
                  <c:v>32</c:v>
                </c:pt>
                <c:pt idx="3">
                  <c:v>35</c:v>
                </c:pt>
                <c:pt idx="4">
                  <c:v>38</c:v>
                </c:pt>
                <c:pt idx="5">
                  <c:v>41</c:v>
                </c:pt>
                <c:pt idx="6">
                  <c:v>43</c:v>
                </c:pt>
                <c:pt idx="7">
                  <c:v>50</c:v>
                </c:pt>
                <c:pt idx="8">
                  <c:v>51</c:v>
                </c:pt>
                <c:pt idx="9">
                  <c:v>55</c:v>
                </c:pt>
                <c:pt idx="10">
                  <c:v>60</c:v>
                </c:pt>
                <c:pt idx="11">
                  <c:v>63</c:v>
                </c:pt>
                <c:pt idx="12">
                  <c:v>65</c:v>
                </c:pt>
                <c:pt idx="13">
                  <c:v>65</c:v>
                </c:pt>
                <c:pt idx="14">
                  <c:v>66</c:v>
                </c:pt>
                <c:pt idx="15">
                  <c:v>66</c:v>
                </c:pt>
                <c:pt idx="16">
                  <c:v>66</c:v>
                </c:pt>
                <c:pt idx="17">
                  <c:v>67</c:v>
                </c:pt>
                <c:pt idx="18">
                  <c:v>67</c:v>
                </c:pt>
                <c:pt idx="19">
                  <c:v>67</c:v>
                </c:pt>
                <c:pt idx="20">
                  <c:v>68</c:v>
                </c:pt>
                <c:pt idx="21">
                  <c:v>68</c:v>
                </c:pt>
                <c:pt idx="22">
                  <c:v>68</c:v>
                </c:pt>
                <c:pt idx="23">
                  <c:v>68</c:v>
                </c:pt>
                <c:pt idx="24">
                  <c:v>68</c:v>
                </c:pt>
                <c:pt idx="25">
                  <c:v>69</c:v>
                </c:pt>
                <c:pt idx="26">
                  <c:v>69</c:v>
                </c:pt>
                <c:pt idx="27">
                  <c:v>69</c:v>
                </c:pt>
                <c:pt idx="28">
                  <c:v>69</c:v>
                </c:pt>
                <c:pt idx="29">
                  <c:v>69</c:v>
                </c:pt>
                <c:pt idx="30">
                  <c:v>69</c:v>
                </c:pt>
                <c:pt idx="31">
                  <c:v>69</c:v>
                </c:pt>
                <c:pt idx="32">
                  <c:v>69</c:v>
                </c:pt>
                <c:pt idx="33">
                  <c:v>69</c:v>
                </c:pt>
                <c:pt idx="34">
                  <c:v>69</c:v>
                </c:pt>
                <c:pt idx="35">
                  <c:v>69</c:v>
                </c:pt>
                <c:pt idx="36">
                  <c:v>69</c:v>
                </c:pt>
                <c:pt idx="37">
                  <c:v>69</c:v>
                </c:pt>
                <c:pt idx="38">
                  <c:v>69</c:v>
                </c:pt>
                <c:pt idx="39">
                  <c:v>69</c:v>
                </c:pt>
                <c:pt idx="40">
                  <c:v>69</c:v>
                </c:pt>
                <c:pt idx="41">
                  <c:v>69</c:v>
                </c:pt>
                <c:pt idx="42">
                  <c:v>69</c:v>
                </c:pt>
                <c:pt idx="43">
                  <c:v>69</c:v>
                </c:pt>
                <c:pt idx="44">
                  <c:v>69</c:v>
                </c:pt>
                <c:pt idx="45">
                  <c:v>69</c:v>
                </c:pt>
                <c:pt idx="46">
                  <c:v>69</c:v>
                </c:pt>
                <c:pt idx="47">
                  <c:v>69</c:v>
                </c:pt>
                <c:pt idx="48">
                  <c:v>69</c:v>
                </c:pt>
                <c:pt idx="49">
                  <c:v>69</c:v>
                </c:pt>
                <c:pt idx="50">
                  <c:v>69</c:v>
                </c:pt>
                <c:pt idx="51">
                  <c:v>69</c:v>
                </c:pt>
                <c:pt idx="52">
                  <c:v>69</c:v>
                </c:pt>
                <c:pt idx="53">
                  <c:v>69</c:v>
                </c:pt>
                <c:pt idx="54">
                  <c:v>69</c:v>
                </c:pt>
                <c:pt idx="55">
                  <c:v>69</c:v>
                </c:pt>
                <c:pt idx="56">
                  <c:v>69</c:v>
                </c:pt>
                <c:pt idx="57">
                  <c:v>69</c:v>
                </c:pt>
                <c:pt idx="58">
                  <c:v>69</c:v>
                </c:pt>
                <c:pt idx="59">
                  <c:v>69</c:v>
                </c:pt>
                <c:pt idx="60">
                  <c:v>69</c:v>
                </c:pt>
                <c:pt idx="61">
                  <c:v>69</c:v>
                </c:pt>
                <c:pt idx="62">
                  <c:v>69</c:v>
                </c:pt>
                <c:pt idx="63">
                  <c:v>69</c:v>
                </c:pt>
                <c:pt idx="64">
                  <c:v>69</c:v>
                </c:pt>
                <c:pt idx="65">
                  <c:v>69</c:v>
                </c:pt>
                <c:pt idx="66">
                  <c:v>69</c:v>
                </c:pt>
                <c:pt idx="67">
                  <c:v>69</c:v>
                </c:pt>
                <c:pt idx="68">
                  <c:v>69</c:v>
                </c:pt>
                <c:pt idx="69">
                  <c:v>69</c:v>
                </c:pt>
                <c:pt idx="70">
                  <c:v>69</c:v>
                </c:pt>
                <c:pt idx="71">
                  <c:v>69</c:v>
                </c:pt>
                <c:pt idx="72">
                  <c:v>69</c:v>
                </c:pt>
                <c:pt idx="73">
                  <c:v>69</c:v>
                </c:pt>
                <c:pt idx="74">
                  <c:v>69</c:v>
                </c:pt>
                <c:pt idx="75">
                  <c:v>69</c:v>
                </c:pt>
                <c:pt idx="76">
                  <c:v>69</c:v>
                </c:pt>
                <c:pt idx="77">
                  <c:v>69</c:v>
                </c:pt>
                <c:pt idx="78">
                  <c:v>69</c:v>
                </c:pt>
                <c:pt idx="79">
                  <c:v>69</c:v>
                </c:pt>
                <c:pt idx="80">
                  <c:v>69</c:v>
                </c:pt>
                <c:pt idx="81">
                  <c:v>69</c:v>
                </c:pt>
                <c:pt idx="82">
                  <c:v>69</c:v>
                </c:pt>
                <c:pt idx="83">
                  <c:v>69</c:v>
                </c:pt>
                <c:pt idx="84">
                  <c:v>69</c:v>
                </c:pt>
                <c:pt idx="85">
                  <c:v>69</c:v>
                </c:pt>
                <c:pt idx="86">
                  <c:v>69</c:v>
                </c:pt>
                <c:pt idx="87">
                  <c:v>69</c:v>
                </c:pt>
                <c:pt idx="88">
                  <c:v>69</c:v>
                </c:pt>
                <c:pt idx="89">
                  <c:v>69</c:v>
                </c:pt>
                <c:pt idx="90">
                  <c:v>69</c:v>
                </c:pt>
                <c:pt idx="91">
                  <c:v>69</c:v>
                </c:pt>
                <c:pt idx="92">
                  <c:v>69</c:v>
                </c:pt>
                <c:pt idx="93">
                  <c:v>69</c:v>
                </c:pt>
                <c:pt idx="94">
                  <c:v>69</c:v>
                </c:pt>
                <c:pt idx="95">
                  <c:v>69</c:v>
                </c:pt>
                <c:pt idx="96">
                  <c:v>69</c:v>
                </c:pt>
                <c:pt idx="97">
                  <c:v>69</c:v>
                </c:pt>
                <c:pt idx="98">
                  <c:v>69</c:v>
                </c:pt>
                <c:pt idx="99">
                  <c:v>69</c:v>
                </c:pt>
              </c:numCache>
            </c:numRef>
          </c:val>
          <c:smooth val="0"/>
          <c:extLst>
            <c:ext xmlns:c16="http://schemas.microsoft.com/office/drawing/2014/chart" uri="{C3380CC4-5D6E-409C-BE32-E72D297353CC}">
              <c16:uniqueId val="{00000000-3E42-4FCD-ACB6-5BFFD35F15DB}"/>
            </c:ext>
          </c:extLst>
        </c:ser>
        <c:dLbls>
          <c:showLegendKey val="0"/>
          <c:showVal val="0"/>
          <c:showCatName val="0"/>
          <c:showSerName val="0"/>
          <c:showPercent val="0"/>
          <c:showBubbleSize val="0"/>
        </c:dLbls>
        <c:hiLowLines/>
        <c:smooth val="0"/>
        <c:axId val="286658224"/>
        <c:axId val="286662536"/>
      </c:lineChart>
      <c:catAx>
        <c:axId val="286658224"/>
        <c:scaling>
          <c:orientation val="minMax"/>
        </c:scaling>
        <c:delete val="0"/>
        <c:axPos val="b"/>
        <c:title>
          <c:tx>
            <c:rich>
              <a:bodyPr/>
              <a:lstStyle/>
              <a:p>
                <a:pPr>
                  <a:defRPr sz="1100">
                    <a:latin typeface="Arial" pitchFamily="34" charset="0"/>
                    <a:cs typeface="Arial" pitchFamily="34" charset="0"/>
                  </a:defRPr>
                </a:pPr>
                <a:r>
                  <a:rPr lang="en-US" sz="1100">
                    <a:latin typeface="Arial" pitchFamily="34" charset="0"/>
                    <a:cs typeface="Arial" pitchFamily="34" charset="0"/>
                  </a:rPr>
                  <a:t>Paddock</a:t>
                </a:r>
                <a:r>
                  <a:rPr lang="en-US" sz="1100" baseline="0">
                    <a:latin typeface="Arial" pitchFamily="34" charset="0"/>
                    <a:cs typeface="Arial" pitchFamily="34" charset="0"/>
                  </a:rPr>
                  <a:t> Equivalency Value</a:t>
                </a:r>
                <a:endParaRPr lang="en-US" sz="1100">
                  <a:latin typeface="Arial" pitchFamily="34" charset="0"/>
                  <a:cs typeface="Arial" pitchFamily="34" charset="0"/>
                </a:endParaRPr>
              </a:p>
            </c:rich>
          </c:tx>
          <c:overlay val="0"/>
        </c:title>
        <c:majorTickMark val="none"/>
        <c:minorTickMark val="none"/>
        <c:tickLblPos val="nextTo"/>
        <c:crossAx val="286662536"/>
        <c:crosses val="autoZero"/>
        <c:auto val="1"/>
        <c:lblAlgn val="ctr"/>
        <c:lblOffset val="100"/>
        <c:noMultiLvlLbl val="0"/>
      </c:catAx>
      <c:valAx>
        <c:axId val="286662536"/>
        <c:scaling>
          <c:orientation val="minMax"/>
        </c:scaling>
        <c:delete val="0"/>
        <c:axPos val="l"/>
        <c:majorGridlines/>
        <c:title>
          <c:tx>
            <c:rich>
              <a:bodyPr/>
              <a:lstStyle/>
              <a:p>
                <a:pPr>
                  <a:defRPr sz="1050">
                    <a:latin typeface="Arial" pitchFamily="34" charset="0"/>
                    <a:cs typeface="Arial" pitchFamily="34" charset="0"/>
                  </a:defRPr>
                </a:pPr>
                <a:r>
                  <a:rPr lang="en-US" sz="1050">
                    <a:latin typeface="Arial" pitchFamily="34" charset="0"/>
                    <a:cs typeface="Arial" pitchFamily="34" charset="0"/>
                  </a:rPr>
                  <a:t>Grazing Efficiency (%)</a:t>
                </a:r>
              </a:p>
            </c:rich>
          </c:tx>
          <c:overlay val="0"/>
        </c:title>
        <c:numFmt formatCode="General_)" sourceLinked="1"/>
        <c:majorTickMark val="out"/>
        <c:minorTickMark val="none"/>
        <c:tickLblPos val="nextTo"/>
        <c:crossAx val="286658224"/>
        <c:crosses val="autoZero"/>
        <c:crossBetween val="between"/>
      </c:valAx>
    </c:plotArea>
    <c:plotVisOnly val="1"/>
    <c:dispBlanksAs val="gap"/>
    <c:showDLblsOverMax val="0"/>
  </c:chart>
  <c:spPr>
    <a:ln w="25400">
      <a:solidFill>
        <a:schemeClr val="tx1"/>
      </a:solidFill>
    </a:ln>
  </c:spPr>
  <c:printSettings>
    <c:headerFooter/>
    <c:pageMargins b="0.75" l="0.7" r="0.7" t="0.75" header="0.3" footer="0.3"/>
    <c:pageSetup/>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16.png"/></Relationships>
</file>

<file path=xl/drawings/_rels/drawing11.xml.rels><?xml version="1.0" encoding="UTF-8" standalone="yes"?>
<Relationships xmlns="http://schemas.openxmlformats.org/package/2006/relationships"><Relationship Id="rId1" Type="http://schemas.openxmlformats.org/officeDocument/2006/relationships/chart" Target="../charts/chart3.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6.emf"/><Relationship Id="rId13" Type="http://schemas.openxmlformats.org/officeDocument/2006/relationships/image" Target="../media/image1.emf"/><Relationship Id="rId3" Type="http://schemas.openxmlformats.org/officeDocument/2006/relationships/image" Target="../media/image11.emf"/><Relationship Id="rId7" Type="http://schemas.openxmlformats.org/officeDocument/2006/relationships/image" Target="../media/image7.emf"/><Relationship Id="rId12" Type="http://schemas.openxmlformats.org/officeDocument/2006/relationships/image" Target="../media/image2.emf"/><Relationship Id="rId2" Type="http://schemas.openxmlformats.org/officeDocument/2006/relationships/image" Target="../media/image12.emf"/><Relationship Id="rId1" Type="http://schemas.openxmlformats.org/officeDocument/2006/relationships/image" Target="../media/image14.emf"/><Relationship Id="rId6" Type="http://schemas.openxmlformats.org/officeDocument/2006/relationships/image" Target="../media/image8.emf"/><Relationship Id="rId11" Type="http://schemas.openxmlformats.org/officeDocument/2006/relationships/image" Target="../media/image3.emf"/><Relationship Id="rId5" Type="http://schemas.openxmlformats.org/officeDocument/2006/relationships/image" Target="../media/image9.emf"/><Relationship Id="rId15" Type="http://schemas.openxmlformats.org/officeDocument/2006/relationships/image" Target="../media/image15.emf"/><Relationship Id="rId10" Type="http://schemas.openxmlformats.org/officeDocument/2006/relationships/image" Target="../media/image4.emf"/><Relationship Id="rId4" Type="http://schemas.openxmlformats.org/officeDocument/2006/relationships/image" Target="../media/image10.emf"/><Relationship Id="rId9" Type="http://schemas.openxmlformats.org/officeDocument/2006/relationships/image" Target="../media/image5.emf"/><Relationship Id="rId14"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4</xdr:col>
      <xdr:colOff>158750</xdr:colOff>
      <xdr:row>268</xdr:row>
      <xdr:rowOff>183091</xdr:rowOff>
    </xdr:from>
    <xdr:to>
      <xdr:col>13</xdr:col>
      <xdr:colOff>501650</xdr:colOff>
      <xdr:row>300</xdr:row>
      <xdr:rowOff>17991</xdr:rowOff>
    </xdr:to>
    <xdr:graphicFrame macro="">
      <xdr:nvGraphicFramePr>
        <xdr:cNvPr id="78" name="Chart 77">
          <a:extLst>
            <a:ext uri="{FF2B5EF4-FFF2-40B4-BE49-F238E27FC236}">
              <a16:creationId xmlns:a16="http://schemas.microsoft.com/office/drawing/2014/main" id="{00000000-0008-0000-0000-00004E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54</xdr:col>
          <xdr:colOff>514350</xdr:colOff>
          <xdr:row>0</xdr:row>
          <xdr:rowOff>247650</xdr:rowOff>
        </xdr:from>
        <xdr:to>
          <xdr:col>59</xdr:col>
          <xdr:colOff>314325</xdr:colOff>
          <xdr:row>0</xdr:row>
          <xdr:rowOff>485775</xdr:rowOff>
        </xdr:to>
        <xdr:sp macro="" textlink="">
          <xdr:nvSpPr>
            <xdr:cNvPr id="1267" name="Forage2" hidden="1">
              <a:extLst>
                <a:ext uri="{63B3BB69-23CF-44E3-9099-C40C66FF867C}">
                  <a14:compatExt spid="_x0000_s1267"/>
                </a:ext>
                <a:ext uri="{FF2B5EF4-FFF2-40B4-BE49-F238E27FC236}">
                  <a16:creationId xmlns:a16="http://schemas.microsoft.com/office/drawing/2014/main" id="{00000000-0008-0000-0000-0000F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5</xdr:row>
          <xdr:rowOff>28575</xdr:rowOff>
        </xdr:from>
        <xdr:to>
          <xdr:col>11</xdr:col>
          <xdr:colOff>314325</xdr:colOff>
          <xdr:row>6</xdr:row>
          <xdr:rowOff>104775</xdr:rowOff>
        </xdr:to>
        <xdr:sp macro="" textlink="">
          <xdr:nvSpPr>
            <xdr:cNvPr id="1236" name="CheckBox1" hidden="1">
              <a:extLst>
                <a:ext uri="{63B3BB69-23CF-44E3-9099-C40C66FF867C}">
                  <a14:compatExt spid="_x0000_s1236"/>
                </a:ext>
                <a:ext uri="{FF2B5EF4-FFF2-40B4-BE49-F238E27FC236}">
                  <a16:creationId xmlns:a16="http://schemas.microsoft.com/office/drawing/2014/main" id="{00000000-0008-0000-0000-0000D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xdr:row>
          <xdr:rowOff>152400</xdr:rowOff>
        </xdr:from>
        <xdr:to>
          <xdr:col>11</xdr:col>
          <xdr:colOff>342900</xdr:colOff>
          <xdr:row>8</xdr:row>
          <xdr:rowOff>19050</xdr:rowOff>
        </xdr:to>
        <xdr:sp macro="" textlink="">
          <xdr:nvSpPr>
            <xdr:cNvPr id="1237" name="CheckBox2" hidden="1">
              <a:extLst>
                <a:ext uri="{63B3BB69-23CF-44E3-9099-C40C66FF867C}">
                  <a14:compatExt spid="_x0000_s1237"/>
                </a:ext>
                <a:ext uri="{FF2B5EF4-FFF2-40B4-BE49-F238E27FC236}">
                  <a16:creationId xmlns:a16="http://schemas.microsoft.com/office/drawing/2014/main" id="{00000000-0008-0000-0000-0000D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xdr:row>
          <xdr:rowOff>95250</xdr:rowOff>
        </xdr:from>
        <xdr:to>
          <xdr:col>11</xdr:col>
          <xdr:colOff>304800</xdr:colOff>
          <xdr:row>9</xdr:row>
          <xdr:rowOff>200025</xdr:rowOff>
        </xdr:to>
        <xdr:sp macro="" textlink="">
          <xdr:nvSpPr>
            <xdr:cNvPr id="1238" name="CheckBox3" hidden="1">
              <a:extLst>
                <a:ext uri="{63B3BB69-23CF-44E3-9099-C40C66FF867C}">
                  <a14:compatExt spid="_x0000_s1238"/>
                </a:ext>
                <a:ext uri="{FF2B5EF4-FFF2-40B4-BE49-F238E27FC236}">
                  <a16:creationId xmlns:a16="http://schemas.microsoft.com/office/drawing/2014/main" id="{00000000-0008-0000-0000-0000D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504825</xdr:colOff>
          <xdr:row>5</xdr:row>
          <xdr:rowOff>104775</xdr:rowOff>
        </xdr:from>
        <xdr:to>
          <xdr:col>12</xdr:col>
          <xdr:colOff>942975</xdr:colOff>
          <xdr:row>6</xdr:row>
          <xdr:rowOff>161925</xdr:rowOff>
        </xdr:to>
        <xdr:sp macro="" textlink="">
          <xdr:nvSpPr>
            <xdr:cNvPr id="1239" name="CheckBox4" hidden="1">
              <a:extLst>
                <a:ext uri="{63B3BB69-23CF-44E3-9099-C40C66FF867C}">
                  <a14:compatExt spid="_x0000_s1239"/>
                </a:ext>
                <a:ext uri="{FF2B5EF4-FFF2-40B4-BE49-F238E27FC236}">
                  <a16:creationId xmlns:a16="http://schemas.microsoft.com/office/drawing/2014/main" id="{00000000-0008-0000-0000-0000D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485775</xdr:colOff>
          <xdr:row>6</xdr:row>
          <xdr:rowOff>171450</xdr:rowOff>
        </xdr:from>
        <xdr:to>
          <xdr:col>12</xdr:col>
          <xdr:colOff>923925</xdr:colOff>
          <xdr:row>8</xdr:row>
          <xdr:rowOff>57150</xdr:rowOff>
        </xdr:to>
        <xdr:sp macro="" textlink="">
          <xdr:nvSpPr>
            <xdr:cNvPr id="1240" name="CheckBox5" hidden="1">
              <a:extLst>
                <a:ext uri="{63B3BB69-23CF-44E3-9099-C40C66FF867C}">
                  <a14:compatExt spid="_x0000_s1240"/>
                </a:ext>
                <a:ext uri="{FF2B5EF4-FFF2-40B4-BE49-F238E27FC236}">
                  <a16:creationId xmlns:a16="http://schemas.microsoft.com/office/drawing/2014/main" id="{00000000-0008-0000-0000-0000D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xdr:row>
          <xdr:rowOff>95250</xdr:rowOff>
        </xdr:from>
        <xdr:to>
          <xdr:col>15</xdr:col>
          <xdr:colOff>581025</xdr:colOff>
          <xdr:row>7</xdr:row>
          <xdr:rowOff>0</xdr:rowOff>
        </xdr:to>
        <xdr:sp macro="" textlink="">
          <xdr:nvSpPr>
            <xdr:cNvPr id="1241" name="CheckBox6" hidden="1">
              <a:extLst>
                <a:ext uri="{63B3BB69-23CF-44E3-9099-C40C66FF867C}">
                  <a14:compatExt spid="_x0000_s1241"/>
                </a:ext>
                <a:ext uri="{FF2B5EF4-FFF2-40B4-BE49-F238E27FC236}">
                  <a16:creationId xmlns:a16="http://schemas.microsoft.com/office/drawing/2014/main" id="{00000000-0008-0000-0000-0000D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219075</xdr:colOff>
          <xdr:row>7</xdr:row>
          <xdr:rowOff>38100</xdr:rowOff>
        </xdr:from>
        <xdr:to>
          <xdr:col>15</xdr:col>
          <xdr:colOff>571500</xdr:colOff>
          <xdr:row>8</xdr:row>
          <xdr:rowOff>66675</xdr:rowOff>
        </xdr:to>
        <xdr:sp macro="" textlink="">
          <xdr:nvSpPr>
            <xdr:cNvPr id="1242" name="CheckBox7" hidden="1">
              <a:extLst>
                <a:ext uri="{63B3BB69-23CF-44E3-9099-C40C66FF867C}">
                  <a14:compatExt spid="_x0000_s1242"/>
                </a:ext>
                <a:ext uri="{FF2B5EF4-FFF2-40B4-BE49-F238E27FC236}">
                  <a16:creationId xmlns:a16="http://schemas.microsoft.com/office/drawing/2014/main" id="{00000000-0008-0000-0000-0000D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476250</xdr:colOff>
          <xdr:row>5</xdr:row>
          <xdr:rowOff>190500</xdr:rowOff>
        </xdr:from>
        <xdr:to>
          <xdr:col>16</xdr:col>
          <xdr:colOff>352425</xdr:colOff>
          <xdr:row>7</xdr:row>
          <xdr:rowOff>47625</xdr:rowOff>
        </xdr:to>
        <xdr:sp macro="" textlink="">
          <xdr:nvSpPr>
            <xdr:cNvPr id="1243" name="CheckBox8" hidden="1">
              <a:extLst>
                <a:ext uri="{63B3BB69-23CF-44E3-9099-C40C66FF867C}">
                  <a14:compatExt spid="_x0000_s1243"/>
                </a:ext>
                <a:ext uri="{FF2B5EF4-FFF2-40B4-BE49-F238E27FC236}">
                  <a16:creationId xmlns:a16="http://schemas.microsoft.com/office/drawing/2014/main" id="{00000000-0008-0000-0000-0000D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476250</xdr:colOff>
          <xdr:row>7</xdr:row>
          <xdr:rowOff>95250</xdr:rowOff>
        </xdr:from>
        <xdr:to>
          <xdr:col>16</xdr:col>
          <xdr:colOff>457200</xdr:colOff>
          <xdr:row>8</xdr:row>
          <xdr:rowOff>142875</xdr:rowOff>
        </xdr:to>
        <xdr:sp macro="" textlink="">
          <xdr:nvSpPr>
            <xdr:cNvPr id="1244" name="CheckBox9" hidden="1">
              <a:extLst>
                <a:ext uri="{63B3BB69-23CF-44E3-9099-C40C66FF867C}">
                  <a14:compatExt spid="_x0000_s1244"/>
                </a:ext>
                <a:ext uri="{FF2B5EF4-FFF2-40B4-BE49-F238E27FC236}">
                  <a16:creationId xmlns:a16="http://schemas.microsoft.com/office/drawing/2014/main" id="{00000000-0008-0000-0000-0000D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xdr:row>
          <xdr:rowOff>76200</xdr:rowOff>
        </xdr:from>
        <xdr:to>
          <xdr:col>17</xdr:col>
          <xdr:colOff>723900</xdr:colOff>
          <xdr:row>8</xdr:row>
          <xdr:rowOff>95250</xdr:rowOff>
        </xdr:to>
        <xdr:sp macro="" textlink="">
          <xdr:nvSpPr>
            <xdr:cNvPr id="1245" name="CheckBox10" hidden="1">
              <a:extLst>
                <a:ext uri="{63B3BB69-23CF-44E3-9099-C40C66FF867C}">
                  <a14:compatExt spid="_x0000_s1245"/>
                </a:ext>
                <a:ext uri="{FF2B5EF4-FFF2-40B4-BE49-F238E27FC236}">
                  <a16:creationId xmlns:a16="http://schemas.microsoft.com/office/drawing/2014/main" id="{00000000-0008-0000-0000-0000D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xdr:row>
          <xdr:rowOff>171450</xdr:rowOff>
        </xdr:from>
        <xdr:to>
          <xdr:col>17</xdr:col>
          <xdr:colOff>666750</xdr:colOff>
          <xdr:row>7</xdr:row>
          <xdr:rowOff>38100</xdr:rowOff>
        </xdr:to>
        <xdr:sp macro="" textlink="">
          <xdr:nvSpPr>
            <xdr:cNvPr id="1246" name="CheckBox11" hidden="1">
              <a:extLst>
                <a:ext uri="{63B3BB69-23CF-44E3-9099-C40C66FF867C}">
                  <a14:compatExt spid="_x0000_s1246"/>
                </a:ext>
                <a:ext uri="{FF2B5EF4-FFF2-40B4-BE49-F238E27FC236}">
                  <a16:creationId xmlns:a16="http://schemas.microsoft.com/office/drawing/2014/main" id="{00000000-0008-0000-0000-0000D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38099</xdr:colOff>
      <xdr:row>102</xdr:row>
      <xdr:rowOff>110067</xdr:rowOff>
    </xdr:from>
    <xdr:to>
      <xdr:col>5</xdr:col>
      <xdr:colOff>266699</xdr:colOff>
      <xdr:row>103</xdr:row>
      <xdr:rowOff>98425</xdr:rowOff>
    </xdr:to>
    <xdr:sp macro="[0]!TextBox1_Click" textlink="">
      <xdr:nvSpPr>
        <xdr:cNvPr id="2" name="TextBox 1" hidden="1">
          <a:extLst>
            <a:ext uri="{FF2B5EF4-FFF2-40B4-BE49-F238E27FC236}">
              <a16:creationId xmlns:a16="http://schemas.microsoft.com/office/drawing/2014/main" id="{00000000-0008-0000-0000-000002000000}"/>
            </a:ext>
          </a:extLst>
        </xdr:cNvPr>
        <xdr:cNvSpPr txBox="1"/>
      </xdr:nvSpPr>
      <xdr:spPr>
        <a:xfrm>
          <a:off x="638174" y="8996892"/>
          <a:ext cx="228600" cy="1883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cs typeface="Arial" pitchFamily="34" charset="0"/>
            </a:rPr>
            <a:t>+</a:t>
          </a:r>
        </a:p>
      </xdr:txBody>
    </xdr:sp>
    <xdr:clientData/>
  </xdr:twoCellAnchor>
  <xdr:twoCellAnchor>
    <xdr:from>
      <xdr:col>4</xdr:col>
      <xdr:colOff>212725</xdr:colOff>
      <xdr:row>104</xdr:row>
      <xdr:rowOff>92604</xdr:rowOff>
    </xdr:from>
    <xdr:to>
      <xdr:col>5</xdr:col>
      <xdr:colOff>60325</xdr:colOff>
      <xdr:row>105</xdr:row>
      <xdr:rowOff>141287</xdr:rowOff>
    </xdr:to>
    <xdr:sp macro="[0]!TextBox2_Click" textlink="">
      <xdr:nvSpPr>
        <xdr:cNvPr id="3" name="TextBox 2">
          <a:extLst>
            <a:ext uri="{FF2B5EF4-FFF2-40B4-BE49-F238E27FC236}">
              <a16:creationId xmlns:a16="http://schemas.microsoft.com/office/drawing/2014/main" id="{00000000-0008-0000-0000-000003000000}"/>
            </a:ext>
          </a:extLst>
        </xdr:cNvPr>
        <xdr:cNvSpPr txBox="1"/>
      </xdr:nvSpPr>
      <xdr:spPr>
        <a:xfrm>
          <a:off x="384175" y="9379479"/>
          <a:ext cx="276225" cy="2487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cs typeface="Arial" pitchFamily="34" charset="0"/>
            </a:rPr>
            <a:t>-</a:t>
          </a:r>
        </a:p>
      </xdr:txBody>
    </xdr:sp>
    <xdr:clientData/>
  </xdr:twoCellAnchor>
  <xdr:twoCellAnchor>
    <xdr:from>
      <xdr:col>5</xdr:col>
      <xdr:colOff>34925</xdr:colOff>
      <xdr:row>104</xdr:row>
      <xdr:rowOff>99484</xdr:rowOff>
    </xdr:from>
    <xdr:to>
      <xdr:col>5</xdr:col>
      <xdr:colOff>263525</xdr:colOff>
      <xdr:row>105</xdr:row>
      <xdr:rowOff>138642</xdr:rowOff>
    </xdr:to>
    <xdr:sp macro="[0]!TextBox3_Click" textlink="">
      <xdr:nvSpPr>
        <xdr:cNvPr id="4" name="TextBox 3">
          <a:extLst>
            <a:ext uri="{FF2B5EF4-FFF2-40B4-BE49-F238E27FC236}">
              <a16:creationId xmlns:a16="http://schemas.microsoft.com/office/drawing/2014/main" id="{00000000-0008-0000-0000-000004000000}"/>
            </a:ext>
          </a:extLst>
        </xdr:cNvPr>
        <xdr:cNvSpPr txBox="1"/>
      </xdr:nvSpPr>
      <xdr:spPr>
        <a:xfrm>
          <a:off x="635000" y="9386359"/>
          <a:ext cx="228600" cy="2391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185738</xdr:colOff>
      <xdr:row>106</xdr:row>
      <xdr:rowOff>100012</xdr:rowOff>
    </xdr:from>
    <xdr:to>
      <xdr:col>5</xdr:col>
      <xdr:colOff>33338</xdr:colOff>
      <xdr:row>107</xdr:row>
      <xdr:rowOff>136524</xdr:rowOff>
    </xdr:to>
    <xdr:sp macro="[0]!TextBox4_Click" textlink="">
      <xdr:nvSpPr>
        <xdr:cNvPr id="5" name="TextBox 4">
          <a:extLst>
            <a:ext uri="{FF2B5EF4-FFF2-40B4-BE49-F238E27FC236}">
              <a16:creationId xmlns:a16="http://schemas.microsoft.com/office/drawing/2014/main" id="{00000000-0008-0000-0000-000005000000}"/>
            </a:ext>
          </a:extLst>
        </xdr:cNvPr>
        <xdr:cNvSpPr txBox="1"/>
      </xdr:nvSpPr>
      <xdr:spPr>
        <a:xfrm>
          <a:off x="357188" y="9786937"/>
          <a:ext cx="276225" cy="236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cs typeface="Arial" pitchFamily="34" charset="0"/>
            </a:rPr>
            <a:t>-</a:t>
          </a:r>
        </a:p>
      </xdr:txBody>
    </xdr:sp>
    <xdr:clientData/>
  </xdr:twoCellAnchor>
  <xdr:twoCellAnchor>
    <xdr:from>
      <xdr:col>5</xdr:col>
      <xdr:colOff>25401</xdr:colOff>
      <xdr:row>106</xdr:row>
      <xdr:rowOff>100013</xdr:rowOff>
    </xdr:from>
    <xdr:to>
      <xdr:col>5</xdr:col>
      <xdr:colOff>254001</xdr:colOff>
      <xdr:row>107</xdr:row>
      <xdr:rowOff>127000</xdr:rowOff>
    </xdr:to>
    <xdr:sp macro="[0]!TextBox5_Click" textlink="">
      <xdr:nvSpPr>
        <xdr:cNvPr id="6" name="TextBox 5">
          <a:extLst>
            <a:ext uri="{FF2B5EF4-FFF2-40B4-BE49-F238E27FC236}">
              <a16:creationId xmlns:a16="http://schemas.microsoft.com/office/drawing/2014/main" id="{00000000-0008-0000-0000-000006000000}"/>
            </a:ext>
          </a:extLst>
        </xdr:cNvPr>
        <xdr:cNvSpPr txBox="1"/>
      </xdr:nvSpPr>
      <xdr:spPr>
        <a:xfrm>
          <a:off x="625476" y="9786938"/>
          <a:ext cx="228600" cy="2270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cs typeface="Arial" pitchFamily="34" charset="0"/>
            </a:rPr>
            <a:t>+</a:t>
          </a:r>
        </a:p>
      </xdr:txBody>
    </xdr:sp>
    <xdr:clientData/>
  </xdr:twoCellAnchor>
  <xdr:twoCellAnchor>
    <xdr:from>
      <xdr:col>4</xdr:col>
      <xdr:colOff>209550</xdr:colOff>
      <xdr:row>108</xdr:row>
      <xdr:rowOff>100012</xdr:rowOff>
    </xdr:from>
    <xdr:to>
      <xdr:col>5</xdr:col>
      <xdr:colOff>57150</xdr:colOff>
      <xdr:row>109</xdr:row>
      <xdr:rowOff>146050</xdr:rowOff>
    </xdr:to>
    <xdr:sp macro="[0]!TextBox6_Click" textlink="">
      <xdr:nvSpPr>
        <xdr:cNvPr id="7" name="TextBox 6">
          <a:extLst>
            <a:ext uri="{FF2B5EF4-FFF2-40B4-BE49-F238E27FC236}">
              <a16:creationId xmlns:a16="http://schemas.microsoft.com/office/drawing/2014/main" id="{00000000-0008-0000-0000-000007000000}"/>
            </a:ext>
          </a:extLst>
        </xdr:cNvPr>
        <xdr:cNvSpPr txBox="1"/>
      </xdr:nvSpPr>
      <xdr:spPr>
        <a:xfrm>
          <a:off x="381000" y="10186987"/>
          <a:ext cx="276225" cy="2460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39687</xdr:colOff>
      <xdr:row>108</xdr:row>
      <xdr:rowOff>100012</xdr:rowOff>
    </xdr:from>
    <xdr:to>
      <xdr:col>5</xdr:col>
      <xdr:colOff>268287</xdr:colOff>
      <xdr:row>109</xdr:row>
      <xdr:rowOff>146050</xdr:rowOff>
    </xdr:to>
    <xdr:sp macro="[0]!TextBox7_Click" textlink="">
      <xdr:nvSpPr>
        <xdr:cNvPr id="8" name="TextBox 7">
          <a:extLst>
            <a:ext uri="{FF2B5EF4-FFF2-40B4-BE49-F238E27FC236}">
              <a16:creationId xmlns:a16="http://schemas.microsoft.com/office/drawing/2014/main" id="{00000000-0008-0000-0000-000008000000}"/>
            </a:ext>
          </a:extLst>
        </xdr:cNvPr>
        <xdr:cNvSpPr txBox="1"/>
      </xdr:nvSpPr>
      <xdr:spPr>
        <a:xfrm>
          <a:off x="639762" y="10186987"/>
          <a:ext cx="228600" cy="2460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cs typeface="Arial" pitchFamily="34" charset="0"/>
            </a:rPr>
            <a:t>+</a:t>
          </a:r>
        </a:p>
      </xdr:txBody>
    </xdr:sp>
    <xdr:clientData/>
  </xdr:twoCellAnchor>
  <xdr:twoCellAnchor>
    <xdr:from>
      <xdr:col>4</xdr:col>
      <xdr:colOff>214313</xdr:colOff>
      <xdr:row>110</xdr:row>
      <xdr:rowOff>93663</xdr:rowOff>
    </xdr:from>
    <xdr:to>
      <xdr:col>5</xdr:col>
      <xdr:colOff>61913</xdr:colOff>
      <xdr:row>111</xdr:row>
      <xdr:rowOff>139700</xdr:rowOff>
    </xdr:to>
    <xdr:sp macro="[0]!TextBox8_Click" textlink="">
      <xdr:nvSpPr>
        <xdr:cNvPr id="9" name="TextBox 8">
          <a:extLst>
            <a:ext uri="{FF2B5EF4-FFF2-40B4-BE49-F238E27FC236}">
              <a16:creationId xmlns:a16="http://schemas.microsoft.com/office/drawing/2014/main" id="{00000000-0008-0000-0000-000009000000}"/>
            </a:ext>
          </a:extLst>
        </xdr:cNvPr>
        <xdr:cNvSpPr txBox="1"/>
      </xdr:nvSpPr>
      <xdr:spPr>
        <a:xfrm>
          <a:off x="385763" y="10580688"/>
          <a:ext cx="276225" cy="2460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34925</xdr:colOff>
      <xdr:row>110</xdr:row>
      <xdr:rowOff>93662</xdr:rowOff>
    </xdr:from>
    <xdr:to>
      <xdr:col>5</xdr:col>
      <xdr:colOff>263525</xdr:colOff>
      <xdr:row>111</xdr:row>
      <xdr:rowOff>139699</xdr:rowOff>
    </xdr:to>
    <xdr:sp macro="[0]!TextBox9_Click" textlink="">
      <xdr:nvSpPr>
        <xdr:cNvPr id="10" name="TextBox 9">
          <a:extLst>
            <a:ext uri="{FF2B5EF4-FFF2-40B4-BE49-F238E27FC236}">
              <a16:creationId xmlns:a16="http://schemas.microsoft.com/office/drawing/2014/main" id="{00000000-0008-0000-0000-00000A000000}"/>
            </a:ext>
          </a:extLst>
        </xdr:cNvPr>
        <xdr:cNvSpPr txBox="1"/>
      </xdr:nvSpPr>
      <xdr:spPr>
        <a:xfrm>
          <a:off x="635000" y="10580687"/>
          <a:ext cx="228600" cy="2460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177800</xdr:colOff>
      <xdr:row>112</xdr:row>
      <xdr:rowOff>104775</xdr:rowOff>
    </xdr:from>
    <xdr:to>
      <xdr:col>5</xdr:col>
      <xdr:colOff>25400</xdr:colOff>
      <xdr:row>113</xdr:row>
      <xdr:rowOff>141288</xdr:rowOff>
    </xdr:to>
    <xdr:sp macro="[0]!TextBox10_Click" textlink="">
      <xdr:nvSpPr>
        <xdr:cNvPr id="11" name="TextBox 10">
          <a:extLst>
            <a:ext uri="{FF2B5EF4-FFF2-40B4-BE49-F238E27FC236}">
              <a16:creationId xmlns:a16="http://schemas.microsoft.com/office/drawing/2014/main" id="{00000000-0008-0000-0000-00000B000000}"/>
            </a:ext>
          </a:extLst>
        </xdr:cNvPr>
        <xdr:cNvSpPr txBox="1"/>
      </xdr:nvSpPr>
      <xdr:spPr>
        <a:xfrm>
          <a:off x="349250" y="10991850"/>
          <a:ext cx="276225" cy="2365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4763</xdr:colOff>
      <xdr:row>112</xdr:row>
      <xdr:rowOff>112711</xdr:rowOff>
    </xdr:from>
    <xdr:to>
      <xdr:col>5</xdr:col>
      <xdr:colOff>233363</xdr:colOff>
      <xdr:row>113</xdr:row>
      <xdr:rowOff>130174</xdr:rowOff>
    </xdr:to>
    <xdr:sp macro="[0]!TextBox11_Click" textlink="">
      <xdr:nvSpPr>
        <xdr:cNvPr id="12" name="TextBox 11">
          <a:extLst>
            <a:ext uri="{FF2B5EF4-FFF2-40B4-BE49-F238E27FC236}">
              <a16:creationId xmlns:a16="http://schemas.microsoft.com/office/drawing/2014/main" id="{00000000-0008-0000-0000-00000C000000}"/>
            </a:ext>
          </a:extLst>
        </xdr:cNvPr>
        <xdr:cNvSpPr txBox="1"/>
      </xdr:nvSpPr>
      <xdr:spPr>
        <a:xfrm>
          <a:off x="604838" y="10999786"/>
          <a:ext cx="228600" cy="2174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177800</xdr:colOff>
      <xdr:row>114</xdr:row>
      <xdr:rowOff>147638</xdr:rowOff>
    </xdr:from>
    <xdr:to>
      <xdr:col>5</xdr:col>
      <xdr:colOff>25400</xdr:colOff>
      <xdr:row>115</xdr:row>
      <xdr:rowOff>138112</xdr:rowOff>
    </xdr:to>
    <xdr:sp macro="[0]!TextBox12_Click" textlink="">
      <xdr:nvSpPr>
        <xdr:cNvPr id="13" name="TextBox 12">
          <a:extLst>
            <a:ext uri="{FF2B5EF4-FFF2-40B4-BE49-F238E27FC236}">
              <a16:creationId xmlns:a16="http://schemas.microsoft.com/office/drawing/2014/main" id="{00000000-0008-0000-0000-00000D000000}"/>
            </a:ext>
          </a:extLst>
        </xdr:cNvPr>
        <xdr:cNvSpPr txBox="1"/>
      </xdr:nvSpPr>
      <xdr:spPr>
        <a:xfrm>
          <a:off x="349250" y="11434763"/>
          <a:ext cx="276225" cy="1904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17463</xdr:colOff>
      <xdr:row>114</xdr:row>
      <xdr:rowOff>131763</xdr:rowOff>
    </xdr:from>
    <xdr:to>
      <xdr:col>5</xdr:col>
      <xdr:colOff>246063</xdr:colOff>
      <xdr:row>115</xdr:row>
      <xdr:rowOff>120650</xdr:rowOff>
    </xdr:to>
    <xdr:sp macro="[0]!TextBox13_Click" textlink="">
      <xdr:nvSpPr>
        <xdr:cNvPr id="14" name="TextBox 13">
          <a:extLst>
            <a:ext uri="{FF2B5EF4-FFF2-40B4-BE49-F238E27FC236}">
              <a16:creationId xmlns:a16="http://schemas.microsoft.com/office/drawing/2014/main" id="{00000000-0008-0000-0000-00000E000000}"/>
            </a:ext>
          </a:extLst>
        </xdr:cNvPr>
        <xdr:cNvSpPr txBox="1"/>
      </xdr:nvSpPr>
      <xdr:spPr>
        <a:xfrm>
          <a:off x="617538" y="11418888"/>
          <a:ext cx="228600" cy="1889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200025</xdr:colOff>
      <xdr:row>116</xdr:row>
      <xdr:rowOff>93661</xdr:rowOff>
    </xdr:from>
    <xdr:to>
      <xdr:col>5</xdr:col>
      <xdr:colOff>47625</xdr:colOff>
      <xdr:row>117</xdr:row>
      <xdr:rowOff>120649</xdr:rowOff>
    </xdr:to>
    <xdr:sp macro="[0]!TextBox14_Click" textlink="">
      <xdr:nvSpPr>
        <xdr:cNvPr id="15" name="TextBox 14">
          <a:extLst>
            <a:ext uri="{FF2B5EF4-FFF2-40B4-BE49-F238E27FC236}">
              <a16:creationId xmlns:a16="http://schemas.microsoft.com/office/drawing/2014/main" id="{00000000-0008-0000-0000-00000F000000}"/>
            </a:ext>
          </a:extLst>
        </xdr:cNvPr>
        <xdr:cNvSpPr txBox="1"/>
      </xdr:nvSpPr>
      <xdr:spPr>
        <a:xfrm>
          <a:off x="371475" y="11780836"/>
          <a:ext cx="276225" cy="22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26988</xdr:colOff>
      <xdr:row>116</xdr:row>
      <xdr:rowOff>106363</xdr:rowOff>
    </xdr:from>
    <xdr:to>
      <xdr:col>5</xdr:col>
      <xdr:colOff>255588</xdr:colOff>
      <xdr:row>117</xdr:row>
      <xdr:rowOff>133351</xdr:rowOff>
    </xdr:to>
    <xdr:sp macro="[0]!TextBox15_Click" textlink="">
      <xdr:nvSpPr>
        <xdr:cNvPr id="16" name="TextBox 15">
          <a:extLst>
            <a:ext uri="{FF2B5EF4-FFF2-40B4-BE49-F238E27FC236}">
              <a16:creationId xmlns:a16="http://schemas.microsoft.com/office/drawing/2014/main" id="{00000000-0008-0000-0000-000010000000}"/>
            </a:ext>
          </a:extLst>
        </xdr:cNvPr>
        <xdr:cNvSpPr txBox="1"/>
      </xdr:nvSpPr>
      <xdr:spPr>
        <a:xfrm>
          <a:off x="627063" y="11793538"/>
          <a:ext cx="228600" cy="22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198438</xdr:colOff>
      <xdr:row>118</xdr:row>
      <xdr:rowOff>144463</xdr:rowOff>
    </xdr:from>
    <xdr:to>
      <xdr:col>5</xdr:col>
      <xdr:colOff>47625</xdr:colOff>
      <xdr:row>119</xdr:row>
      <xdr:rowOff>133350</xdr:rowOff>
    </xdr:to>
    <xdr:sp macro="[0]!TextBox16_Click" textlink="">
      <xdr:nvSpPr>
        <xdr:cNvPr id="17" name="TextBox 16">
          <a:extLst>
            <a:ext uri="{FF2B5EF4-FFF2-40B4-BE49-F238E27FC236}">
              <a16:creationId xmlns:a16="http://schemas.microsoft.com/office/drawing/2014/main" id="{00000000-0008-0000-0000-000011000000}"/>
            </a:ext>
          </a:extLst>
        </xdr:cNvPr>
        <xdr:cNvSpPr txBox="1"/>
      </xdr:nvSpPr>
      <xdr:spPr>
        <a:xfrm>
          <a:off x="369888" y="12231688"/>
          <a:ext cx="277812" cy="1889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20638</xdr:colOff>
      <xdr:row>118</xdr:row>
      <xdr:rowOff>139700</xdr:rowOff>
    </xdr:from>
    <xdr:to>
      <xdr:col>5</xdr:col>
      <xdr:colOff>249238</xdr:colOff>
      <xdr:row>119</xdr:row>
      <xdr:rowOff>128587</xdr:rowOff>
    </xdr:to>
    <xdr:sp macro="[0]!TextBox17_Click" textlink="">
      <xdr:nvSpPr>
        <xdr:cNvPr id="18" name="TextBox 17">
          <a:extLst>
            <a:ext uri="{FF2B5EF4-FFF2-40B4-BE49-F238E27FC236}">
              <a16:creationId xmlns:a16="http://schemas.microsoft.com/office/drawing/2014/main" id="{00000000-0008-0000-0000-000012000000}"/>
            </a:ext>
          </a:extLst>
        </xdr:cNvPr>
        <xdr:cNvSpPr txBox="1"/>
      </xdr:nvSpPr>
      <xdr:spPr>
        <a:xfrm>
          <a:off x="620713" y="12226925"/>
          <a:ext cx="228600" cy="1889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188913</xdr:colOff>
      <xdr:row>120</xdr:row>
      <xdr:rowOff>111125</xdr:rowOff>
    </xdr:from>
    <xdr:to>
      <xdr:col>5</xdr:col>
      <xdr:colOff>36513</xdr:colOff>
      <xdr:row>121</xdr:row>
      <xdr:rowOff>128588</xdr:rowOff>
    </xdr:to>
    <xdr:sp macro="[0]!TextBox18_Click" textlink="">
      <xdr:nvSpPr>
        <xdr:cNvPr id="19" name="TextBox 18">
          <a:extLst>
            <a:ext uri="{FF2B5EF4-FFF2-40B4-BE49-F238E27FC236}">
              <a16:creationId xmlns:a16="http://schemas.microsoft.com/office/drawing/2014/main" id="{00000000-0008-0000-0000-000013000000}"/>
            </a:ext>
          </a:extLst>
        </xdr:cNvPr>
        <xdr:cNvSpPr txBox="1"/>
      </xdr:nvSpPr>
      <xdr:spPr>
        <a:xfrm>
          <a:off x="360363" y="12598400"/>
          <a:ext cx="276225" cy="2174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20638</xdr:colOff>
      <xdr:row>120</xdr:row>
      <xdr:rowOff>130175</xdr:rowOff>
    </xdr:from>
    <xdr:to>
      <xdr:col>5</xdr:col>
      <xdr:colOff>249238</xdr:colOff>
      <xdr:row>121</xdr:row>
      <xdr:rowOff>119063</xdr:rowOff>
    </xdr:to>
    <xdr:sp macro="[0]!TextBox19_Click" textlink="">
      <xdr:nvSpPr>
        <xdr:cNvPr id="20" name="TextBox 19">
          <a:extLst>
            <a:ext uri="{FF2B5EF4-FFF2-40B4-BE49-F238E27FC236}">
              <a16:creationId xmlns:a16="http://schemas.microsoft.com/office/drawing/2014/main" id="{00000000-0008-0000-0000-000014000000}"/>
            </a:ext>
          </a:extLst>
        </xdr:cNvPr>
        <xdr:cNvSpPr txBox="1"/>
      </xdr:nvSpPr>
      <xdr:spPr>
        <a:xfrm>
          <a:off x="620713" y="12617450"/>
          <a:ext cx="228600" cy="1889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217488</xdr:colOff>
      <xdr:row>122</xdr:row>
      <xdr:rowOff>84138</xdr:rowOff>
    </xdr:from>
    <xdr:to>
      <xdr:col>5</xdr:col>
      <xdr:colOff>65088</xdr:colOff>
      <xdr:row>123</xdr:row>
      <xdr:rowOff>130175</xdr:rowOff>
    </xdr:to>
    <xdr:sp macro="[0]!TextBox20_Click" textlink="">
      <xdr:nvSpPr>
        <xdr:cNvPr id="21" name="TextBox 20">
          <a:extLst>
            <a:ext uri="{FF2B5EF4-FFF2-40B4-BE49-F238E27FC236}">
              <a16:creationId xmlns:a16="http://schemas.microsoft.com/office/drawing/2014/main" id="{00000000-0008-0000-0000-000015000000}"/>
            </a:ext>
          </a:extLst>
        </xdr:cNvPr>
        <xdr:cNvSpPr txBox="1"/>
      </xdr:nvSpPr>
      <xdr:spPr>
        <a:xfrm>
          <a:off x="388938" y="12971463"/>
          <a:ext cx="276225" cy="2460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36513</xdr:colOff>
      <xdr:row>122</xdr:row>
      <xdr:rowOff>85725</xdr:rowOff>
    </xdr:from>
    <xdr:to>
      <xdr:col>5</xdr:col>
      <xdr:colOff>265113</xdr:colOff>
      <xdr:row>123</xdr:row>
      <xdr:rowOff>122237</xdr:rowOff>
    </xdr:to>
    <xdr:sp macro="[0]!TextBox21_Click" textlink="">
      <xdr:nvSpPr>
        <xdr:cNvPr id="22" name="TextBox 21">
          <a:extLst>
            <a:ext uri="{FF2B5EF4-FFF2-40B4-BE49-F238E27FC236}">
              <a16:creationId xmlns:a16="http://schemas.microsoft.com/office/drawing/2014/main" id="{00000000-0008-0000-0000-000016000000}"/>
            </a:ext>
          </a:extLst>
        </xdr:cNvPr>
        <xdr:cNvSpPr txBox="1"/>
      </xdr:nvSpPr>
      <xdr:spPr>
        <a:xfrm>
          <a:off x="636588" y="12973050"/>
          <a:ext cx="228600" cy="236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198438</xdr:colOff>
      <xdr:row>124</xdr:row>
      <xdr:rowOff>104775</xdr:rowOff>
    </xdr:from>
    <xdr:to>
      <xdr:col>5</xdr:col>
      <xdr:colOff>46038</xdr:colOff>
      <xdr:row>125</xdr:row>
      <xdr:rowOff>141288</xdr:rowOff>
    </xdr:to>
    <xdr:sp macro="[0]!TextBox22_Click" textlink="">
      <xdr:nvSpPr>
        <xdr:cNvPr id="23" name="TextBox 22">
          <a:extLst>
            <a:ext uri="{FF2B5EF4-FFF2-40B4-BE49-F238E27FC236}">
              <a16:creationId xmlns:a16="http://schemas.microsoft.com/office/drawing/2014/main" id="{00000000-0008-0000-0000-000017000000}"/>
            </a:ext>
          </a:extLst>
        </xdr:cNvPr>
        <xdr:cNvSpPr txBox="1"/>
      </xdr:nvSpPr>
      <xdr:spPr>
        <a:xfrm>
          <a:off x="369888" y="13392150"/>
          <a:ext cx="276225" cy="2365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25400</xdr:colOff>
      <xdr:row>124</xdr:row>
      <xdr:rowOff>106362</xdr:rowOff>
    </xdr:from>
    <xdr:to>
      <xdr:col>5</xdr:col>
      <xdr:colOff>255588</xdr:colOff>
      <xdr:row>125</xdr:row>
      <xdr:rowOff>133350</xdr:rowOff>
    </xdr:to>
    <xdr:sp macro="[0]!TextBox23_Click" textlink="">
      <xdr:nvSpPr>
        <xdr:cNvPr id="24" name="TextBox 23">
          <a:extLst>
            <a:ext uri="{FF2B5EF4-FFF2-40B4-BE49-F238E27FC236}">
              <a16:creationId xmlns:a16="http://schemas.microsoft.com/office/drawing/2014/main" id="{00000000-0008-0000-0000-000018000000}"/>
            </a:ext>
          </a:extLst>
        </xdr:cNvPr>
        <xdr:cNvSpPr txBox="1"/>
      </xdr:nvSpPr>
      <xdr:spPr>
        <a:xfrm>
          <a:off x="625475" y="13393737"/>
          <a:ext cx="230188" cy="22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220663</xdr:colOff>
      <xdr:row>126</xdr:row>
      <xdr:rowOff>136525</xdr:rowOff>
    </xdr:from>
    <xdr:to>
      <xdr:col>5</xdr:col>
      <xdr:colOff>68263</xdr:colOff>
      <xdr:row>127</xdr:row>
      <xdr:rowOff>134937</xdr:rowOff>
    </xdr:to>
    <xdr:sp macro="[0]!TextBox24_Click" textlink="">
      <xdr:nvSpPr>
        <xdr:cNvPr id="25" name="TextBox 24">
          <a:extLst>
            <a:ext uri="{FF2B5EF4-FFF2-40B4-BE49-F238E27FC236}">
              <a16:creationId xmlns:a16="http://schemas.microsoft.com/office/drawing/2014/main" id="{00000000-0008-0000-0000-000019000000}"/>
            </a:ext>
          </a:extLst>
        </xdr:cNvPr>
        <xdr:cNvSpPr txBox="1"/>
      </xdr:nvSpPr>
      <xdr:spPr>
        <a:xfrm>
          <a:off x="392113" y="13823950"/>
          <a:ext cx="276225" cy="1984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39688</xdr:colOff>
      <xdr:row>126</xdr:row>
      <xdr:rowOff>130175</xdr:rowOff>
    </xdr:from>
    <xdr:to>
      <xdr:col>5</xdr:col>
      <xdr:colOff>268288</xdr:colOff>
      <xdr:row>127</xdr:row>
      <xdr:rowOff>128587</xdr:rowOff>
    </xdr:to>
    <xdr:sp macro="[0]!TextBox25_Click" textlink="">
      <xdr:nvSpPr>
        <xdr:cNvPr id="26" name="TextBox 25">
          <a:extLst>
            <a:ext uri="{FF2B5EF4-FFF2-40B4-BE49-F238E27FC236}">
              <a16:creationId xmlns:a16="http://schemas.microsoft.com/office/drawing/2014/main" id="{00000000-0008-0000-0000-00001A000000}"/>
            </a:ext>
          </a:extLst>
        </xdr:cNvPr>
        <xdr:cNvSpPr txBox="1"/>
      </xdr:nvSpPr>
      <xdr:spPr>
        <a:xfrm>
          <a:off x="639763" y="13817600"/>
          <a:ext cx="228600" cy="1984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204788</xdr:colOff>
      <xdr:row>128</xdr:row>
      <xdr:rowOff>134936</xdr:rowOff>
    </xdr:from>
    <xdr:to>
      <xdr:col>5</xdr:col>
      <xdr:colOff>52388</xdr:colOff>
      <xdr:row>129</xdr:row>
      <xdr:rowOff>133349</xdr:rowOff>
    </xdr:to>
    <xdr:sp macro="[0]!TextBox26_Click" textlink="">
      <xdr:nvSpPr>
        <xdr:cNvPr id="27" name="TextBox 26">
          <a:extLst>
            <a:ext uri="{FF2B5EF4-FFF2-40B4-BE49-F238E27FC236}">
              <a16:creationId xmlns:a16="http://schemas.microsoft.com/office/drawing/2014/main" id="{00000000-0008-0000-0000-00001B000000}"/>
            </a:ext>
          </a:extLst>
        </xdr:cNvPr>
        <xdr:cNvSpPr txBox="1"/>
      </xdr:nvSpPr>
      <xdr:spPr>
        <a:xfrm>
          <a:off x="376238" y="14222411"/>
          <a:ext cx="276225" cy="1984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41275</xdr:colOff>
      <xdr:row>128</xdr:row>
      <xdr:rowOff>125412</xdr:rowOff>
    </xdr:from>
    <xdr:to>
      <xdr:col>5</xdr:col>
      <xdr:colOff>269875</xdr:colOff>
      <xdr:row>129</xdr:row>
      <xdr:rowOff>114300</xdr:rowOff>
    </xdr:to>
    <xdr:sp macro="[0]!TextBox27_Click" textlink="">
      <xdr:nvSpPr>
        <xdr:cNvPr id="28" name="TextBox 27">
          <a:extLst>
            <a:ext uri="{FF2B5EF4-FFF2-40B4-BE49-F238E27FC236}">
              <a16:creationId xmlns:a16="http://schemas.microsoft.com/office/drawing/2014/main" id="{00000000-0008-0000-0000-00001C000000}"/>
            </a:ext>
          </a:extLst>
        </xdr:cNvPr>
        <xdr:cNvSpPr txBox="1"/>
      </xdr:nvSpPr>
      <xdr:spPr>
        <a:xfrm>
          <a:off x="641350" y="14212887"/>
          <a:ext cx="228600" cy="1889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240769</xdr:colOff>
      <xdr:row>130</xdr:row>
      <xdr:rowOff>140759</xdr:rowOff>
    </xdr:from>
    <xdr:to>
      <xdr:col>5</xdr:col>
      <xdr:colOff>35452</xdr:colOff>
      <xdr:row>131</xdr:row>
      <xdr:rowOff>114300</xdr:rowOff>
    </xdr:to>
    <xdr:sp macro="[0]!TextBox28_Click" textlink="">
      <xdr:nvSpPr>
        <xdr:cNvPr id="29" name="TextBox 28">
          <a:extLst>
            <a:ext uri="{FF2B5EF4-FFF2-40B4-BE49-F238E27FC236}">
              <a16:creationId xmlns:a16="http://schemas.microsoft.com/office/drawing/2014/main" id="{00000000-0008-0000-0000-00001D000000}"/>
            </a:ext>
          </a:extLst>
        </xdr:cNvPr>
        <xdr:cNvSpPr txBox="1"/>
      </xdr:nvSpPr>
      <xdr:spPr>
        <a:xfrm>
          <a:off x="412219" y="14628284"/>
          <a:ext cx="223308" cy="1735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7</xdr:col>
      <xdr:colOff>1619250</xdr:colOff>
      <xdr:row>14</xdr:row>
      <xdr:rowOff>19050</xdr:rowOff>
    </xdr:from>
    <xdr:to>
      <xdr:col>7</xdr:col>
      <xdr:colOff>2625090</xdr:colOff>
      <xdr:row>14</xdr:row>
      <xdr:rowOff>201930</xdr:rowOff>
    </xdr:to>
    <xdr:sp macro="[0]!TextBox29_Click" textlink="">
      <xdr:nvSpPr>
        <xdr:cNvPr id="30" name="TextBox 29">
          <a:extLst>
            <a:ext uri="{FF2B5EF4-FFF2-40B4-BE49-F238E27FC236}">
              <a16:creationId xmlns:a16="http://schemas.microsoft.com/office/drawing/2014/main" id="{00000000-0008-0000-0000-00001E000000}"/>
            </a:ext>
          </a:extLst>
        </xdr:cNvPr>
        <xdr:cNvSpPr txBox="1"/>
      </xdr:nvSpPr>
      <xdr:spPr>
        <a:xfrm>
          <a:off x="3105150" y="4876800"/>
          <a:ext cx="100584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latin typeface="Arial" pitchFamily="34" charset="0"/>
              <a:cs typeface="Arial" pitchFamily="34" charset="0"/>
            </a:rPr>
            <a:t>Herd</a:t>
          </a:r>
          <a:r>
            <a:rPr lang="en-US" sz="1100" baseline="0">
              <a:latin typeface="Arial" pitchFamily="34" charset="0"/>
              <a:cs typeface="Arial" pitchFamily="34" charset="0"/>
            </a:rPr>
            <a:t> 1 Mgt Info</a:t>
          </a:r>
          <a:endParaRPr lang="en-US" sz="1100">
            <a:latin typeface="Arial" pitchFamily="34" charset="0"/>
            <a:cs typeface="Arial" pitchFamily="34" charset="0"/>
          </a:endParaRPr>
        </a:p>
      </xdr:txBody>
    </xdr:sp>
    <xdr:clientData fLocksWithSheet="0"/>
  </xdr:twoCellAnchor>
  <xdr:twoCellAnchor>
    <xdr:from>
      <xdr:col>7</xdr:col>
      <xdr:colOff>1708150</xdr:colOff>
      <xdr:row>16</xdr:row>
      <xdr:rowOff>28575</xdr:rowOff>
    </xdr:from>
    <xdr:to>
      <xdr:col>7</xdr:col>
      <xdr:colOff>2896870</xdr:colOff>
      <xdr:row>16</xdr:row>
      <xdr:rowOff>211455</xdr:rowOff>
    </xdr:to>
    <xdr:sp macro="[0]!TextBox30_Click" textlink="">
      <xdr:nvSpPr>
        <xdr:cNvPr id="31" name="TextBox 30">
          <a:extLst>
            <a:ext uri="{FF2B5EF4-FFF2-40B4-BE49-F238E27FC236}">
              <a16:creationId xmlns:a16="http://schemas.microsoft.com/office/drawing/2014/main" id="{00000000-0008-0000-0000-00001F000000}"/>
            </a:ext>
          </a:extLst>
        </xdr:cNvPr>
        <xdr:cNvSpPr txBox="1"/>
      </xdr:nvSpPr>
      <xdr:spPr>
        <a:xfrm>
          <a:off x="3621088" y="3005138"/>
          <a:ext cx="118872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latin typeface="Arial" pitchFamily="34" charset="0"/>
              <a:cs typeface="Arial" pitchFamily="34" charset="0"/>
            </a:rPr>
            <a:t>Herd 2 Mgt Info</a:t>
          </a:r>
        </a:p>
      </xdr:txBody>
    </xdr:sp>
    <xdr:clientData fLocksWithSheet="0"/>
  </xdr:twoCellAnchor>
  <xdr:twoCellAnchor>
    <xdr:from>
      <xdr:col>7</xdr:col>
      <xdr:colOff>1709738</xdr:colOff>
      <xdr:row>18</xdr:row>
      <xdr:rowOff>28575</xdr:rowOff>
    </xdr:from>
    <xdr:to>
      <xdr:col>7</xdr:col>
      <xdr:colOff>2898458</xdr:colOff>
      <xdr:row>18</xdr:row>
      <xdr:rowOff>211455</xdr:rowOff>
    </xdr:to>
    <xdr:sp macro="[0]!TextBox1183_Click" textlink="">
      <xdr:nvSpPr>
        <xdr:cNvPr id="1184" name="TextBox 1183">
          <a:extLst>
            <a:ext uri="{FF2B5EF4-FFF2-40B4-BE49-F238E27FC236}">
              <a16:creationId xmlns:a16="http://schemas.microsoft.com/office/drawing/2014/main" id="{00000000-0008-0000-0000-0000A0040000}"/>
            </a:ext>
          </a:extLst>
        </xdr:cNvPr>
        <xdr:cNvSpPr txBox="1"/>
      </xdr:nvSpPr>
      <xdr:spPr>
        <a:xfrm>
          <a:off x="3622676" y="3433763"/>
          <a:ext cx="118872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aseline="0">
              <a:latin typeface="Arial" pitchFamily="34" charset="0"/>
              <a:cs typeface="Arial" pitchFamily="34" charset="0"/>
            </a:rPr>
            <a:t>Herd 3 Mgt Info</a:t>
          </a:r>
          <a:endParaRPr lang="en-US" sz="1100">
            <a:latin typeface="Arial" pitchFamily="34" charset="0"/>
            <a:cs typeface="Arial" pitchFamily="34" charset="0"/>
          </a:endParaRPr>
        </a:p>
      </xdr:txBody>
    </xdr:sp>
    <xdr:clientData fLocksWithSheet="0"/>
  </xdr:twoCellAnchor>
  <xdr:twoCellAnchor>
    <xdr:from>
      <xdr:col>7</xdr:col>
      <xdr:colOff>1716088</xdr:colOff>
      <xdr:row>20</xdr:row>
      <xdr:rowOff>28575</xdr:rowOff>
    </xdr:from>
    <xdr:to>
      <xdr:col>7</xdr:col>
      <xdr:colOff>2904808</xdr:colOff>
      <xdr:row>20</xdr:row>
      <xdr:rowOff>211455</xdr:rowOff>
    </xdr:to>
    <xdr:sp macro="[0]!TextBox1184_Click" textlink="">
      <xdr:nvSpPr>
        <xdr:cNvPr id="1185" name="TextBox 1184">
          <a:extLst>
            <a:ext uri="{FF2B5EF4-FFF2-40B4-BE49-F238E27FC236}">
              <a16:creationId xmlns:a16="http://schemas.microsoft.com/office/drawing/2014/main" id="{00000000-0008-0000-0000-0000A1040000}"/>
            </a:ext>
          </a:extLst>
        </xdr:cNvPr>
        <xdr:cNvSpPr txBox="1"/>
      </xdr:nvSpPr>
      <xdr:spPr>
        <a:xfrm>
          <a:off x="3629026" y="3862388"/>
          <a:ext cx="118872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latin typeface="Arial" pitchFamily="34" charset="0"/>
              <a:cs typeface="Arial" pitchFamily="34" charset="0"/>
            </a:rPr>
            <a:t>Herd 1 Mgt Info</a:t>
          </a:r>
        </a:p>
      </xdr:txBody>
    </xdr:sp>
    <xdr:clientData fLocksWithSheet="0"/>
  </xdr:twoCellAnchor>
  <xdr:twoCellAnchor>
    <xdr:from>
      <xdr:col>7</xdr:col>
      <xdr:colOff>1708150</xdr:colOff>
      <xdr:row>22</xdr:row>
      <xdr:rowOff>38100</xdr:rowOff>
    </xdr:from>
    <xdr:to>
      <xdr:col>7</xdr:col>
      <xdr:colOff>2896870</xdr:colOff>
      <xdr:row>22</xdr:row>
      <xdr:rowOff>220980</xdr:rowOff>
    </xdr:to>
    <xdr:sp macro="[0]!TextBox1185_Click" textlink="">
      <xdr:nvSpPr>
        <xdr:cNvPr id="1186" name="TextBox 1185">
          <a:extLst>
            <a:ext uri="{FF2B5EF4-FFF2-40B4-BE49-F238E27FC236}">
              <a16:creationId xmlns:a16="http://schemas.microsoft.com/office/drawing/2014/main" id="{00000000-0008-0000-0000-0000A2040000}"/>
            </a:ext>
          </a:extLst>
        </xdr:cNvPr>
        <xdr:cNvSpPr txBox="1"/>
      </xdr:nvSpPr>
      <xdr:spPr>
        <a:xfrm>
          <a:off x="3621088" y="4300538"/>
          <a:ext cx="118872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latin typeface="Arial" pitchFamily="34" charset="0"/>
              <a:cs typeface="Arial" pitchFamily="34" charset="0"/>
            </a:rPr>
            <a:t>Herd</a:t>
          </a:r>
          <a:r>
            <a:rPr lang="en-US" sz="1100" baseline="0">
              <a:latin typeface="Arial" pitchFamily="34" charset="0"/>
              <a:cs typeface="Arial" pitchFamily="34" charset="0"/>
            </a:rPr>
            <a:t> 2 Mgt Info</a:t>
          </a:r>
          <a:endParaRPr lang="en-US" sz="1100">
            <a:latin typeface="Arial" pitchFamily="34" charset="0"/>
            <a:cs typeface="Arial" pitchFamily="34" charset="0"/>
          </a:endParaRPr>
        </a:p>
      </xdr:txBody>
    </xdr:sp>
    <xdr:clientData fLocksWithSheet="0"/>
  </xdr:twoCellAnchor>
  <xdr:twoCellAnchor>
    <xdr:from>
      <xdr:col>7</xdr:col>
      <xdr:colOff>2222361</xdr:colOff>
      <xdr:row>103</xdr:row>
      <xdr:rowOff>5292</xdr:rowOff>
    </xdr:from>
    <xdr:to>
      <xdr:col>7</xdr:col>
      <xdr:colOff>2405241</xdr:colOff>
      <xdr:row>103</xdr:row>
      <xdr:rowOff>188172</xdr:rowOff>
    </xdr:to>
    <xdr:sp macro="[0]!TextBox1186_Click" textlink="">
      <xdr:nvSpPr>
        <xdr:cNvPr id="1187" name="TextBox 1186">
          <a:extLst>
            <a:ext uri="{FF2B5EF4-FFF2-40B4-BE49-F238E27FC236}">
              <a16:creationId xmlns:a16="http://schemas.microsoft.com/office/drawing/2014/main" id="{00000000-0008-0000-0000-0000A3040000}"/>
            </a:ext>
          </a:extLst>
        </xdr:cNvPr>
        <xdr:cNvSpPr txBox="1"/>
      </xdr:nvSpPr>
      <xdr:spPr>
        <a:xfrm>
          <a:off x="3878246" y="9969907"/>
          <a:ext cx="182880" cy="182880"/>
        </a:xfrm>
        <a:prstGeom prst="rect">
          <a:avLst/>
        </a:prstGeom>
        <a:solidFill>
          <a:srgbClr val="FFFFFF"/>
        </a:solidFill>
        <a:ln>
          <a:solidFill>
            <a:schemeClr val="tx1"/>
          </a:solidFill>
        </a:ln>
        <a:effectLst/>
        <a:ex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solidFill>
                <a:schemeClr val="dk1"/>
              </a:solidFill>
              <a:latin typeface="Arial" pitchFamily="34" charset="0"/>
              <a:ea typeface="+mn-ea"/>
              <a:cs typeface="Arial" pitchFamily="34" charset="0"/>
            </a:rPr>
            <a:t>Y</a:t>
          </a:r>
        </a:p>
      </xdr:txBody>
    </xdr:sp>
    <xdr:clientData/>
  </xdr:twoCellAnchor>
  <xdr:twoCellAnchor>
    <xdr:from>
      <xdr:col>7</xdr:col>
      <xdr:colOff>2534972</xdr:colOff>
      <xdr:row>103</xdr:row>
      <xdr:rowOff>8467</xdr:rowOff>
    </xdr:from>
    <xdr:to>
      <xdr:col>7</xdr:col>
      <xdr:colOff>2717852</xdr:colOff>
      <xdr:row>103</xdr:row>
      <xdr:rowOff>191347</xdr:rowOff>
    </xdr:to>
    <xdr:sp macro="[0]!TextBox1187_Click" textlink="">
      <xdr:nvSpPr>
        <xdr:cNvPr id="1188" name="TextBox 1187">
          <a:extLst>
            <a:ext uri="{FF2B5EF4-FFF2-40B4-BE49-F238E27FC236}">
              <a16:creationId xmlns:a16="http://schemas.microsoft.com/office/drawing/2014/main" id="{00000000-0008-0000-0000-0000A4040000}"/>
            </a:ext>
          </a:extLst>
        </xdr:cNvPr>
        <xdr:cNvSpPr txBox="1"/>
      </xdr:nvSpPr>
      <xdr:spPr>
        <a:xfrm>
          <a:off x="4192322" y="9971617"/>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p>
      </xdr:txBody>
    </xdr:sp>
    <xdr:clientData/>
  </xdr:twoCellAnchor>
  <xdr:twoCellAnchor>
    <xdr:from>
      <xdr:col>7</xdr:col>
      <xdr:colOff>2228547</xdr:colOff>
      <xdr:row>105</xdr:row>
      <xdr:rowOff>8615</xdr:rowOff>
    </xdr:from>
    <xdr:to>
      <xdr:col>7</xdr:col>
      <xdr:colOff>2411427</xdr:colOff>
      <xdr:row>105</xdr:row>
      <xdr:rowOff>193674</xdr:rowOff>
    </xdr:to>
    <xdr:sp macro="[0]!TextBox1189_Click" textlink="">
      <xdr:nvSpPr>
        <xdr:cNvPr id="1190" name="TextBox 1189">
          <a:extLst>
            <a:ext uri="{FF2B5EF4-FFF2-40B4-BE49-F238E27FC236}">
              <a16:creationId xmlns:a16="http://schemas.microsoft.com/office/drawing/2014/main" id="{00000000-0008-0000-0000-0000A6040000}"/>
            </a:ext>
          </a:extLst>
        </xdr:cNvPr>
        <xdr:cNvSpPr txBox="1"/>
      </xdr:nvSpPr>
      <xdr:spPr>
        <a:xfrm>
          <a:off x="3885897" y="10371815"/>
          <a:ext cx="182880" cy="185059"/>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p>
      </xdr:txBody>
    </xdr:sp>
    <xdr:clientData/>
  </xdr:twoCellAnchor>
  <xdr:twoCellAnchor>
    <xdr:from>
      <xdr:col>7</xdr:col>
      <xdr:colOff>2527299</xdr:colOff>
      <xdr:row>105</xdr:row>
      <xdr:rowOff>10500</xdr:rowOff>
    </xdr:from>
    <xdr:to>
      <xdr:col>7</xdr:col>
      <xdr:colOff>2710179</xdr:colOff>
      <xdr:row>105</xdr:row>
      <xdr:rowOff>193380</xdr:rowOff>
    </xdr:to>
    <xdr:sp macro="[0]!TextBox1190_Click" textlink="">
      <xdr:nvSpPr>
        <xdr:cNvPr id="1191" name="TextBox 1190">
          <a:extLst>
            <a:ext uri="{FF2B5EF4-FFF2-40B4-BE49-F238E27FC236}">
              <a16:creationId xmlns:a16="http://schemas.microsoft.com/office/drawing/2014/main" id="{00000000-0008-0000-0000-0000A7040000}"/>
            </a:ext>
          </a:extLst>
        </xdr:cNvPr>
        <xdr:cNvSpPr txBox="1"/>
      </xdr:nvSpPr>
      <xdr:spPr>
        <a:xfrm>
          <a:off x="4183184" y="10370769"/>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2224515</xdr:colOff>
      <xdr:row>107</xdr:row>
      <xdr:rowOff>7199</xdr:rowOff>
    </xdr:from>
    <xdr:to>
      <xdr:col>7</xdr:col>
      <xdr:colOff>2407395</xdr:colOff>
      <xdr:row>107</xdr:row>
      <xdr:rowOff>187881</xdr:rowOff>
    </xdr:to>
    <xdr:sp macro="[0]!TextBox1192_Click" textlink="">
      <xdr:nvSpPr>
        <xdr:cNvPr id="1193" name="TextBox 1192">
          <a:extLst>
            <a:ext uri="{FF2B5EF4-FFF2-40B4-BE49-F238E27FC236}">
              <a16:creationId xmlns:a16="http://schemas.microsoft.com/office/drawing/2014/main" id="{00000000-0008-0000-0000-0000A9040000}"/>
            </a:ext>
          </a:extLst>
        </xdr:cNvPr>
        <xdr:cNvSpPr txBox="1"/>
      </xdr:nvSpPr>
      <xdr:spPr>
        <a:xfrm>
          <a:off x="3880400" y="10763122"/>
          <a:ext cx="182880" cy="180682"/>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2533650</xdr:colOff>
      <xdr:row>107</xdr:row>
      <xdr:rowOff>6350</xdr:rowOff>
    </xdr:from>
    <xdr:to>
      <xdr:col>7</xdr:col>
      <xdr:colOff>2716530</xdr:colOff>
      <xdr:row>107</xdr:row>
      <xdr:rowOff>189230</xdr:rowOff>
    </xdr:to>
    <xdr:sp macro="[0]!TextBox1193_Click" textlink="">
      <xdr:nvSpPr>
        <xdr:cNvPr id="1194" name="TextBox 1193">
          <a:extLst>
            <a:ext uri="{FF2B5EF4-FFF2-40B4-BE49-F238E27FC236}">
              <a16:creationId xmlns:a16="http://schemas.microsoft.com/office/drawing/2014/main" id="{00000000-0008-0000-0000-0000AA040000}"/>
            </a:ext>
          </a:extLst>
        </xdr:cNvPr>
        <xdr:cNvSpPr txBox="1"/>
      </xdr:nvSpPr>
      <xdr:spPr>
        <a:xfrm>
          <a:off x="4189535" y="10762273"/>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2228821</xdr:colOff>
      <xdr:row>109</xdr:row>
      <xdr:rowOff>7788</xdr:rowOff>
    </xdr:from>
    <xdr:to>
      <xdr:col>7</xdr:col>
      <xdr:colOff>2411701</xdr:colOff>
      <xdr:row>109</xdr:row>
      <xdr:rowOff>190668</xdr:rowOff>
    </xdr:to>
    <xdr:sp macro="[0]!TextBox1195_Click" textlink="">
      <xdr:nvSpPr>
        <xdr:cNvPr id="1196" name="TextBox 1195">
          <a:extLst>
            <a:ext uri="{FF2B5EF4-FFF2-40B4-BE49-F238E27FC236}">
              <a16:creationId xmlns:a16="http://schemas.microsoft.com/office/drawing/2014/main" id="{00000000-0008-0000-0000-0000AC040000}"/>
            </a:ext>
          </a:extLst>
        </xdr:cNvPr>
        <xdr:cNvSpPr txBox="1"/>
      </xdr:nvSpPr>
      <xdr:spPr>
        <a:xfrm>
          <a:off x="3884706" y="11159365"/>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000" b="1">
            <a:latin typeface="Arial" pitchFamily="34" charset="0"/>
            <a:cs typeface="Arial" pitchFamily="34" charset="0"/>
          </a:endParaRPr>
        </a:p>
      </xdr:txBody>
    </xdr:sp>
    <xdr:clientData/>
  </xdr:twoCellAnchor>
  <xdr:twoCellAnchor>
    <xdr:from>
      <xdr:col>7</xdr:col>
      <xdr:colOff>2532237</xdr:colOff>
      <xdr:row>109</xdr:row>
      <xdr:rowOff>4293</xdr:rowOff>
    </xdr:from>
    <xdr:to>
      <xdr:col>7</xdr:col>
      <xdr:colOff>2715117</xdr:colOff>
      <xdr:row>109</xdr:row>
      <xdr:rowOff>187173</xdr:rowOff>
    </xdr:to>
    <xdr:sp macro="[0]!TextBox1196_Click" textlink="">
      <xdr:nvSpPr>
        <xdr:cNvPr id="1197" name="TextBox 1196">
          <a:extLst>
            <a:ext uri="{FF2B5EF4-FFF2-40B4-BE49-F238E27FC236}">
              <a16:creationId xmlns:a16="http://schemas.microsoft.com/office/drawing/2014/main" id="{00000000-0008-0000-0000-0000AD040000}"/>
            </a:ext>
          </a:extLst>
        </xdr:cNvPr>
        <xdr:cNvSpPr txBox="1"/>
      </xdr:nvSpPr>
      <xdr:spPr>
        <a:xfrm>
          <a:off x="4188122" y="11155870"/>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2227384</xdr:colOff>
      <xdr:row>111</xdr:row>
      <xdr:rowOff>7788</xdr:rowOff>
    </xdr:from>
    <xdr:to>
      <xdr:col>7</xdr:col>
      <xdr:colOff>2410264</xdr:colOff>
      <xdr:row>111</xdr:row>
      <xdr:rowOff>190668</xdr:rowOff>
    </xdr:to>
    <xdr:sp macro="[0]!TextBox1198_Click" textlink="">
      <xdr:nvSpPr>
        <xdr:cNvPr id="1199" name="TextBox 1198">
          <a:extLst>
            <a:ext uri="{FF2B5EF4-FFF2-40B4-BE49-F238E27FC236}">
              <a16:creationId xmlns:a16="http://schemas.microsoft.com/office/drawing/2014/main" id="{00000000-0008-0000-0000-0000AF040000}"/>
            </a:ext>
          </a:extLst>
        </xdr:cNvPr>
        <xdr:cNvSpPr txBox="1"/>
      </xdr:nvSpPr>
      <xdr:spPr>
        <a:xfrm>
          <a:off x="3883269" y="11555019"/>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2526538</xdr:colOff>
      <xdr:row>111</xdr:row>
      <xdr:rowOff>7790</xdr:rowOff>
    </xdr:from>
    <xdr:to>
      <xdr:col>7</xdr:col>
      <xdr:colOff>2709418</xdr:colOff>
      <xdr:row>111</xdr:row>
      <xdr:rowOff>190670</xdr:rowOff>
    </xdr:to>
    <xdr:sp macro="[0]!TextBox1199_Click" textlink="">
      <xdr:nvSpPr>
        <xdr:cNvPr id="1200" name="TextBox 1199">
          <a:extLst>
            <a:ext uri="{FF2B5EF4-FFF2-40B4-BE49-F238E27FC236}">
              <a16:creationId xmlns:a16="http://schemas.microsoft.com/office/drawing/2014/main" id="{00000000-0008-0000-0000-0000B0040000}"/>
            </a:ext>
          </a:extLst>
        </xdr:cNvPr>
        <xdr:cNvSpPr txBox="1"/>
      </xdr:nvSpPr>
      <xdr:spPr>
        <a:xfrm>
          <a:off x="4182423" y="11555021"/>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2222306</xdr:colOff>
      <xdr:row>113</xdr:row>
      <xdr:rowOff>10222</xdr:rowOff>
    </xdr:from>
    <xdr:to>
      <xdr:col>7</xdr:col>
      <xdr:colOff>2405186</xdr:colOff>
      <xdr:row>113</xdr:row>
      <xdr:rowOff>193102</xdr:rowOff>
    </xdr:to>
    <xdr:sp macro="[0]!TextBox1201_Click" textlink="">
      <xdr:nvSpPr>
        <xdr:cNvPr id="1202" name="TextBox 1201">
          <a:extLst>
            <a:ext uri="{FF2B5EF4-FFF2-40B4-BE49-F238E27FC236}">
              <a16:creationId xmlns:a16="http://schemas.microsoft.com/office/drawing/2014/main" id="{00000000-0008-0000-0000-0000B2040000}"/>
            </a:ext>
          </a:extLst>
        </xdr:cNvPr>
        <xdr:cNvSpPr txBox="1"/>
      </xdr:nvSpPr>
      <xdr:spPr>
        <a:xfrm>
          <a:off x="3878191" y="11953107"/>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2527404</xdr:colOff>
      <xdr:row>113</xdr:row>
      <xdr:rowOff>5070</xdr:rowOff>
    </xdr:from>
    <xdr:to>
      <xdr:col>7</xdr:col>
      <xdr:colOff>2710284</xdr:colOff>
      <xdr:row>113</xdr:row>
      <xdr:rowOff>187950</xdr:rowOff>
    </xdr:to>
    <xdr:sp macro="[0]!TextBox1202_Click" textlink="">
      <xdr:nvSpPr>
        <xdr:cNvPr id="1203" name="TextBox 1202">
          <a:extLst>
            <a:ext uri="{FF2B5EF4-FFF2-40B4-BE49-F238E27FC236}">
              <a16:creationId xmlns:a16="http://schemas.microsoft.com/office/drawing/2014/main" id="{00000000-0008-0000-0000-0000B3040000}"/>
            </a:ext>
          </a:extLst>
        </xdr:cNvPr>
        <xdr:cNvSpPr txBox="1"/>
      </xdr:nvSpPr>
      <xdr:spPr>
        <a:xfrm>
          <a:off x="4183289" y="11947955"/>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2222853</xdr:colOff>
      <xdr:row>115</xdr:row>
      <xdr:rowOff>5301</xdr:rowOff>
    </xdr:from>
    <xdr:to>
      <xdr:col>7</xdr:col>
      <xdr:colOff>2405733</xdr:colOff>
      <xdr:row>115</xdr:row>
      <xdr:rowOff>188181</xdr:rowOff>
    </xdr:to>
    <xdr:sp macro="[0]!TextBox1204_Click" textlink="">
      <xdr:nvSpPr>
        <xdr:cNvPr id="1205" name="TextBox 1204">
          <a:extLst>
            <a:ext uri="{FF2B5EF4-FFF2-40B4-BE49-F238E27FC236}">
              <a16:creationId xmlns:a16="http://schemas.microsoft.com/office/drawing/2014/main" id="{00000000-0008-0000-0000-0000B5040000}"/>
            </a:ext>
          </a:extLst>
        </xdr:cNvPr>
        <xdr:cNvSpPr txBox="1"/>
      </xdr:nvSpPr>
      <xdr:spPr>
        <a:xfrm>
          <a:off x="3878738" y="12343839"/>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2533333</xdr:colOff>
      <xdr:row>115</xdr:row>
      <xdr:rowOff>4767</xdr:rowOff>
    </xdr:from>
    <xdr:to>
      <xdr:col>7</xdr:col>
      <xdr:colOff>2716213</xdr:colOff>
      <xdr:row>115</xdr:row>
      <xdr:rowOff>187647</xdr:rowOff>
    </xdr:to>
    <xdr:sp macro="[0]!TextBox1205_Click" textlink="">
      <xdr:nvSpPr>
        <xdr:cNvPr id="1206" name="TextBox 1205">
          <a:extLst>
            <a:ext uri="{FF2B5EF4-FFF2-40B4-BE49-F238E27FC236}">
              <a16:creationId xmlns:a16="http://schemas.microsoft.com/office/drawing/2014/main" id="{00000000-0008-0000-0000-0000B6040000}"/>
            </a:ext>
          </a:extLst>
        </xdr:cNvPr>
        <xdr:cNvSpPr txBox="1"/>
      </xdr:nvSpPr>
      <xdr:spPr>
        <a:xfrm>
          <a:off x="4189218" y="12343305"/>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2214201</xdr:colOff>
      <xdr:row>117</xdr:row>
      <xdr:rowOff>4243</xdr:rowOff>
    </xdr:from>
    <xdr:to>
      <xdr:col>7</xdr:col>
      <xdr:colOff>2397081</xdr:colOff>
      <xdr:row>117</xdr:row>
      <xdr:rowOff>187123</xdr:rowOff>
    </xdr:to>
    <xdr:sp macro="[0]!TextBox1207_Click" textlink="">
      <xdr:nvSpPr>
        <xdr:cNvPr id="1208" name="TextBox 1207">
          <a:extLst>
            <a:ext uri="{FF2B5EF4-FFF2-40B4-BE49-F238E27FC236}">
              <a16:creationId xmlns:a16="http://schemas.microsoft.com/office/drawing/2014/main" id="{00000000-0008-0000-0000-0000B8040000}"/>
            </a:ext>
          </a:extLst>
        </xdr:cNvPr>
        <xdr:cNvSpPr txBox="1"/>
      </xdr:nvSpPr>
      <xdr:spPr>
        <a:xfrm>
          <a:off x="3870086" y="12738435"/>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2532696</xdr:colOff>
      <xdr:row>117</xdr:row>
      <xdr:rowOff>11035</xdr:rowOff>
    </xdr:from>
    <xdr:to>
      <xdr:col>7</xdr:col>
      <xdr:colOff>2715576</xdr:colOff>
      <xdr:row>117</xdr:row>
      <xdr:rowOff>193915</xdr:rowOff>
    </xdr:to>
    <xdr:sp macro="[0]!TextBox1208_Click" textlink="">
      <xdr:nvSpPr>
        <xdr:cNvPr id="1209" name="TextBox 1208">
          <a:extLst>
            <a:ext uri="{FF2B5EF4-FFF2-40B4-BE49-F238E27FC236}">
              <a16:creationId xmlns:a16="http://schemas.microsoft.com/office/drawing/2014/main" id="{00000000-0008-0000-0000-0000B9040000}"/>
            </a:ext>
          </a:extLst>
        </xdr:cNvPr>
        <xdr:cNvSpPr txBox="1"/>
      </xdr:nvSpPr>
      <xdr:spPr>
        <a:xfrm>
          <a:off x="4188581" y="12745227"/>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2226363</xdr:colOff>
      <xdr:row>119</xdr:row>
      <xdr:rowOff>7998</xdr:rowOff>
    </xdr:from>
    <xdr:to>
      <xdr:col>7</xdr:col>
      <xdr:colOff>2409243</xdr:colOff>
      <xdr:row>119</xdr:row>
      <xdr:rowOff>190878</xdr:rowOff>
    </xdr:to>
    <xdr:sp macro="[0]!TextBox1210_Click" textlink="">
      <xdr:nvSpPr>
        <xdr:cNvPr id="1211" name="TextBox 1210">
          <a:extLst>
            <a:ext uri="{FF2B5EF4-FFF2-40B4-BE49-F238E27FC236}">
              <a16:creationId xmlns:a16="http://schemas.microsoft.com/office/drawing/2014/main" id="{00000000-0008-0000-0000-0000BB040000}"/>
            </a:ext>
          </a:extLst>
        </xdr:cNvPr>
        <xdr:cNvSpPr txBox="1"/>
      </xdr:nvSpPr>
      <xdr:spPr>
        <a:xfrm>
          <a:off x="3882248" y="13137844"/>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2533432</xdr:colOff>
      <xdr:row>119</xdr:row>
      <xdr:rowOff>5289</xdr:rowOff>
    </xdr:from>
    <xdr:to>
      <xdr:col>7</xdr:col>
      <xdr:colOff>2716312</xdr:colOff>
      <xdr:row>119</xdr:row>
      <xdr:rowOff>188169</xdr:rowOff>
    </xdr:to>
    <xdr:sp macro="[0]!TextBox1211_Click" textlink="">
      <xdr:nvSpPr>
        <xdr:cNvPr id="1212" name="TextBox 1211">
          <a:extLst>
            <a:ext uri="{FF2B5EF4-FFF2-40B4-BE49-F238E27FC236}">
              <a16:creationId xmlns:a16="http://schemas.microsoft.com/office/drawing/2014/main" id="{00000000-0008-0000-0000-0000BC040000}"/>
            </a:ext>
          </a:extLst>
        </xdr:cNvPr>
        <xdr:cNvSpPr txBox="1"/>
      </xdr:nvSpPr>
      <xdr:spPr>
        <a:xfrm>
          <a:off x="4189317" y="13135135"/>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2230420</xdr:colOff>
      <xdr:row>121</xdr:row>
      <xdr:rowOff>6141</xdr:rowOff>
    </xdr:from>
    <xdr:to>
      <xdr:col>7</xdr:col>
      <xdr:colOff>2413300</xdr:colOff>
      <xdr:row>121</xdr:row>
      <xdr:rowOff>189021</xdr:rowOff>
    </xdr:to>
    <xdr:sp macro="[0]!TextBox1213_Click" textlink="">
      <xdr:nvSpPr>
        <xdr:cNvPr id="1214" name="TextBox 1213">
          <a:extLst>
            <a:ext uri="{FF2B5EF4-FFF2-40B4-BE49-F238E27FC236}">
              <a16:creationId xmlns:a16="http://schemas.microsoft.com/office/drawing/2014/main" id="{00000000-0008-0000-0000-0000BE040000}"/>
            </a:ext>
          </a:extLst>
        </xdr:cNvPr>
        <xdr:cNvSpPr txBox="1"/>
      </xdr:nvSpPr>
      <xdr:spPr>
        <a:xfrm>
          <a:off x="3886305" y="13531641"/>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2532073</xdr:colOff>
      <xdr:row>121</xdr:row>
      <xdr:rowOff>7524</xdr:rowOff>
    </xdr:from>
    <xdr:to>
      <xdr:col>7</xdr:col>
      <xdr:colOff>2714953</xdr:colOff>
      <xdr:row>121</xdr:row>
      <xdr:rowOff>190404</xdr:rowOff>
    </xdr:to>
    <xdr:sp macro="[0]!TextBox1214_Click" textlink="">
      <xdr:nvSpPr>
        <xdr:cNvPr id="1215" name="TextBox 1214">
          <a:extLst>
            <a:ext uri="{FF2B5EF4-FFF2-40B4-BE49-F238E27FC236}">
              <a16:creationId xmlns:a16="http://schemas.microsoft.com/office/drawing/2014/main" id="{00000000-0008-0000-0000-0000BF040000}"/>
            </a:ext>
          </a:extLst>
        </xdr:cNvPr>
        <xdr:cNvSpPr txBox="1"/>
      </xdr:nvSpPr>
      <xdr:spPr>
        <a:xfrm>
          <a:off x="4187958" y="13533024"/>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2215766</xdr:colOff>
      <xdr:row>123</xdr:row>
      <xdr:rowOff>10222</xdr:rowOff>
    </xdr:from>
    <xdr:to>
      <xdr:col>7</xdr:col>
      <xdr:colOff>2398646</xdr:colOff>
      <xdr:row>123</xdr:row>
      <xdr:rowOff>193102</xdr:rowOff>
    </xdr:to>
    <xdr:sp macro="[0]!TextBox64_Click" textlink="">
      <xdr:nvSpPr>
        <xdr:cNvPr id="65" name="TextBox 64">
          <a:extLst>
            <a:ext uri="{FF2B5EF4-FFF2-40B4-BE49-F238E27FC236}">
              <a16:creationId xmlns:a16="http://schemas.microsoft.com/office/drawing/2014/main" id="{00000000-0008-0000-0000-000041000000}"/>
            </a:ext>
          </a:extLst>
        </xdr:cNvPr>
        <xdr:cNvSpPr txBox="1"/>
      </xdr:nvSpPr>
      <xdr:spPr>
        <a:xfrm>
          <a:off x="3871651" y="13931376"/>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2534056</xdr:colOff>
      <xdr:row>123</xdr:row>
      <xdr:rowOff>10222</xdr:rowOff>
    </xdr:from>
    <xdr:to>
      <xdr:col>7</xdr:col>
      <xdr:colOff>2716936</xdr:colOff>
      <xdr:row>123</xdr:row>
      <xdr:rowOff>193102</xdr:rowOff>
    </xdr:to>
    <xdr:sp macro="[0]!TextBox65_Click" textlink="">
      <xdr:nvSpPr>
        <xdr:cNvPr id="66" name="TextBox 65">
          <a:extLst>
            <a:ext uri="{FF2B5EF4-FFF2-40B4-BE49-F238E27FC236}">
              <a16:creationId xmlns:a16="http://schemas.microsoft.com/office/drawing/2014/main" id="{00000000-0008-0000-0000-000042000000}"/>
            </a:ext>
          </a:extLst>
        </xdr:cNvPr>
        <xdr:cNvSpPr txBox="1"/>
      </xdr:nvSpPr>
      <xdr:spPr>
        <a:xfrm>
          <a:off x="4189941" y="13931376"/>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2214940</xdr:colOff>
      <xdr:row>125</xdr:row>
      <xdr:rowOff>10235</xdr:rowOff>
    </xdr:from>
    <xdr:to>
      <xdr:col>7</xdr:col>
      <xdr:colOff>2397820</xdr:colOff>
      <xdr:row>125</xdr:row>
      <xdr:rowOff>193115</xdr:rowOff>
    </xdr:to>
    <xdr:sp macro="[0]!TextBox67_Click" textlink="">
      <xdr:nvSpPr>
        <xdr:cNvPr id="68" name="TextBox 67">
          <a:extLst>
            <a:ext uri="{FF2B5EF4-FFF2-40B4-BE49-F238E27FC236}">
              <a16:creationId xmlns:a16="http://schemas.microsoft.com/office/drawing/2014/main" id="{00000000-0008-0000-0000-000044000000}"/>
            </a:ext>
          </a:extLst>
        </xdr:cNvPr>
        <xdr:cNvSpPr txBox="1"/>
      </xdr:nvSpPr>
      <xdr:spPr>
        <a:xfrm>
          <a:off x="3870825" y="14327043"/>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2530811</xdr:colOff>
      <xdr:row>125</xdr:row>
      <xdr:rowOff>9699</xdr:rowOff>
    </xdr:from>
    <xdr:to>
      <xdr:col>7</xdr:col>
      <xdr:colOff>2713691</xdr:colOff>
      <xdr:row>125</xdr:row>
      <xdr:rowOff>192579</xdr:rowOff>
    </xdr:to>
    <xdr:sp macro="[0]!TextBox68_Click" textlink="">
      <xdr:nvSpPr>
        <xdr:cNvPr id="69" name="TextBox 68">
          <a:extLst>
            <a:ext uri="{FF2B5EF4-FFF2-40B4-BE49-F238E27FC236}">
              <a16:creationId xmlns:a16="http://schemas.microsoft.com/office/drawing/2014/main" id="{00000000-0008-0000-0000-000045000000}"/>
            </a:ext>
          </a:extLst>
        </xdr:cNvPr>
        <xdr:cNvSpPr txBox="1"/>
      </xdr:nvSpPr>
      <xdr:spPr>
        <a:xfrm>
          <a:off x="4186696" y="14326507"/>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2213581</xdr:colOff>
      <xdr:row>127</xdr:row>
      <xdr:rowOff>6142</xdr:rowOff>
    </xdr:from>
    <xdr:to>
      <xdr:col>7</xdr:col>
      <xdr:colOff>2396461</xdr:colOff>
      <xdr:row>127</xdr:row>
      <xdr:rowOff>189022</xdr:rowOff>
    </xdr:to>
    <xdr:sp macro="[0]!TextBox75_Click" textlink="">
      <xdr:nvSpPr>
        <xdr:cNvPr id="76" name="TextBox 75">
          <a:extLst>
            <a:ext uri="{FF2B5EF4-FFF2-40B4-BE49-F238E27FC236}">
              <a16:creationId xmlns:a16="http://schemas.microsoft.com/office/drawing/2014/main" id="{00000000-0008-0000-0000-00004C000000}"/>
            </a:ext>
          </a:extLst>
        </xdr:cNvPr>
        <xdr:cNvSpPr txBox="1"/>
      </xdr:nvSpPr>
      <xdr:spPr>
        <a:xfrm>
          <a:off x="3869466" y="14718604"/>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2526207</xdr:colOff>
      <xdr:row>127</xdr:row>
      <xdr:rowOff>9688</xdr:rowOff>
    </xdr:from>
    <xdr:to>
      <xdr:col>7</xdr:col>
      <xdr:colOff>2709087</xdr:colOff>
      <xdr:row>127</xdr:row>
      <xdr:rowOff>192568</xdr:rowOff>
    </xdr:to>
    <xdr:sp macro="[0]!TextBox76_Click" textlink="">
      <xdr:nvSpPr>
        <xdr:cNvPr id="77" name="TextBox 76">
          <a:extLst>
            <a:ext uri="{FF2B5EF4-FFF2-40B4-BE49-F238E27FC236}">
              <a16:creationId xmlns:a16="http://schemas.microsoft.com/office/drawing/2014/main" id="{00000000-0008-0000-0000-00004D000000}"/>
            </a:ext>
          </a:extLst>
        </xdr:cNvPr>
        <xdr:cNvSpPr txBox="1"/>
      </xdr:nvSpPr>
      <xdr:spPr>
        <a:xfrm>
          <a:off x="4182092" y="14722150"/>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2217651</xdr:colOff>
      <xdr:row>129</xdr:row>
      <xdr:rowOff>10758</xdr:rowOff>
    </xdr:from>
    <xdr:to>
      <xdr:col>7</xdr:col>
      <xdr:colOff>2400531</xdr:colOff>
      <xdr:row>129</xdr:row>
      <xdr:rowOff>193638</xdr:rowOff>
    </xdr:to>
    <xdr:sp macro="[0]!TextBox81_Click" textlink="">
      <xdr:nvSpPr>
        <xdr:cNvPr id="82" name="TextBox 81">
          <a:extLst>
            <a:ext uri="{FF2B5EF4-FFF2-40B4-BE49-F238E27FC236}">
              <a16:creationId xmlns:a16="http://schemas.microsoft.com/office/drawing/2014/main" id="{00000000-0008-0000-0000-000052000000}"/>
            </a:ext>
          </a:extLst>
        </xdr:cNvPr>
        <xdr:cNvSpPr txBox="1"/>
      </xdr:nvSpPr>
      <xdr:spPr>
        <a:xfrm>
          <a:off x="3873536" y="15118873"/>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2524846</xdr:colOff>
      <xdr:row>129</xdr:row>
      <xdr:rowOff>10222</xdr:rowOff>
    </xdr:from>
    <xdr:to>
      <xdr:col>7</xdr:col>
      <xdr:colOff>2707726</xdr:colOff>
      <xdr:row>129</xdr:row>
      <xdr:rowOff>193102</xdr:rowOff>
    </xdr:to>
    <xdr:sp macro="[0]!TextBox82_Click" textlink="">
      <xdr:nvSpPr>
        <xdr:cNvPr id="83" name="TextBox 82">
          <a:extLst>
            <a:ext uri="{FF2B5EF4-FFF2-40B4-BE49-F238E27FC236}">
              <a16:creationId xmlns:a16="http://schemas.microsoft.com/office/drawing/2014/main" id="{00000000-0008-0000-0000-000053000000}"/>
            </a:ext>
          </a:extLst>
        </xdr:cNvPr>
        <xdr:cNvSpPr txBox="1"/>
      </xdr:nvSpPr>
      <xdr:spPr>
        <a:xfrm>
          <a:off x="4180731" y="15118337"/>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2217127</xdr:colOff>
      <xdr:row>131</xdr:row>
      <xdr:rowOff>9932</xdr:rowOff>
    </xdr:from>
    <xdr:to>
      <xdr:col>7</xdr:col>
      <xdr:colOff>2400007</xdr:colOff>
      <xdr:row>131</xdr:row>
      <xdr:rowOff>192812</xdr:rowOff>
    </xdr:to>
    <xdr:sp macro="[0]!TextBox87_Click" textlink="">
      <xdr:nvSpPr>
        <xdr:cNvPr id="88" name="TextBox 87">
          <a:extLst>
            <a:ext uri="{FF2B5EF4-FFF2-40B4-BE49-F238E27FC236}">
              <a16:creationId xmlns:a16="http://schemas.microsoft.com/office/drawing/2014/main" id="{00000000-0008-0000-0000-000058000000}"/>
            </a:ext>
          </a:extLst>
        </xdr:cNvPr>
        <xdr:cNvSpPr txBox="1"/>
      </xdr:nvSpPr>
      <xdr:spPr>
        <a:xfrm>
          <a:off x="3873012" y="15513701"/>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2538139</xdr:colOff>
      <xdr:row>131</xdr:row>
      <xdr:rowOff>10746</xdr:rowOff>
    </xdr:from>
    <xdr:to>
      <xdr:col>7</xdr:col>
      <xdr:colOff>2721019</xdr:colOff>
      <xdr:row>131</xdr:row>
      <xdr:rowOff>193626</xdr:rowOff>
    </xdr:to>
    <xdr:sp macro="[0]!TextBox88_Click" textlink="">
      <xdr:nvSpPr>
        <xdr:cNvPr id="89" name="TextBox 88">
          <a:extLst>
            <a:ext uri="{FF2B5EF4-FFF2-40B4-BE49-F238E27FC236}">
              <a16:creationId xmlns:a16="http://schemas.microsoft.com/office/drawing/2014/main" id="{00000000-0008-0000-0000-000059000000}"/>
            </a:ext>
          </a:extLst>
        </xdr:cNvPr>
        <xdr:cNvSpPr txBox="1"/>
      </xdr:nvSpPr>
      <xdr:spPr>
        <a:xfrm>
          <a:off x="4194024" y="15514515"/>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4</xdr:col>
      <xdr:colOff>268288</xdr:colOff>
      <xdr:row>213</xdr:row>
      <xdr:rowOff>0</xdr:rowOff>
    </xdr:from>
    <xdr:to>
      <xdr:col>5</xdr:col>
      <xdr:colOff>68263</xdr:colOff>
      <xdr:row>213</xdr:row>
      <xdr:rowOff>152400</xdr:rowOff>
    </xdr:to>
    <xdr:sp macro="[0]!TextBox79_Click" textlink="">
      <xdr:nvSpPr>
        <xdr:cNvPr id="80" name="TextBox 79" hidden="1">
          <a:extLst>
            <a:ext uri="{FF2B5EF4-FFF2-40B4-BE49-F238E27FC236}">
              <a16:creationId xmlns:a16="http://schemas.microsoft.com/office/drawing/2014/main" id="{00000000-0008-0000-0000-000050000000}"/>
            </a:ext>
          </a:extLst>
        </xdr:cNvPr>
        <xdr:cNvSpPr txBox="1"/>
      </xdr:nvSpPr>
      <xdr:spPr>
        <a:xfrm>
          <a:off x="439738" y="19450050"/>
          <a:ext cx="228600"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83343</xdr:colOff>
      <xdr:row>212</xdr:row>
      <xdr:rowOff>5555</xdr:rowOff>
    </xdr:from>
    <xdr:to>
      <xdr:col>5</xdr:col>
      <xdr:colOff>311943</xdr:colOff>
      <xdr:row>212</xdr:row>
      <xdr:rowOff>157955</xdr:rowOff>
    </xdr:to>
    <xdr:sp macro="[0]!TextBox83_Click" textlink="">
      <xdr:nvSpPr>
        <xdr:cNvPr id="84" name="TextBox 83">
          <a:extLst>
            <a:ext uri="{FF2B5EF4-FFF2-40B4-BE49-F238E27FC236}">
              <a16:creationId xmlns:a16="http://schemas.microsoft.com/office/drawing/2014/main" id="{00000000-0008-0000-0000-000054000000}"/>
            </a:ext>
          </a:extLst>
        </xdr:cNvPr>
        <xdr:cNvSpPr txBox="1"/>
      </xdr:nvSpPr>
      <xdr:spPr>
        <a:xfrm>
          <a:off x="683418" y="19255580"/>
          <a:ext cx="228600"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69851</xdr:colOff>
      <xdr:row>213</xdr:row>
      <xdr:rowOff>13493</xdr:rowOff>
    </xdr:from>
    <xdr:to>
      <xdr:col>5</xdr:col>
      <xdr:colOff>298451</xdr:colOff>
      <xdr:row>213</xdr:row>
      <xdr:rowOff>165893</xdr:rowOff>
    </xdr:to>
    <xdr:sp macro="[0]!TextBox84_Click" textlink="">
      <xdr:nvSpPr>
        <xdr:cNvPr id="85" name="TextBox 84" hidden="1">
          <a:extLst>
            <a:ext uri="{FF2B5EF4-FFF2-40B4-BE49-F238E27FC236}">
              <a16:creationId xmlns:a16="http://schemas.microsoft.com/office/drawing/2014/main" id="{00000000-0008-0000-0000-000055000000}"/>
            </a:ext>
          </a:extLst>
        </xdr:cNvPr>
        <xdr:cNvSpPr txBox="1"/>
      </xdr:nvSpPr>
      <xdr:spPr>
        <a:xfrm>
          <a:off x="669926" y="19463543"/>
          <a:ext cx="228600"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272256</xdr:colOff>
      <xdr:row>214</xdr:row>
      <xdr:rowOff>1587</xdr:rowOff>
    </xdr:from>
    <xdr:to>
      <xdr:col>5</xdr:col>
      <xdr:colOff>72231</xdr:colOff>
      <xdr:row>214</xdr:row>
      <xdr:rowOff>163512</xdr:rowOff>
    </xdr:to>
    <xdr:sp macro="[0]!TextBox85_Click" textlink="">
      <xdr:nvSpPr>
        <xdr:cNvPr id="86" name="TextBox 85" hidden="1">
          <a:extLst>
            <a:ext uri="{FF2B5EF4-FFF2-40B4-BE49-F238E27FC236}">
              <a16:creationId xmlns:a16="http://schemas.microsoft.com/office/drawing/2014/main" id="{00000000-0008-0000-0000-000056000000}"/>
            </a:ext>
          </a:extLst>
        </xdr:cNvPr>
        <xdr:cNvSpPr txBox="1"/>
      </xdr:nvSpPr>
      <xdr:spPr>
        <a:xfrm>
          <a:off x="443706" y="19651662"/>
          <a:ext cx="2286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73818</xdr:colOff>
      <xdr:row>214</xdr:row>
      <xdr:rowOff>1587</xdr:rowOff>
    </xdr:from>
    <xdr:to>
      <xdr:col>5</xdr:col>
      <xdr:colOff>300037</xdr:colOff>
      <xdr:row>214</xdr:row>
      <xdr:rowOff>163512</xdr:rowOff>
    </xdr:to>
    <xdr:sp macro="[0]!TextBox89_Click" textlink="">
      <xdr:nvSpPr>
        <xdr:cNvPr id="90" name="TextBox 89" hidden="1">
          <a:extLst>
            <a:ext uri="{FF2B5EF4-FFF2-40B4-BE49-F238E27FC236}">
              <a16:creationId xmlns:a16="http://schemas.microsoft.com/office/drawing/2014/main" id="{00000000-0008-0000-0000-00005A000000}"/>
            </a:ext>
          </a:extLst>
        </xdr:cNvPr>
        <xdr:cNvSpPr txBox="1"/>
      </xdr:nvSpPr>
      <xdr:spPr>
        <a:xfrm>
          <a:off x="673893" y="19651662"/>
          <a:ext cx="226219"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latin typeface="Arial Black" pitchFamily="34" charset="0"/>
            </a:rPr>
            <a:t>+</a:t>
          </a:r>
        </a:p>
      </xdr:txBody>
    </xdr:sp>
    <xdr:clientData/>
  </xdr:twoCellAnchor>
  <xdr:twoCellAnchor>
    <xdr:from>
      <xdr:col>4</xdr:col>
      <xdr:colOff>264318</xdr:colOff>
      <xdr:row>215</xdr:row>
      <xdr:rowOff>5556</xdr:rowOff>
    </xdr:from>
    <xdr:to>
      <xdr:col>5</xdr:col>
      <xdr:colOff>64293</xdr:colOff>
      <xdr:row>215</xdr:row>
      <xdr:rowOff>165893</xdr:rowOff>
    </xdr:to>
    <xdr:sp macro="[0]!TextBox90_Click" textlink="">
      <xdr:nvSpPr>
        <xdr:cNvPr id="91" name="TextBox 90" hidden="1">
          <a:extLst>
            <a:ext uri="{FF2B5EF4-FFF2-40B4-BE49-F238E27FC236}">
              <a16:creationId xmlns:a16="http://schemas.microsoft.com/office/drawing/2014/main" id="{00000000-0008-0000-0000-00005B000000}"/>
            </a:ext>
          </a:extLst>
        </xdr:cNvPr>
        <xdr:cNvSpPr txBox="1"/>
      </xdr:nvSpPr>
      <xdr:spPr>
        <a:xfrm>
          <a:off x="435768" y="19855656"/>
          <a:ext cx="228600" cy="1603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79374</xdr:colOff>
      <xdr:row>215</xdr:row>
      <xdr:rowOff>5557</xdr:rowOff>
    </xdr:from>
    <xdr:to>
      <xdr:col>5</xdr:col>
      <xdr:colOff>307974</xdr:colOff>
      <xdr:row>215</xdr:row>
      <xdr:rowOff>165894</xdr:rowOff>
    </xdr:to>
    <xdr:sp macro="[0]!TextBox91_Click" textlink="">
      <xdr:nvSpPr>
        <xdr:cNvPr id="92" name="TextBox 91" hidden="1">
          <a:extLst>
            <a:ext uri="{FF2B5EF4-FFF2-40B4-BE49-F238E27FC236}">
              <a16:creationId xmlns:a16="http://schemas.microsoft.com/office/drawing/2014/main" id="{00000000-0008-0000-0000-00005C000000}"/>
            </a:ext>
          </a:extLst>
        </xdr:cNvPr>
        <xdr:cNvSpPr txBox="1"/>
      </xdr:nvSpPr>
      <xdr:spPr>
        <a:xfrm>
          <a:off x="679449" y="19855657"/>
          <a:ext cx="228600" cy="1603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277812</xdr:colOff>
      <xdr:row>215</xdr:row>
      <xdr:rowOff>193675</xdr:rowOff>
    </xdr:from>
    <xdr:to>
      <xdr:col>5</xdr:col>
      <xdr:colOff>77787</xdr:colOff>
      <xdr:row>216</xdr:row>
      <xdr:rowOff>163513</xdr:rowOff>
    </xdr:to>
    <xdr:sp macro="[0]!TextBox93_Click" textlink="">
      <xdr:nvSpPr>
        <xdr:cNvPr id="94" name="TextBox 93" hidden="1">
          <a:extLst>
            <a:ext uri="{FF2B5EF4-FFF2-40B4-BE49-F238E27FC236}">
              <a16:creationId xmlns:a16="http://schemas.microsoft.com/office/drawing/2014/main" id="{00000000-0008-0000-0000-00005E000000}"/>
            </a:ext>
          </a:extLst>
        </xdr:cNvPr>
        <xdr:cNvSpPr txBox="1"/>
      </xdr:nvSpPr>
      <xdr:spPr>
        <a:xfrm>
          <a:off x="449262" y="20043775"/>
          <a:ext cx="228600" cy="1698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83343</xdr:colOff>
      <xdr:row>215</xdr:row>
      <xdr:rowOff>196055</xdr:rowOff>
    </xdr:from>
    <xdr:to>
      <xdr:col>5</xdr:col>
      <xdr:colOff>311943</xdr:colOff>
      <xdr:row>216</xdr:row>
      <xdr:rowOff>156368</xdr:rowOff>
    </xdr:to>
    <xdr:sp macro="[0]!TextBox1215_Click" textlink="">
      <xdr:nvSpPr>
        <xdr:cNvPr id="1216" name="TextBox 1215" hidden="1">
          <a:extLst>
            <a:ext uri="{FF2B5EF4-FFF2-40B4-BE49-F238E27FC236}">
              <a16:creationId xmlns:a16="http://schemas.microsoft.com/office/drawing/2014/main" id="{00000000-0008-0000-0000-0000C0040000}"/>
            </a:ext>
          </a:extLst>
        </xdr:cNvPr>
        <xdr:cNvSpPr txBox="1"/>
      </xdr:nvSpPr>
      <xdr:spPr>
        <a:xfrm>
          <a:off x="683418" y="20046155"/>
          <a:ext cx="228600" cy="160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262730</xdr:colOff>
      <xdr:row>217</xdr:row>
      <xdr:rowOff>5557</xdr:rowOff>
    </xdr:from>
    <xdr:to>
      <xdr:col>5</xdr:col>
      <xdr:colOff>62705</xdr:colOff>
      <xdr:row>217</xdr:row>
      <xdr:rowOff>163513</xdr:rowOff>
    </xdr:to>
    <xdr:sp macro="[0]!TextBox1216_Click" textlink="">
      <xdr:nvSpPr>
        <xdr:cNvPr id="1217" name="TextBox 1216" hidden="1">
          <a:extLst>
            <a:ext uri="{FF2B5EF4-FFF2-40B4-BE49-F238E27FC236}">
              <a16:creationId xmlns:a16="http://schemas.microsoft.com/office/drawing/2014/main" id="{00000000-0008-0000-0000-0000C1040000}"/>
            </a:ext>
          </a:extLst>
        </xdr:cNvPr>
        <xdr:cNvSpPr txBox="1"/>
      </xdr:nvSpPr>
      <xdr:spPr>
        <a:xfrm>
          <a:off x="434180" y="20255707"/>
          <a:ext cx="228600" cy="157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69850</xdr:colOff>
      <xdr:row>217</xdr:row>
      <xdr:rowOff>9526</xdr:rowOff>
    </xdr:from>
    <xdr:to>
      <xdr:col>5</xdr:col>
      <xdr:colOff>298450</xdr:colOff>
      <xdr:row>217</xdr:row>
      <xdr:rowOff>159544</xdr:rowOff>
    </xdr:to>
    <xdr:sp macro="[0]!TextBox1217_Click" textlink="">
      <xdr:nvSpPr>
        <xdr:cNvPr id="1218" name="TextBox 1217" hidden="1">
          <a:extLst>
            <a:ext uri="{FF2B5EF4-FFF2-40B4-BE49-F238E27FC236}">
              <a16:creationId xmlns:a16="http://schemas.microsoft.com/office/drawing/2014/main" id="{00000000-0008-0000-0000-0000C2040000}"/>
            </a:ext>
          </a:extLst>
        </xdr:cNvPr>
        <xdr:cNvSpPr txBox="1"/>
      </xdr:nvSpPr>
      <xdr:spPr>
        <a:xfrm>
          <a:off x="669925" y="20259676"/>
          <a:ext cx="228600" cy="1500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277812</xdr:colOff>
      <xdr:row>218</xdr:row>
      <xdr:rowOff>5556</xdr:rowOff>
    </xdr:from>
    <xdr:to>
      <xdr:col>5</xdr:col>
      <xdr:colOff>77787</xdr:colOff>
      <xdr:row>218</xdr:row>
      <xdr:rowOff>165894</xdr:rowOff>
    </xdr:to>
    <xdr:sp macro="[0]!TextBox1218_Click" textlink="">
      <xdr:nvSpPr>
        <xdr:cNvPr id="1219" name="TextBox 1218" hidden="1">
          <a:extLst>
            <a:ext uri="{FF2B5EF4-FFF2-40B4-BE49-F238E27FC236}">
              <a16:creationId xmlns:a16="http://schemas.microsoft.com/office/drawing/2014/main" id="{00000000-0008-0000-0000-0000C3040000}"/>
            </a:ext>
          </a:extLst>
        </xdr:cNvPr>
        <xdr:cNvSpPr txBox="1"/>
      </xdr:nvSpPr>
      <xdr:spPr>
        <a:xfrm>
          <a:off x="449262" y="20455731"/>
          <a:ext cx="228600" cy="160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79375</xdr:colOff>
      <xdr:row>218</xdr:row>
      <xdr:rowOff>1587</xdr:rowOff>
    </xdr:from>
    <xdr:to>
      <xdr:col>5</xdr:col>
      <xdr:colOff>307975</xdr:colOff>
      <xdr:row>218</xdr:row>
      <xdr:rowOff>163512</xdr:rowOff>
    </xdr:to>
    <xdr:sp macro="[0]!TextBox1219_Click" textlink="">
      <xdr:nvSpPr>
        <xdr:cNvPr id="1220" name="TextBox 1219" hidden="1">
          <a:extLst>
            <a:ext uri="{FF2B5EF4-FFF2-40B4-BE49-F238E27FC236}">
              <a16:creationId xmlns:a16="http://schemas.microsoft.com/office/drawing/2014/main" id="{00000000-0008-0000-0000-0000C4040000}"/>
            </a:ext>
          </a:extLst>
        </xdr:cNvPr>
        <xdr:cNvSpPr txBox="1"/>
      </xdr:nvSpPr>
      <xdr:spPr>
        <a:xfrm>
          <a:off x="679450" y="20451762"/>
          <a:ext cx="2286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273843</xdr:colOff>
      <xdr:row>218</xdr:row>
      <xdr:rowOff>193676</xdr:rowOff>
    </xdr:from>
    <xdr:to>
      <xdr:col>5</xdr:col>
      <xdr:colOff>73818</xdr:colOff>
      <xdr:row>219</xdr:row>
      <xdr:rowOff>165101</xdr:rowOff>
    </xdr:to>
    <xdr:sp macro="[0]!TextBox1220_Click" textlink="">
      <xdr:nvSpPr>
        <xdr:cNvPr id="1221" name="TextBox 1220" hidden="1">
          <a:extLst>
            <a:ext uri="{FF2B5EF4-FFF2-40B4-BE49-F238E27FC236}">
              <a16:creationId xmlns:a16="http://schemas.microsoft.com/office/drawing/2014/main" id="{00000000-0008-0000-0000-0000C5040000}"/>
            </a:ext>
          </a:extLst>
        </xdr:cNvPr>
        <xdr:cNvSpPr txBox="1"/>
      </xdr:nvSpPr>
      <xdr:spPr>
        <a:xfrm>
          <a:off x="445293" y="20643851"/>
          <a:ext cx="228600" cy="171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83343</xdr:colOff>
      <xdr:row>218</xdr:row>
      <xdr:rowOff>197643</xdr:rowOff>
    </xdr:from>
    <xdr:to>
      <xdr:col>5</xdr:col>
      <xdr:colOff>311943</xdr:colOff>
      <xdr:row>219</xdr:row>
      <xdr:rowOff>159543</xdr:rowOff>
    </xdr:to>
    <xdr:sp macro="[0]!TextBox1221_Click" textlink="">
      <xdr:nvSpPr>
        <xdr:cNvPr id="1222" name="TextBox 1221" hidden="1">
          <a:extLst>
            <a:ext uri="{FF2B5EF4-FFF2-40B4-BE49-F238E27FC236}">
              <a16:creationId xmlns:a16="http://schemas.microsoft.com/office/drawing/2014/main" id="{00000000-0008-0000-0000-0000C6040000}"/>
            </a:ext>
          </a:extLst>
        </xdr:cNvPr>
        <xdr:cNvSpPr txBox="1"/>
      </xdr:nvSpPr>
      <xdr:spPr>
        <a:xfrm>
          <a:off x="683418" y="20647818"/>
          <a:ext cx="2286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280193</xdr:colOff>
      <xdr:row>220</xdr:row>
      <xdr:rowOff>9525</xdr:rowOff>
    </xdr:from>
    <xdr:to>
      <xdr:col>5</xdr:col>
      <xdr:colOff>80168</xdr:colOff>
      <xdr:row>220</xdr:row>
      <xdr:rowOff>161925</xdr:rowOff>
    </xdr:to>
    <xdr:sp macro="[0]!TextBox1222_Click" textlink="">
      <xdr:nvSpPr>
        <xdr:cNvPr id="1223" name="TextBox 1222" hidden="1">
          <a:extLst>
            <a:ext uri="{FF2B5EF4-FFF2-40B4-BE49-F238E27FC236}">
              <a16:creationId xmlns:a16="http://schemas.microsoft.com/office/drawing/2014/main" id="{00000000-0008-0000-0000-0000C7040000}"/>
            </a:ext>
          </a:extLst>
        </xdr:cNvPr>
        <xdr:cNvSpPr txBox="1"/>
      </xdr:nvSpPr>
      <xdr:spPr>
        <a:xfrm>
          <a:off x="451643" y="20859750"/>
          <a:ext cx="228600"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87312</xdr:colOff>
      <xdr:row>220</xdr:row>
      <xdr:rowOff>13493</xdr:rowOff>
    </xdr:from>
    <xdr:to>
      <xdr:col>5</xdr:col>
      <xdr:colOff>315912</xdr:colOff>
      <xdr:row>220</xdr:row>
      <xdr:rowOff>165893</xdr:rowOff>
    </xdr:to>
    <xdr:sp macro="[0]!TextBox1223_Click" textlink="">
      <xdr:nvSpPr>
        <xdr:cNvPr id="1224" name="TextBox 1223" hidden="1">
          <a:extLst>
            <a:ext uri="{FF2B5EF4-FFF2-40B4-BE49-F238E27FC236}">
              <a16:creationId xmlns:a16="http://schemas.microsoft.com/office/drawing/2014/main" id="{00000000-0008-0000-0000-0000C8040000}"/>
            </a:ext>
          </a:extLst>
        </xdr:cNvPr>
        <xdr:cNvSpPr txBox="1"/>
      </xdr:nvSpPr>
      <xdr:spPr>
        <a:xfrm>
          <a:off x="687387" y="20863718"/>
          <a:ext cx="228600"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277812</xdr:colOff>
      <xdr:row>221</xdr:row>
      <xdr:rowOff>26988</xdr:rowOff>
    </xdr:from>
    <xdr:to>
      <xdr:col>5</xdr:col>
      <xdr:colOff>77787</xdr:colOff>
      <xdr:row>221</xdr:row>
      <xdr:rowOff>169863</xdr:rowOff>
    </xdr:to>
    <xdr:sp macro="[0]!TextBox1224_Click" textlink="">
      <xdr:nvSpPr>
        <xdr:cNvPr id="1225" name="TextBox 1224" hidden="1">
          <a:extLst>
            <a:ext uri="{FF2B5EF4-FFF2-40B4-BE49-F238E27FC236}">
              <a16:creationId xmlns:a16="http://schemas.microsoft.com/office/drawing/2014/main" id="{00000000-0008-0000-0000-0000C9040000}"/>
            </a:ext>
          </a:extLst>
        </xdr:cNvPr>
        <xdr:cNvSpPr txBox="1"/>
      </xdr:nvSpPr>
      <xdr:spPr>
        <a:xfrm>
          <a:off x="449262" y="21077238"/>
          <a:ext cx="228600" cy="142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7</xdr:col>
      <xdr:colOff>1714500</xdr:colOff>
      <xdr:row>24</xdr:row>
      <xdr:rowOff>31749</xdr:rowOff>
    </xdr:from>
    <xdr:to>
      <xdr:col>7</xdr:col>
      <xdr:colOff>2903220</xdr:colOff>
      <xdr:row>24</xdr:row>
      <xdr:rowOff>214629</xdr:rowOff>
    </xdr:to>
    <xdr:sp macro="[0]!TextBox69_Click" textlink="">
      <xdr:nvSpPr>
        <xdr:cNvPr id="70" name="TextBox 69">
          <a:extLst>
            <a:ext uri="{FF2B5EF4-FFF2-40B4-BE49-F238E27FC236}">
              <a16:creationId xmlns:a16="http://schemas.microsoft.com/office/drawing/2014/main" id="{00000000-0008-0000-0000-000046000000}"/>
            </a:ext>
          </a:extLst>
        </xdr:cNvPr>
        <xdr:cNvSpPr txBox="1"/>
      </xdr:nvSpPr>
      <xdr:spPr>
        <a:xfrm>
          <a:off x="3376083" y="4847166"/>
          <a:ext cx="118872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rial" pitchFamily="34" charset="0"/>
              <a:cs typeface="Arial" pitchFamily="34" charset="0"/>
            </a:rPr>
            <a:t>Dairy Mgt Info</a:t>
          </a:r>
        </a:p>
      </xdr:txBody>
    </xdr:sp>
    <xdr:clientData fLocksWithSheet="0"/>
  </xdr:twoCellAnchor>
  <xdr:twoCellAnchor>
    <xdr:from>
      <xdr:col>7</xdr:col>
      <xdr:colOff>1545166</xdr:colOff>
      <xdr:row>30</xdr:row>
      <xdr:rowOff>31751</xdr:rowOff>
    </xdr:from>
    <xdr:to>
      <xdr:col>7</xdr:col>
      <xdr:colOff>2916766</xdr:colOff>
      <xdr:row>30</xdr:row>
      <xdr:rowOff>214631</xdr:rowOff>
    </xdr:to>
    <xdr:sp macro="[0]!TextBox70_Click" textlink="">
      <xdr:nvSpPr>
        <xdr:cNvPr id="71" name="TextBox 70">
          <a:extLst>
            <a:ext uri="{FF2B5EF4-FFF2-40B4-BE49-F238E27FC236}">
              <a16:creationId xmlns:a16="http://schemas.microsoft.com/office/drawing/2014/main" id="{00000000-0008-0000-0000-000047000000}"/>
            </a:ext>
          </a:extLst>
        </xdr:cNvPr>
        <xdr:cNvSpPr txBox="1"/>
      </xdr:nvSpPr>
      <xdr:spPr>
        <a:xfrm>
          <a:off x="3206749" y="7704668"/>
          <a:ext cx="137160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rial" pitchFamily="34" charset="0"/>
              <a:cs typeface="Arial" pitchFamily="34" charset="0"/>
            </a:rPr>
            <a:t>Dry Herd Mgt Info</a:t>
          </a:r>
        </a:p>
      </xdr:txBody>
    </xdr:sp>
    <xdr:clientData fLocksWithSheet="0"/>
  </xdr:twoCellAnchor>
  <mc:AlternateContent xmlns:mc="http://schemas.openxmlformats.org/markup-compatibility/2006">
    <mc:Choice xmlns:a14="http://schemas.microsoft.com/office/drawing/2010/main" Requires="a14">
      <xdr:twoCellAnchor>
        <xdr:from>
          <xdr:col>10</xdr:col>
          <xdr:colOff>171450</xdr:colOff>
          <xdr:row>152</xdr:row>
          <xdr:rowOff>171450</xdr:rowOff>
        </xdr:from>
        <xdr:to>
          <xdr:col>11</xdr:col>
          <xdr:colOff>542925</xdr:colOff>
          <xdr:row>152</xdr:row>
          <xdr:rowOff>171450</xdr:rowOff>
        </xdr:to>
        <xdr:sp macro="" textlink="">
          <xdr:nvSpPr>
            <xdr:cNvPr id="1256" name="CheckBox13" hidden="1">
              <a:extLst>
                <a:ext uri="{63B3BB69-23CF-44E3-9099-C40C66FF867C}">
                  <a14:compatExt spid="_x0000_s1256"/>
                </a:ext>
                <a:ext uri="{FF2B5EF4-FFF2-40B4-BE49-F238E27FC236}">
                  <a16:creationId xmlns:a16="http://schemas.microsoft.com/office/drawing/2014/main" id="{00000000-0008-0000-0000-0000E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152</xdr:row>
          <xdr:rowOff>171450</xdr:rowOff>
        </xdr:from>
        <xdr:to>
          <xdr:col>11</xdr:col>
          <xdr:colOff>485775</xdr:colOff>
          <xdr:row>152</xdr:row>
          <xdr:rowOff>171450</xdr:rowOff>
        </xdr:to>
        <xdr:sp macro="" textlink="">
          <xdr:nvSpPr>
            <xdr:cNvPr id="1258" name="CheckBox14" hidden="1">
              <a:extLst>
                <a:ext uri="{63B3BB69-23CF-44E3-9099-C40C66FF867C}">
                  <a14:compatExt spid="_x0000_s1258"/>
                </a:ext>
                <a:ext uri="{FF2B5EF4-FFF2-40B4-BE49-F238E27FC236}">
                  <a16:creationId xmlns:a16="http://schemas.microsoft.com/office/drawing/2014/main" id="{00000000-0008-0000-0000-0000E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7</xdr:col>
      <xdr:colOff>1513418</xdr:colOff>
      <xdr:row>28</xdr:row>
      <xdr:rowOff>31751</xdr:rowOff>
    </xdr:from>
    <xdr:to>
      <xdr:col>7</xdr:col>
      <xdr:colOff>2885018</xdr:colOff>
      <xdr:row>28</xdr:row>
      <xdr:rowOff>214631</xdr:rowOff>
    </xdr:to>
    <xdr:sp macro="[0]!step_1_Balance_Worksheet_TextBox1188_Click" textlink="">
      <xdr:nvSpPr>
        <xdr:cNvPr id="1189" name="TextBox 1188">
          <a:extLst>
            <a:ext uri="{FF2B5EF4-FFF2-40B4-BE49-F238E27FC236}">
              <a16:creationId xmlns:a16="http://schemas.microsoft.com/office/drawing/2014/main" id="{00000000-0008-0000-0000-0000A5040000}"/>
            </a:ext>
          </a:extLst>
        </xdr:cNvPr>
        <xdr:cNvSpPr txBox="1"/>
      </xdr:nvSpPr>
      <xdr:spPr>
        <a:xfrm>
          <a:off x="3175001" y="7281334"/>
          <a:ext cx="137160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rial" pitchFamily="34" charset="0"/>
              <a:cs typeface="Arial" pitchFamily="34" charset="0"/>
            </a:rPr>
            <a:t>Lactating</a:t>
          </a:r>
          <a:r>
            <a:rPr lang="en-US" sz="1100" baseline="0">
              <a:latin typeface="Arial" pitchFamily="34" charset="0"/>
              <a:cs typeface="Arial" pitchFamily="34" charset="0"/>
            </a:rPr>
            <a:t> Herd Mgt</a:t>
          </a:r>
        </a:p>
      </xdr:txBody>
    </xdr:sp>
    <xdr:clientData fLocksWithSheet="0"/>
  </xdr:twoCellAnchor>
  <xdr:twoCellAnchor>
    <xdr:from>
      <xdr:col>7</xdr:col>
      <xdr:colOff>1725085</xdr:colOff>
      <xdr:row>32</xdr:row>
      <xdr:rowOff>42332</xdr:rowOff>
    </xdr:from>
    <xdr:to>
      <xdr:col>7</xdr:col>
      <xdr:colOff>2913805</xdr:colOff>
      <xdr:row>32</xdr:row>
      <xdr:rowOff>225212</xdr:rowOff>
    </xdr:to>
    <xdr:sp macro="[0]!step_1_Balance_Worksheet_TextBox1191_Click" textlink="">
      <xdr:nvSpPr>
        <xdr:cNvPr id="1192" name="TextBox 1191">
          <a:extLst>
            <a:ext uri="{FF2B5EF4-FFF2-40B4-BE49-F238E27FC236}">
              <a16:creationId xmlns:a16="http://schemas.microsoft.com/office/drawing/2014/main" id="{00000000-0008-0000-0000-0000A8040000}"/>
            </a:ext>
          </a:extLst>
        </xdr:cNvPr>
        <xdr:cNvSpPr txBox="1"/>
      </xdr:nvSpPr>
      <xdr:spPr>
        <a:xfrm>
          <a:off x="3386668" y="8138582"/>
          <a:ext cx="118872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rial" pitchFamily="34" charset="0"/>
              <a:cs typeface="Arial" pitchFamily="34" charset="0"/>
            </a:rPr>
            <a:t>Bull Mgt Info</a:t>
          </a:r>
        </a:p>
      </xdr:txBody>
    </xdr:sp>
    <xdr:clientData fLocksWithSheet="0"/>
  </xdr:twoCellAnchor>
  <xdr:twoCellAnchor>
    <xdr:from>
      <xdr:col>7</xdr:col>
      <xdr:colOff>1703915</xdr:colOff>
      <xdr:row>34</xdr:row>
      <xdr:rowOff>31749</xdr:rowOff>
    </xdr:from>
    <xdr:to>
      <xdr:col>7</xdr:col>
      <xdr:colOff>2892635</xdr:colOff>
      <xdr:row>34</xdr:row>
      <xdr:rowOff>214629</xdr:rowOff>
    </xdr:to>
    <xdr:sp macro="[0]!step_1_Balance_Worksheet_TextBox63_Click" textlink="">
      <xdr:nvSpPr>
        <xdr:cNvPr id="64" name="TextBox 63">
          <a:extLst>
            <a:ext uri="{FF2B5EF4-FFF2-40B4-BE49-F238E27FC236}">
              <a16:creationId xmlns:a16="http://schemas.microsoft.com/office/drawing/2014/main" id="{00000000-0008-0000-0000-000040000000}"/>
            </a:ext>
          </a:extLst>
        </xdr:cNvPr>
        <xdr:cNvSpPr txBox="1"/>
      </xdr:nvSpPr>
      <xdr:spPr>
        <a:xfrm>
          <a:off x="3365498" y="8551332"/>
          <a:ext cx="118872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rial" pitchFamily="34" charset="0"/>
              <a:cs typeface="Arial" pitchFamily="34" charset="0"/>
            </a:rPr>
            <a:t>Horses Mgt Info</a:t>
          </a:r>
        </a:p>
      </xdr:txBody>
    </xdr:sp>
    <xdr:clientData fLocksWithSheet="0"/>
  </xdr:twoCellAnchor>
  <xdr:twoCellAnchor>
    <xdr:from>
      <xdr:col>10</xdr:col>
      <xdr:colOff>342900</xdr:colOff>
      <xdr:row>150</xdr:row>
      <xdr:rowOff>152400</xdr:rowOff>
    </xdr:from>
    <xdr:to>
      <xdr:col>12</xdr:col>
      <xdr:colOff>190500</xdr:colOff>
      <xdr:row>152</xdr:row>
      <xdr:rowOff>247649</xdr:rowOff>
    </xdr:to>
    <xdr:sp macro="[0]!step_1_Balance_Worksheet_TextBox1194_Click" textlink="">
      <xdr:nvSpPr>
        <xdr:cNvPr id="1195" name="TextBox 1194">
          <a:extLst>
            <a:ext uri="{FF2B5EF4-FFF2-40B4-BE49-F238E27FC236}">
              <a16:creationId xmlns:a16="http://schemas.microsoft.com/office/drawing/2014/main" id="{00000000-0008-0000-0000-0000AB040000}"/>
            </a:ext>
          </a:extLst>
        </xdr:cNvPr>
        <xdr:cNvSpPr txBox="1"/>
      </xdr:nvSpPr>
      <xdr:spPr>
        <a:xfrm>
          <a:off x="6527800" y="15887700"/>
          <a:ext cx="1625600" cy="450849"/>
        </a:xfrm>
        <a:prstGeom prst="rect">
          <a:avLst/>
        </a:prstGeom>
        <a:solidFill>
          <a:schemeClr val="accent3">
            <a:lumMod val="75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itchFamily="34" charset="0"/>
              <a:cs typeface="Arial" pitchFamily="34" charset="0"/>
            </a:rPr>
            <a:t>Calculate Pasture Grazing Efficiency</a:t>
          </a:r>
        </a:p>
        <a:p>
          <a:pPr algn="ctr"/>
          <a:endParaRPr lang="en-US" sz="1100" b="1"/>
        </a:p>
      </xdr:txBody>
    </xdr:sp>
    <xdr:clientData fLocksWithSheet="0"/>
  </xdr:twoCellAnchor>
  <xdr:twoCellAnchor>
    <xdr:from>
      <xdr:col>12</xdr:col>
      <xdr:colOff>328083</xdr:colOff>
      <xdr:row>151</xdr:row>
      <xdr:rowOff>169333</xdr:rowOff>
    </xdr:from>
    <xdr:to>
      <xdr:col>13</xdr:col>
      <xdr:colOff>514350</xdr:colOff>
      <xdr:row>152</xdr:row>
      <xdr:rowOff>243417</xdr:rowOff>
    </xdr:to>
    <xdr:sp macro="[0]!step_1_Balance_Worksheet_TextBox1197_Click" textlink="">
      <xdr:nvSpPr>
        <xdr:cNvPr id="1198" name="TextBox 1197">
          <a:extLst>
            <a:ext uri="{FF2B5EF4-FFF2-40B4-BE49-F238E27FC236}">
              <a16:creationId xmlns:a16="http://schemas.microsoft.com/office/drawing/2014/main" id="{00000000-0008-0000-0000-0000AE040000}"/>
            </a:ext>
          </a:extLst>
        </xdr:cNvPr>
        <xdr:cNvSpPr txBox="1"/>
      </xdr:nvSpPr>
      <xdr:spPr>
        <a:xfrm>
          <a:off x="7481358" y="11751733"/>
          <a:ext cx="1091142" cy="245534"/>
        </a:xfrm>
        <a:prstGeom prst="rect">
          <a:avLst/>
        </a:prstGeom>
        <a:solidFill>
          <a:schemeClr val="accent1">
            <a:lumMod val="75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bg1"/>
              </a:solidFill>
              <a:latin typeface="Arial" pitchFamily="34" charset="0"/>
              <a:cs typeface="Arial" pitchFamily="34" charset="0"/>
            </a:rPr>
            <a:t>What is this?</a:t>
          </a:r>
        </a:p>
      </xdr:txBody>
    </xdr:sp>
    <xdr:clientData fLocksWithSheet="0"/>
  </xdr:twoCellAnchor>
  <xdr:twoCellAnchor>
    <xdr:from>
      <xdr:col>5</xdr:col>
      <xdr:colOff>42334</xdr:colOff>
      <xdr:row>0</xdr:row>
      <xdr:rowOff>296334</xdr:rowOff>
    </xdr:from>
    <xdr:to>
      <xdr:col>6</xdr:col>
      <xdr:colOff>582085</xdr:colOff>
      <xdr:row>0</xdr:row>
      <xdr:rowOff>582084</xdr:rowOff>
    </xdr:to>
    <xdr:sp macro="[0]!LivestockForageBalance_TextBox1200_Click" textlink="">
      <xdr:nvSpPr>
        <xdr:cNvPr id="1201" name="TextBox 1200">
          <a:extLst>
            <a:ext uri="{FF2B5EF4-FFF2-40B4-BE49-F238E27FC236}">
              <a16:creationId xmlns:a16="http://schemas.microsoft.com/office/drawing/2014/main" id="{00000000-0008-0000-0000-0000B1040000}"/>
            </a:ext>
          </a:extLst>
        </xdr:cNvPr>
        <xdr:cNvSpPr txBox="1"/>
      </xdr:nvSpPr>
      <xdr:spPr>
        <a:xfrm>
          <a:off x="645584" y="296334"/>
          <a:ext cx="963084" cy="285750"/>
        </a:xfrm>
        <a:prstGeom prst="rect">
          <a:avLst/>
        </a:prstGeom>
        <a:solidFill>
          <a:schemeClr val="lt1"/>
        </a:solidFill>
        <a:ln w="9525" cmpd="sng">
          <a:solidFill>
            <a:schemeClr val="tx1">
              <a:lumMod val="50000"/>
              <a:lumOff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Arial" pitchFamily="34" charset="0"/>
              <a:cs typeface="Arial" pitchFamily="34" charset="0"/>
            </a:rPr>
            <a:t>Save As...</a:t>
          </a:r>
        </a:p>
      </xdr:txBody>
    </xdr:sp>
    <xdr:clientData/>
  </xdr:twoCellAnchor>
  <xdr:twoCellAnchor>
    <xdr:from>
      <xdr:col>13</xdr:col>
      <xdr:colOff>643465</xdr:colOff>
      <xdr:row>268</xdr:row>
      <xdr:rowOff>171447</xdr:rowOff>
    </xdr:from>
    <xdr:to>
      <xdr:col>25</xdr:col>
      <xdr:colOff>33865</xdr:colOff>
      <xdr:row>300</xdr:row>
      <xdr:rowOff>6347</xdr:rowOff>
    </xdr:to>
    <xdr:graphicFrame macro="">
      <xdr:nvGraphicFramePr>
        <xdr:cNvPr id="105" name="Chart 104" title="Grazing System">
          <a:extLst>
            <a:ext uri="{FF2B5EF4-FFF2-40B4-BE49-F238E27FC236}">
              <a16:creationId xmlns:a16="http://schemas.microsoft.com/office/drawing/2014/main" id="{00000000-0008-0000-0000-00006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105834</xdr:colOff>
      <xdr:row>0</xdr:row>
      <xdr:rowOff>285750</xdr:rowOff>
    </xdr:from>
    <xdr:to>
      <xdr:col>7</xdr:col>
      <xdr:colOff>1545167</xdr:colOff>
      <xdr:row>0</xdr:row>
      <xdr:rowOff>592667</xdr:rowOff>
    </xdr:to>
    <xdr:sp macro="[0]!LivestockForageBalance_TextBox1209_Click" textlink="">
      <xdr:nvSpPr>
        <xdr:cNvPr id="1210" name="TextBox 1209">
          <a:extLst>
            <a:ext uri="{FF2B5EF4-FFF2-40B4-BE49-F238E27FC236}">
              <a16:creationId xmlns:a16="http://schemas.microsoft.com/office/drawing/2014/main" id="{00000000-0008-0000-0000-0000BA040000}"/>
            </a:ext>
          </a:extLst>
        </xdr:cNvPr>
        <xdr:cNvSpPr txBox="1"/>
      </xdr:nvSpPr>
      <xdr:spPr>
        <a:xfrm>
          <a:off x="1767417" y="285750"/>
          <a:ext cx="1439333" cy="306917"/>
        </a:xfrm>
        <a:prstGeom prst="rect">
          <a:avLst/>
        </a:prstGeom>
        <a:solidFill>
          <a:schemeClr val="accent2">
            <a:lumMod val="20000"/>
            <a:lumOff val="80000"/>
          </a:schemeClr>
        </a:solidFill>
        <a:ln w="9525" cmpd="sng">
          <a:solidFill>
            <a:schemeClr val="accent2">
              <a:lumMod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Start New </a:t>
          </a:r>
          <a:r>
            <a:rPr lang="en-US" sz="1200">
              <a:solidFill>
                <a:schemeClr val="accent2">
                  <a:lumMod val="50000"/>
                </a:schemeClr>
              </a:solidFill>
              <a:latin typeface="Arial" pitchFamily="34" charset="0"/>
              <a:cs typeface="Arial" pitchFamily="34" charset="0"/>
            </a:rPr>
            <a:t>Model</a:t>
          </a:r>
        </a:p>
      </xdr:txBody>
    </xdr:sp>
    <xdr:clientData/>
  </xdr:twoCellAnchor>
  <xdr:twoCellAnchor>
    <xdr:from>
      <xdr:col>5</xdr:col>
      <xdr:colOff>0</xdr:colOff>
      <xdr:row>197</xdr:row>
      <xdr:rowOff>296333</xdr:rowOff>
    </xdr:from>
    <xdr:to>
      <xdr:col>5</xdr:col>
      <xdr:colOff>275167</xdr:colOff>
      <xdr:row>198</xdr:row>
      <xdr:rowOff>173566</xdr:rowOff>
    </xdr:to>
    <xdr:sp macro="[0]!TextBox108_Click" textlink="">
      <xdr:nvSpPr>
        <xdr:cNvPr id="109" name="TextBox 108">
          <a:extLst>
            <a:ext uri="{FF2B5EF4-FFF2-40B4-BE49-F238E27FC236}">
              <a16:creationId xmlns:a16="http://schemas.microsoft.com/office/drawing/2014/main" id="{00000000-0008-0000-0000-00006D000000}"/>
            </a:ext>
          </a:extLst>
        </xdr:cNvPr>
        <xdr:cNvSpPr txBox="1"/>
      </xdr:nvSpPr>
      <xdr:spPr>
        <a:xfrm>
          <a:off x="600075" y="16422158"/>
          <a:ext cx="275167" cy="1915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10583</xdr:colOff>
      <xdr:row>198</xdr:row>
      <xdr:rowOff>172508</xdr:rowOff>
    </xdr:from>
    <xdr:to>
      <xdr:col>5</xdr:col>
      <xdr:colOff>285750</xdr:colOff>
      <xdr:row>199</xdr:row>
      <xdr:rowOff>164041</xdr:rowOff>
    </xdr:to>
    <xdr:sp macro="[0]!TextBox109_Click" textlink="">
      <xdr:nvSpPr>
        <xdr:cNvPr id="110" name="TextBox 109" hidden="1">
          <a:extLst>
            <a:ext uri="{FF2B5EF4-FFF2-40B4-BE49-F238E27FC236}">
              <a16:creationId xmlns:a16="http://schemas.microsoft.com/office/drawing/2014/main" id="{00000000-0008-0000-0000-00006E000000}"/>
            </a:ext>
          </a:extLst>
        </xdr:cNvPr>
        <xdr:cNvSpPr txBox="1"/>
      </xdr:nvSpPr>
      <xdr:spPr>
        <a:xfrm>
          <a:off x="610658" y="16612658"/>
          <a:ext cx="275167" cy="1915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419100</xdr:colOff>
      <xdr:row>200</xdr:row>
      <xdr:rowOff>3175</xdr:rowOff>
    </xdr:from>
    <xdr:to>
      <xdr:col>5</xdr:col>
      <xdr:colOff>265642</xdr:colOff>
      <xdr:row>200</xdr:row>
      <xdr:rowOff>171450</xdr:rowOff>
    </xdr:to>
    <xdr:sp macro="[0]!TextBox110_Click" textlink="">
      <xdr:nvSpPr>
        <xdr:cNvPr id="111" name="TextBox 110" hidden="1">
          <a:extLst>
            <a:ext uri="{FF2B5EF4-FFF2-40B4-BE49-F238E27FC236}">
              <a16:creationId xmlns:a16="http://schemas.microsoft.com/office/drawing/2014/main" id="{00000000-0008-0000-0000-00006F000000}"/>
            </a:ext>
          </a:extLst>
        </xdr:cNvPr>
        <xdr:cNvSpPr txBox="1"/>
      </xdr:nvSpPr>
      <xdr:spPr>
        <a:xfrm>
          <a:off x="590550" y="16843375"/>
          <a:ext cx="275167" cy="168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10582</xdr:colOff>
      <xdr:row>201</xdr:row>
      <xdr:rowOff>13758</xdr:rowOff>
    </xdr:from>
    <xdr:to>
      <xdr:col>5</xdr:col>
      <xdr:colOff>285749</xdr:colOff>
      <xdr:row>201</xdr:row>
      <xdr:rowOff>171450</xdr:rowOff>
    </xdr:to>
    <xdr:sp macro="[0]!TextBox111_Click" textlink="">
      <xdr:nvSpPr>
        <xdr:cNvPr id="112" name="TextBox 111" hidden="1">
          <a:extLst>
            <a:ext uri="{FF2B5EF4-FFF2-40B4-BE49-F238E27FC236}">
              <a16:creationId xmlns:a16="http://schemas.microsoft.com/office/drawing/2014/main" id="{00000000-0008-0000-0000-000070000000}"/>
            </a:ext>
          </a:extLst>
        </xdr:cNvPr>
        <xdr:cNvSpPr txBox="1"/>
      </xdr:nvSpPr>
      <xdr:spPr>
        <a:xfrm>
          <a:off x="610657" y="17053983"/>
          <a:ext cx="275167" cy="1576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0</xdr:colOff>
      <xdr:row>201</xdr:row>
      <xdr:rowOff>195791</xdr:rowOff>
    </xdr:from>
    <xdr:to>
      <xdr:col>5</xdr:col>
      <xdr:colOff>275167</xdr:colOff>
      <xdr:row>202</xdr:row>
      <xdr:rowOff>142875</xdr:rowOff>
    </xdr:to>
    <xdr:sp macro="[0]!TextBox112_Click" textlink="">
      <xdr:nvSpPr>
        <xdr:cNvPr id="113" name="TextBox 112" hidden="1">
          <a:extLst>
            <a:ext uri="{FF2B5EF4-FFF2-40B4-BE49-F238E27FC236}">
              <a16:creationId xmlns:a16="http://schemas.microsoft.com/office/drawing/2014/main" id="{00000000-0008-0000-0000-000071000000}"/>
            </a:ext>
          </a:extLst>
        </xdr:cNvPr>
        <xdr:cNvSpPr txBox="1"/>
      </xdr:nvSpPr>
      <xdr:spPr>
        <a:xfrm>
          <a:off x="600075" y="17236016"/>
          <a:ext cx="275167" cy="1471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168274</xdr:colOff>
      <xdr:row>202</xdr:row>
      <xdr:rowOff>182034</xdr:rowOff>
    </xdr:from>
    <xdr:to>
      <xdr:col>5</xdr:col>
      <xdr:colOff>5291</xdr:colOff>
      <xdr:row>203</xdr:row>
      <xdr:rowOff>173567</xdr:rowOff>
    </xdr:to>
    <xdr:sp macro="[0]!TextBox113_Click" textlink="">
      <xdr:nvSpPr>
        <xdr:cNvPr id="114" name="TextBox 113">
          <a:extLst>
            <a:ext uri="{FF2B5EF4-FFF2-40B4-BE49-F238E27FC236}">
              <a16:creationId xmlns:a16="http://schemas.microsoft.com/office/drawing/2014/main" id="{00000000-0008-0000-0000-000072000000}"/>
            </a:ext>
          </a:extLst>
        </xdr:cNvPr>
        <xdr:cNvSpPr txBox="1"/>
      </xdr:nvSpPr>
      <xdr:spPr>
        <a:xfrm>
          <a:off x="339724" y="17422284"/>
          <a:ext cx="265642" cy="1915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168275</xdr:colOff>
      <xdr:row>201</xdr:row>
      <xdr:rowOff>174625</xdr:rowOff>
    </xdr:from>
    <xdr:to>
      <xdr:col>5</xdr:col>
      <xdr:colOff>9525</xdr:colOff>
      <xdr:row>202</xdr:row>
      <xdr:rowOff>142875</xdr:rowOff>
    </xdr:to>
    <xdr:sp macro="[0]!TextBox114_Click" textlink="">
      <xdr:nvSpPr>
        <xdr:cNvPr id="115" name="TextBox 114" hidden="1">
          <a:extLst>
            <a:ext uri="{FF2B5EF4-FFF2-40B4-BE49-F238E27FC236}">
              <a16:creationId xmlns:a16="http://schemas.microsoft.com/office/drawing/2014/main" id="{00000000-0008-0000-0000-000073000000}"/>
            </a:ext>
          </a:extLst>
        </xdr:cNvPr>
        <xdr:cNvSpPr txBox="1"/>
      </xdr:nvSpPr>
      <xdr:spPr>
        <a:xfrm>
          <a:off x="339725" y="17214850"/>
          <a:ext cx="269875" cy="168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148167</xdr:colOff>
      <xdr:row>201</xdr:row>
      <xdr:rowOff>3174</xdr:rowOff>
    </xdr:from>
    <xdr:to>
      <xdr:col>4</xdr:col>
      <xdr:colOff>423334</xdr:colOff>
      <xdr:row>201</xdr:row>
      <xdr:rowOff>171450</xdr:rowOff>
    </xdr:to>
    <xdr:sp macro="[0]!TextBox115_Click" textlink="">
      <xdr:nvSpPr>
        <xdr:cNvPr id="116" name="TextBox 115" hidden="1">
          <a:extLst>
            <a:ext uri="{FF2B5EF4-FFF2-40B4-BE49-F238E27FC236}">
              <a16:creationId xmlns:a16="http://schemas.microsoft.com/office/drawing/2014/main" id="{00000000-0008-0000-0000-000074000000}"/>
            </a:ext>
          </a:extLst>
        </xdr:cNvPr>
        <xdr:cNvSpPr txBox="1"/>
      </xdr:nvSpPr>
      <xdr:spPr>
        <a:xfrm>
          <a:off x="319617" y="17043399"/>
          <a:ext cx="275167" cy="168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148166</xdr:colOff>
      <xdr:row>200</xdr:row>
      <xdr:rowOff>4233</xdr:rowOff>
    </xdr:from>
    <xdr:to>
      <xdr:col>4</xdr:col>
      <xdr:colOff>423333</xdr:colOff>
      <xdr:row>200</xdr:row>
      <xdr:rowOff>161925</xdr:rowOff>
    </xdr:to>
    <xdr:sp macro="[0]!TextBox116_Click" textlink="">
      <xdr:nvSpPr>
        <xdr:cNvPr id="117" name="TextBox 116" hidden="1">
          <a:extLst>
            <a:ext uri="{FF2B5EF4-FFF2-40B4-BE49-F238E27FC236}">
              <a16:creationId xmlns:a16="http://schemas.microsoft.com/office/drawing/2014/main" id="{00000000-0008-0000-0000-000075000000}"/>
            </a:ext>
          </a:extLst>
        </xdr:cNvPr>
        <xdr:cNvSpPr txBox="1"/>
      </xdr:nvSpPr>
      <xdr:spPr>
        <a:xfrm>
          <a:off x="319616" y="16844433"/>
          <a:ext cx="275167" cy="1576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158750</xdr:colOff>
      <xdr:row>198</xdr:row>
      <xdr:rowOff>183092</xdr:rowOff>
    </xdr:from>
    <xdr:to>
      <xdr:col>5</xdr:col>
      <xdr:colOff>0</xdr:colOff>
      <xdr:row>199</xdr:row>
      <xdr:rowOff>161925</xdr:rowOff>
    </xdr:to>
    <xdr:sp macro="[0]!TextBox117_Click" textlink="">
      <xdr:nvSpPr>
        <xdr:cNvPr id="118" name="TextBox 117" hidden="1">
          <a:extLst>
            <a:ext uri="{FF2B5EF4-FFF2-40B4-BE49-F238E27FC236}">
              <a16:creationId xmlns:a16="http://schemas.microsoft.com/office/drawing/2014/main" id="{00000000-0008-0000-0000-000076000000}"/>
            </a:ext>
          </a:extLst>
        </xdr:cNvPr>
        <xdr:cNvSpPr txBox="1"/>
      </xdr:nvSpPr>
      <xdr:spPr>
        <a:xfrm>
          <a:off x="330200" y="16623242"/>
          <a:ext cx="269875" cy="1788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12</xdr:col>
      <xdr:colOff>941918</xdr:colOff>
      <xdr:row>8</xdr:row>
      <xdr:rowOff>116415</xdr:rowOff>
    </xdr:from>
    <xdr:to>
      <xdr:col>15</xdr:col>
      <xdr:colOff>317501</xdr:colOff>
      <xdr:row>9</xdr:row>
      <xdr:rowOff>137583</xdr:rowOff>
    </xdr:to>
    <xdr:sp macro="[0]!LivestockForageBalance_TextBox66_Click" textlink="">
      <xdr:nvSpPr>
        <xdr:cNvPr id="67" name="TextBox 66">
          <a:extLst>
            <a:ext uri="{FF2B5EF4-FFF2-40B4-BE49-F238E27FC236}">
              <a16:creationId xmlns:a16="http://schemas.microsoft.com/office/drawing/2014/main" id="{00000000-0008-0000-0000-000043000000}"/>
            </a:ext>
          </a:extLst>
        </xdr:cNvPr>
        <xdr:cNvSpPr txBox="1"/>
      </xdr:nvSpPr>
      <xdr:spPr>
        <a:xfrm>
          <a:off x="8890001" y="3238498"/>
          <a:ext cx="2010833" cy="222252"/>
        </a:xfrm>
        <a:prstGeom prst="rect">
          <a:avLst/>
        </a:prstGeom>
        <a:solidFill>
          <a:schemeClr val="accent1">
            <a:lumMod val="75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solidFill>
                <a:schemeClr val="bg1"/>
              </a:solidFill>
              <a:latin typeface="Arial" pitchFamily="34" charset="0"/>
              <a:cs typeface="Arial" pitchFamily="34" charset="0"/>
            </a:rPr>
            <a:t>Dairy Options Explanation</a:t>
          </a:r>
        </a:p>
      </xdr:txBody>
    </xdr:sp>
    <xdr:clientData/>
  </xdr:twoCellAnchor>
  <xdr:twoCellAnchor>
    <xdr:from>
      <xdr:col>15</xdr:col>
      <xdr:colOff>433917</xdr:colOff>
      <xdr:row>265</xdr:row>
      <xdr:rowOff>42334</xdr:rowOff>
    </xdr:from>
    <xdr:to>
      <xdr:col>18</xdr:col>
      <xdr:colOff>381000</xdr:colOff>
      <xdr:row>267</xdr:row>
      <xdr:rowOff>0</xdr:rowOff>
    </xdr:to>
    <xdr:sp macro="[0]!TextBox71_Click" textlink="">
      <xdr:nvSpPr>
        <xdr:cNvPr id="72" name="TextBox 71">
          <a:extLst>
            <a:ext uri="{FF2B5EF4-FFF2-40B4-BE49-F238E27FC236}">
              <a16:creationId xmlns:a16="http://schemas.microsoft.com/office/drawing/2014/main" id="{00000000-0008-0000-0000-000048000000}"/>
            </a:ext>
          </a:extLst>
        </xdr:cNvPr>
        <xdr:cNvSpPr txBox="1"/>
      </xdr:nvSpPr>
      <xdr:spPr>
        <a:xfrm>
          <a:off x="10111317" y="30560434"/>
          <a:ext cx="2147358" cy="386291"/>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View Detailed</a:t>
          </a:r>
          <a:r>
            <a:rPr lang="en-US" sz="1200" baseline="0">
              <a:latin typeface="Arial" pitchFamily="34" charset="0"/>
              <a:cs typeface="Arial" pitchFamily="34" charset="0"/>
            </a:rPr>
            <a:t> Summary</a:t>
          </a:r>
          <a:endParaRPr lang="en-US" sz="1200">
            <a:latin typeface="Arial" pitchFamily="34" charset="0"/>
            <a:cs typeface="Arial" pitchFamily="34" charset="0"/>
          </a:endParaRPr>
        </a:p>
      </xdr:txBody>
    </xdr:sp>
    <xdr:clientData fLocksWithSheet="0"/>
  </xdr:twoCellAnchor>
  <mc:AlternateContent xmlns:mc="http://schemas.openxmlformats.org/markup-compatibility/2006">
    <mc:Choice xmlns:a14="http://schemas.microsoft.com/office/drawing/2010/main" Requires="a14">
      <xdr:twoCellAnchor editAs="oneCell">
        <xdr:from>
          <xdr:col>54</xdr:col>
          <xdr:colOff>466725</xdr:colOff>
          <xdr:row>0</xdr:row>
          <xdr:rowOff>257175</xdr:rowOff>
        </xdr:from>
        <xdr:to>
          <xdr:col>59</xdr:col>
          <xdr:colOff>266700</xdr:colOff>
          <xdr:row>0</xdr:row>
          <xdr:rowOff>504825</xdr:rowOff>
        </xdr:to>
        <xdr:sp macro="" textlink="">
          <xdr:nvSpPr>
            <xdr:cNvPr id="1265" name="Forage" hidden="1">
              <a:extLst>
                <a:ext uri="{63B3BB69-23CF-44E3-9099-C40C66FF867C}">
                  <a14:compatExt spid="_x0000_s1265"/>
                </a:ext>
                <a:ext uri="{FF2B5EF4-FFF2-40B4-BE49-F238E27FC236}">
                  <a16:creationId xmlns:a16="http://schemas.microsoft.com/office/drawing/2014/main" id="{00000000-0008-0000-0000-0000F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0</xdr:row>
          <xdr:rowOff>123825</xdr:rowOff>
        </xdr:from>
        <xdr:to>
          <xdr:col>3</xdr:col>
          <xdr:colOff>133350</xdr:colOff>
          <xdr:row>0</xdr:row>
          <xdr:rowOff>152400</xdr:rowOff>
        </xdr:to>
        <xdr:sp macro="" textlink="">
          <xdr:nvSpPr>
            <xdr:cNvPr id="1274" name="TempCombo" hidden="1">
              <a:extLst>
                <a:ext uri="{63B3BB69-23CF-44E3-9099-C40C66FF867C}">
                  <a14:compatExt spid="_x0000_s1274"/>
                </a:ext>
                <a:ext uri="{FF2B5EF4-FFF2-40B4-BE49-F238E27FC236}">
                  <a16:creationId xmlns:a16="http://schemas.microsoft.com/office/drawing/2014/main" id="{00000000-0008-0000-0000-0000F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7</xdr:col>
      <xdr:colOff>1799166</xdr:colOff>
      <xdr:row>186</xdr:row>
      <xdr:rowOff>31748</xdr:rowOff>
    </xdr:from>
    <xdr:to>
      <xdr:col>8</xdr:col>
      <xdr:colOff>476249</xdr:colOff>
      <xdr:row>186</xdr:row>
      <xdr:rowOff>285751</xdr:rowOff>
    </xdr:to>
    <xdr:sp macro="[0]!LivestockForageBalance_TextBox1212_2_Click" textlink="">
      <xdr:nvSpPr>
        <xdr:cNvPr id="1213" name="TextBox 1212">
          <a:extLst>
            <a:ext uri="{FF2B5EF4-FFF2-40B4-BE49-F238E27FC236}">
              <a16:creationId xmlns:a16="http://schemas.microsoft.com/office/drawing/2014/main" id="{00000000-0008-0000-0000-0000BD040000}"/>
            </a:ext>
          </a:extLst>
        </xdr:cNvPr>
        <xdr:cNvSpPr txBox="1"/>
      </xdr:nvSpPr>
      <xdr:spPr>
        <a:xfrm>
          <a:off x="3285066" y="23396573"/>
          <a:ext cx="1401233" cy="254003"/>
        </a:xfrm>
        <a:prstGeom prst="rect">
          <a:avLst/>
        </a:prstGeom>
        <a:solidFill>
          <a:schemeClr val="accent1">
            <a:lumMod val="75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solidFill>
                <a:schemeClr val="bg1"/>
              </a:solidFill>
              <a:latin typeface="Arial" pitchFamily="34" charset="0"/>
              <a:cs typeface="Arial" pitchFamily="34" charset="0"/>
            </a:rPr>
            <a:t>What is TFP?</a:t>
          </a:r>
        </a:p>
      </xdr:txBody>
    </xdr:sp>
    <xdr:clientData/>
  </xdr:twoCellAnchor>
  <xdr:twoCellAnchor>
    <xdr:from>
      <xdr:col>10</xdr:col>
      <xdr:colOff>631825</xdr:colOff>
      <xdr:row>155</xdr:row>
      <xdr:rowOff>977900</xdr:rowOff>
    </xdr:from>
    <xdr:to>
      <xdr:col>13</xdr:col>
      <xdr:colOff>581025</xdr:colOff>
      <xdr:row>155</xdr:row>
      <xdr:rowOff>1216024</xdr:rowOff>
    </xdr:to>
    <xdr:sp macro="[0]!TextBox72_Click" textlink="">
      <xdr:nvSpPr>
        <xdr:cNvPr id="73" name="TextBox 72">
          <a:extLst>
            <a:ext uri="{FF2B5EF4-FFF2-40B4-BE49-F238E27FC236}">
              <a16:creationId xmlns:a16="http://schemas.microsoft.com/office/drawing/2014/main" id="{00000000-0008-0000-0000-000049000000}"/>
            </a:ext>
          </a:extLst>
        </xdr:cNvPr>
        <xdr:cNvSpPr txBox="1"/>
      </xdr:nvSpPr>
      <xdr:spPr>
        <a:xfrm>
          <a:off x="6184900" y="21609050"/>
          <a:ext cx="2454275" cy="238124"/>
        </a:xfrm>
        <a:prstGeom prst="rect">
          <a:avLst/>
        </a:prstGeom>
        <a:solidFill>
          <a:schemeClr val="accent1">
            <a:lumMod val="75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a:solidFill>
                <a:schemeClr val="bg1"/>
              </a:solidFill>
              <a:latin typeface="Arial" pitchFamily="34" charset="0"/>
              <a:cs typeface="Arial" pitchFamily="34" charset="0"/>
            </a:rPr>
            <a:t>View Forage Growth Curves</a:t>
          </a:r>
        </a:p>
      </xdr:txBody>
    </xdr:sp>
    <xdr:clientData/>
  </xdr:twoCellAnchor>
  <xdr:twoCellAnchor>
    <xdr:from>
      <xdr:col>17</xdr:col>
      <xdr:colOff>315187</xdr:colOff>
      <xdr:row>258</xdr:row>
      <xdr:rowOff>220276</xdr:rowOff>
    </xdr:from>
    <xdr:to>
      <xdr:col>22</xdr:col>
      <xdr:colOff>214222</xdr:colOff>
      <xdr:row>260</xdr:row>
      <xdr:rowOff>65762</xdr:rowOff>
    </xdr:to>
    <xdr:sp macro="[0]!LivestockForageBalance_TextBox74_Click" textlink="">
      <xdr:nvSpPr>
        <xdr:cNvPr id="75" name="TextBox 74">
          <a:extLst>
            <a:ext uri="{FF2B5EF4-FFF2-40B4-BE49-F238E27FC236}">
              <a16:creationId xmlns:a16="http://schemas.microsoft.com/office/drawing/2014/main" id="{00000000-0008-0000-0000-00004B000000}"/>
            </a:ext>
          </a:extLst>
        </xdr:cNvPr>
        <xdr:cNvSpPr txBox="1"/>
      </xdr:nvSpPr>
      <xdr:spPr>
        <a:xfrm>
          <a:off x="11373712" y="38339326"/>
          <a:ext cx="3566160" cy="302686"/>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Alternative Pasture Graph</a:t>
          </a:r>
        </a:p>
      </xdr:txBody>
    </xdr:sp>
    <xdr:clientData/>
  </xdr:twoCellAnchor>
  <xdr:twoCellAnchor>
    <xdr:from>
      <xdr:col>17</xdr:col>
      <xdr:colOff>332648</xdr:colOff>
      <xdr:row>257</xdr:row>
      <xdr:rowOff>47626</xdr:rowOff>
    </xdr:from>
    <xdr:to>
      <xdr:col>22</xdr:col>
      <xdr:colOff>231683</xdr:colOff>
      <xdr:row>258</xdr:row>
      <xdr:rowOff>128334</xdr:rowOff>
    </xdr:to>
    <xdr:sp macro="[0]!LivestockForageBalance_TextBox1_Click" textlink="">
      <xdr:nvSpPr>
        <xdr:cNvPr id="127" name="TextBox 1">
          <a:extLst>
            <a:ext uri="{FF2B5EF4-FFF2-40B4-BE49-F238E27FC236}">
              <a16:creationId xmlns:a16="http://schemas.microsoft.com/office/drawing/2014/main" id="{00000000-0008-0000-0000-00007F000000}"/>
            </a:ext>
          </a:extLst>
        </xdr:cNvPr>
        <xdr:cNvSpPr txBox="1"/>
      </xdr:nvSpPr>
      <xdr:spPr>
        <a:xfrm>
          <a:off x="11391173" y="37938076"/>
          <a:ext cx="3566160" cy="309308"/>
        </a:xfrm>
        <a:prstGeom prst="rect">
          <a:avLst/>
        </a:prstGeom>
        <a:solidFill>
          <a:schemeClr val="bg1"/>
        </a:solidFill>
        <a:ln>
          <a:noFill/>
        </a:ln>
        <a:effectLst>
          <a:outerShdw blurRad="50800" dist="38100" dir="2700000" algn="tl" rotWithShape="0">
            <a:prstClr val="black">
              <a:alpha val="40000"/>
            </a:prstClr>
          </a:outerShdw>
        </a:effectLst>
      </xdr:spPr>
      <xdr:txBody>
        <a:bodyPr wrap="square" rtlCol="0" anchor="ct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r>
            <a:rPr lang="en-US" sz="1200">
              <a:latin typeface="Arial" pitchFamily="34" charset="0"/>
              <a:cs typeface="Arial" pitchFamily="34" charset="0"/>
            </a:rPr>
            <a:t>Print Grazing System Graph</a:t>
          </a:r>
        </a:p>
      </xdr:txBody>
    </xdr:sp>
    <xdr:clientData/>
  </xdr:twoCellAnchor>
  <xdr:twoCellAnchor>
    <xdr:from>
      <xdr:col>7</xdr:col>
      <xdr:colOff>2215885</xdr:colOff>
      <xdr:row>133</xdr:row>
      <xdr:rowOff>11092</xdr:rowOff>
    </xdr:from>
    <xdr:to>
      <xdr:col>7</xdr:col>
      <xdr:colOff>2398765</xdr:colOff>
      <xdr:row>133</xdr:row>
      <xdr:rowOff>193972</xdr:rowOff>
    </xdr:to>
    <xdr:sp macro="[0]!TextBox78_Click" textlink="">
      <xdr:nvSpPr>
        <xdr:cNvPr id="79" name="TextBox 78">
          <a:extLst>
            <a:ext uri="{FF2B5EF4-FFF2-40B4-BE49-F238E27FC236}">
              <a16:creationId xmlns:a16="http://schemas.microsoft.com/office/drawing/2014/main" id="{00000000-0008-0000-0000-00004F000000}"/>
            </a:ext>
          </a:extLst>
        </xdr:cNvPr>
        <xdr:cNvSpPr txBox="1"/>
      </xdr:nvSpPr>
      <xdr:spPr>
        <a:xfrm>
          <a:off x="3871770" y="15910515"/>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2527688</xdr:colOff>
      <xdr:row>133</xdr:row>
      <xdr:rowOff>15721</xdr:rowOff>
    </xdr:from>
    <xdr:to>
      <xdr:col>7</xdr:col>
      <xdr:colOff>2710568</xdr:colOff>
      <xdr:row>134</xdr:row>
      <xdr:rowOff>774</xdr:rowOff>
    </xdr:to>
    <xdr:sp macro="[0]!LivestockForageBalance_TextBox80_Click" textlink="">
      <xdr:nvSpPr>
        <xdr:cNvPr id="81" name="TextBox 80">
          <a:extLst>
            <a:ext uri="{FF2B5EF4-FFF2-40B4-BE49-F238E27FC236}">
              <a16:creationId xmlns:a16="http://schemas.microsoft.com/office/drawing/2014/main" id="{00000000-0008-0000-0000-000051000000}"/>
            </a:ext>
          </a:extLst>
        </xdr:cNvPr>
        <xdr:cNvSpPr txBox="1"/>
      </xdr:nvSpPr>
      <xdr:spPr>
        <a:xfrm>
          <a:off x="4183573" y="15915144"/>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2221890</xdr:colOff>
      <xdr:row>135</xdr:row>
      <xdr:rowOff>11091</xdr:rowOff>
    </xdr:from>
    <xdr:to>
      <xdr:col>7</xdr:col>
      <xdr:colOff>2404770</xdr:colOff>
      <xdr:row>135</xdr:row>
      <xdr:rowOff>193971</xdr:rowOff>
    </xdr:to>
    <xdr:sp macro="[0]!LivestockForageBalance_TextBox86_Click" textlink="">
      <xdr:nvSpPr>
        <xdr:cNvPr id="87" name="TextBox 86">
          <a:extLst>
            <a:ext uri="{FF2B5EF4-FFF2-40B4-BE49-F238E27FC236}">
              <a16:creationId xmlns:a16="http://schemas.microsoft.com/office/drawing/2014/main" id="{00000000-0008-0000-0000-000057000000}"/>
            </a:ext>
          </a:extLst>
        </xdr:cNvPr>
        <xdr:cNvSpPr txBox="1"/>
      </xdr:nvSpPr>
      <xdr:spPr>
        <a:xfrm>
          <a:off x="3877775" y="16306168"/>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p>
      </xdr:txBody>
    </xdr:sp>
    <xdr:clientData/>
  </xdr:twoCellAnchor>
  <xdr:twoCellAnchor>
    <xdr:from>
      <xdr:col>7</xdr:col>
      <xdr:colOff>2527686</xdr:colOff>
      <xdr:row>135</xdr:row>
      <xdr:rowOff>9717</xdr:rowOff>
    </xdr:from>
    <xdr:to>
      <xdr:col>7</xdr:col>
      <xdr:colOff>2710566</xdr:colOff>
      <xdr:row>135</xdr:row>
      <xdr:rowOff>192597</xdr:rowOff>
    </xdr:to>
    <xdr:sp macro="[0]!LivestockForageBalance_TextBox92_Click" textlink="">
      <xdr:nvSpPr>
        <xdr:cNvPr id="93" name="TextBox 92">
          <a:extLst>
            <a:ext uri="{FF2B5EF4-FFF2-40B4-BE49-F238E27FC236}">
              <a16:creationId xmlns:a16="http://schemas.microsoft.com/office/drawing/2014/main" id="{00000000-0008-0000-0000-00005D000000}"/>
            </a:ext>
          </a:extLst>
        </xdr:cNvPr>
        <xdr:cNvSpPr txBox="1"/>
      </xdr:nvSpPr>
      <xdr:spPr>
        <a:xfrm>
          <a:off x="4183571" y="16304794"/>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2220567</xdr:colOff>
      <xdr:row>137</xdr:row>
      <xdr:rowOff>11092</xdr:rowOff>
    </xdr:from>
    <xdr:to>
      <xdr:col>7</xdr:col>
      <xdr:colOff>2403447</xdr:colOff>
      <xdr:row>137</xdr:row>
      <xdr:rowOff>193972</xdr:rowOff>
    </xdr:to>
    <xdr:sp macro="[0]!TextBox94_Click" textlink="">
      <xdr:nvSpPr>
        <xdr:cNvPr id="95" name="TextBox 94">
          <a:extLst>
            <a:ext uri="{FF2B5EF4-FFF2-40B4-BE49-F238E27FC236}">
              <a16:creationId xmlns:a16="http://schemas.microsoft.com/office/drawing/2014/main" id="{00000000-0008-0000-0000-00005F000000}"/>
            </a:ext>
          </a:extLst>
        </xdr:cNvPr>
        <xdr:cNvSpPr txBox="1"/>
      </xdr:nvSpPr>
      <xdr:spPr>
        <a:xfrm>
          <a:off x="3876452" y="16701823"/>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2535015</xdr:colOff>
      <xdr:row>137</xdr:row>
      <xdr:rowOff>5088</xdr:rowOff>
    </xdr:from>
    <xdr:to>
      <xdr:col>7</xdr:col>
      <xdr:colOff>2717895</xdr:colOff>
      <xdr:row>137</xdr:row>
      <xdr:rowOff>187968</xdr:rowOff>
    </xdr:to>
    <xdr:sp macro="[0]!TextBox1225_Click" textlink="">
      <xdr:nvSpPr>
        <xdr:cNvPr id="1226" name="TextBox 1225">
          <a:extLst>
            <a:ext uri="{FF2B5EF4-FFF2-40B4-BE49-F238E27FC236}">
              <a16:creationId xmlns:a16="http://schemas.microsoft.com/office/drawing/2014/main" id="{00000000-0008-0000-0000-0000CA040000}"/>
            </a:ext>
          </a:extLst>
        </xdr:cNvPr>
        <xdr:cNvSpPr txBox="1"/>
      </xdr:nvSpPr>
      <xdr:spPr>
        <a:xfrm>
          <a:off x="4190900" y="16695819"/>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2211255</xdr:colOff>
      <xdr:row>139</xdr:row>
      <xdr:rowOff>8448</xdr:rowOff>
    </xdr:from>
    <xdr:to>
      <xdr:col>7</xdr:col>
      <xdr:colOff>2394135</xdr:colOff>
      <xdr:row>139</xdr:row>
      <xdr:rowOff>191328</xdr:rowOff>
    </xdr:to>
    <xdr:sp macro="[0]!TextBox1226_Click" textlink="">
      <xdr:nvSpPr>
        <xdr:cNvPr id="1227" name="TextBox 1226">
          <a:extLst>
            <a:ext uri="{FF2B5EF4-FFF2-40B4-BE49-F238E27FC236}">
              <a16:creationId xmlns:a16="http://schemas.microsoft.com/office/drawing/2014/main" id="{00000000-0008-0000-0000-0000CB040000}"/>
            </a:ext>
          </a:extLst>
        </xdr:cNvPr>
        <xdr:cNvSpPr txBox="1"/>
      </xdr:nvSpPr>
      <xdr:spPr>
        <a:xfrm>
          <a:off x="3867140" y="17094833"/>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2524329</xdr:colOff>
      <xdr:row>139</xdr:row>
      <xdr:rowOff>6464</xdr:rowOff>
    </xdr:from>
    <xdr:to>
      <xdr:col>7</xdr:col>
      <xdr:colOff>2707209</xdr:colOff>
      <xdr:row>139</xdr:row>
      <xdr:rowOff>189344</xdr:rowOff>
    </xdr:to>
    <xdr:sp macro="[0]!TextBox1227_Click" textlink="">
      <xdr:nvSpPr>
        <xdr:cNvPr id="1228" name="TextBox 1227">
          <a:extLst>
            <a:ext uri="{FF2B5EF4-FFF2-40B4-BE49-F238E27FC236}">
              <a16:creationId xmlns:a16="http://schemas.microsoft.com/office/drawing/2014/main" id="{00000000-0008-0000-0000-0000CC040000}"/>
            </a:ext>
          </a:extLst>
        </xdr:cNvPr>
        <xdr:cNvSpPr txBox="1"/>
      </xdr:nvSpPr>
      <xdr:spPr>
        <a:xfrm>
          <a:off x="4180214" y="17092849"/>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2221889</xdr:colOff>
      <xdr:row>141</xdr:row>
      <xdr:rowOff>3764</xdr:rowOff>
    </xdr:from>
    <xdr:to>
      <xdr:col>7</xdr:col>
      <xdr:colOff>2404769</xdr:colOff>
      <xdr:row>141</xdr:row>
      <xdr:rowOff>186644</xdr:rowOff>
    </xdr:to>
    <xdr:sp macro="[0]!TextBox1228_Click" textlink="">
      <xdr:nvSpPr>
        <xdr:cNvPr id="1229" name="TextBox 1228">
          <a:extLst>
            <a:ext uri="{FF2B5EF4-FFF2-40B4-BE49-F238E27FC236}">
              <a16:creationId xmlns:a16="http://schemas.microsoft.com/office/drawing/2014/main" id="{00000000-0008-0000-0000-0000CD040000}"/>
            </a:ext>
          </a:extLst>
        </xdr:cNvPr>
        <xdr:cNvSpPr txBox="1"/>
      </xdr:nvSpPr>
      <xdr:spPr>
        <a:xfrm>
          <a:off x="3877774" y="17485802"/>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2530383</xdr:colOff>
      <xdr:row>141</xdr:row>
      <xdr:rowOff>11093</xdr:rowOff>
    </xdr:from>
    <xdr:to>
      <xdr:col>7</xdr:col>
      <xdr:colOff>2713263</xdr:colOff>
      <xdr:row>141</xdr:row>
      <xdr:rowOff>193973</xdr:rowOff>
    </xdr:to>
    <xdr:sp macro="[0]!TextBox1229_Click" textlink="">
      <xdr:nvSpPr>
        <xdr:cNvPr id="1230" name="TextBox 1229">
          <a:extLst>
            <a:ext uri="{FF2B5EF4-FFF2-40B4-BE49-F238E27FC236}">
              <a16:creationId xmlns:a16="http://schemas.microsoft.com/office/drawing/2014/main" id="{00000000-0008-0000-0000-0000CE040000}"/>
            </a:ext>
          </a:extLst>
        </xdr:cNvPr>
        <xdr:cNvSpPr txBox="1"/>
      </xdr:nvSpPr>
      <xdr:spPr>
        <a:xfrm>
          <a:off x="4186268" y="17493131"/>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2223213</xdr:colOff>
      <xdr:row>143</xdr:row>
      <xdr:rowOff>11041</xdr:rowOff>
    </xdr:from>
    <xdr:to>
      <xdr:col>7</xdr:col>
      <xdr:colOff>2406093</xdr:colOff>
      <xdr:row>143</xdr:row>
      <xdr:rowOff>193921</xdr:rowOff>
    </xdr:to>
    <xdr:sp macro="[0]!TextBox1230_Click" textlink="">
      <xdr:nvSpPr>
        <xdr:cNvPr id="1231" name="TextBox 1230">
          <a:extLst>
            <a:ext uri="{FF2B5EF4-FFF2-40B4-BE49-F238E27FC236}">
              <a16:creationId xmlns:a16="http://schemas.microsoft.com/office/drawing/2014/main" id="{00000000-0008-0000-0000-0000CF040000}"/>
            </a:ext>
          </a:extLst>
        </xdr:cNvPr>
        <xdr:cNvSpPr txBox="1"/>
      </xdr:nvSpPr>
      <xdr:spPr>
        <a:xfrm>
          <a:off x="3879098" y="17888733"/>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2525754</xdr:colOff>
      <xdr:row>143</xdr:row>
      <xdr:rowOff>5088</xdr:rowOff>
    </xdr:from>
    <xdr:to>
      <xdr:col>7</xdr:col>
      <xdr:colOff>2708634</xdr:colOff>
      <xdr:row>143</xdr:row>
      <xdr:rowOff>187968</xdr:rowOff>
    </xdr:to>
    <xdr:sp macro="[0]!TextBox1231_Click" textlink="">
      <xdr:nvSpPr>
        <xdr:cNvPr id="1232" name="TextBox 1231">
          <a:extLst>
            <a:ext uri="{FF2B5EF4-FFF2-40B4-BE49-F238E27FC236}">
              <a16:creationId xmlns:a16="http://schemas.microsoft.com/office/drawing/2014/main" id="{00000000-0008-0000-0000-0000D0040000}"/>
            </a:ext>
          </a:extLst>
        </xdr:cNvPr>
        <xdr:cNvSpPr txBox="1"/>
      </xdr:nvSpPr>
      <xdr:spPr>
        <a:xfrm>
          <a:off x="4181639" y="17882780"/>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2216546</xdr:colOff>
      <xdr:row>145</xdr:row>
      <xdr:rowOff>7022</xdr:rowOff>
    </xdr:from>
    <xdr:to>
      <xdr:col>7</xdr:col>
      <xdr:colOff>2399426</xdr:colOff>
      <xdr:row>145</xdr:row>
      <xdr:rowOff>189902</xdr:rowOff>
    </xdr:to>
    <xdr:sp macro="[0]!TextBox1232_Click" textlink="">
      <xdr:nvSpPr>
        <xdr:cNvPr id="1233" name="TextBox 1232">
          <a:extLst>
            <a:ext uri="{FF2B5EF4-FFF2-40B4-BE49-F238E27FC236}">
              <a16:creationId xmlns:a16="http://schemas.microsoft.com/office/drawing/2014/main" id="{00000000-0008-0000-0000-0000D1040000}"/>
            </a:ext>
          </a:extLst>
        </xdr:cNvPr>
        <xdr:cNvSpPr txBox="1"/>
      </xdr:nvSpPr>
      <xdr:spPr>
        <a:xfrm>
          <a:off x="3872431" y="18280368"/>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2526414</xdr:colOff>
      <xdr:row>145</xdr:row>
      <xdr:rowOff>5089</xdr:rowOff>
    </xdr:from>
    <xdr:to>
      <xdr:col>7</xdr:col>
      <xdr:colOff>2709294</xdr:colOff>
      <xdr:row>145</xdr:row>
      <xdr:rowOff>187969</xdr:rowOff>
    </xdr:to>
    <xdr:sp macro="[0]!TextBox1233_Click" textlink="">
      <xdr:nvSpPr>
        <xdr:cNvPr id="1234" name="TextBox 1233">
          <a:extLst>
            <a:ext uri="{FF2B5EF4-FFF2-40B4-BE49-F238E27FC236}">
              <a16:creationId xmlns:a16="http://schemas.microsoft.com/office/drawing/2014/main" id="{00000000-0008-0000-0000-0000D2040000}"/>
            </a:ext>
          </a:extLst>
        </xdr:cNvPr>
        <xdr:cNvSpPr txBox="1"/>
      </xdr:nvSpPr>
      <xdr:spPr>
        <a:xfrm>
          <a:off x="4182299" y="18278435"/>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2216546</xdr:colOff>
      <xdr:row>147</xdr:row>
      <xdr:rowOff>8395</xdr:rowOff>
    </xdr:from>
    <xdr:to>
      <xdr:col>7</xdr:col>
      <xdr:colOff>2399426</xdr:colOff>
      <xdr:row>147</xdr:row>
      <xdr:rowOff>191275</xdr:rowOff>
    </xdr:to>
    <xdr:sp macro="[0]!TextBox1234_Click" textlink="">
      <xdr:nvSpPr>
        <xdr:cNvPr id="1235" name="TextBox 1234">
          <a:extLst>
            <a:ext uri="{FF2B5EF4-FFF2-40B4-BE49-F238E27FC236}">
              <a16:creationId xmlns:a16="http://schemas.microsoft.com/office/drawing/2014/main" id="{00000000-0008-0000-0000-0000D3040000}"/>
            </a:ext>
          </a:extLst>
        </xdr:cNvPr>
        <xdr:cNvSpPr txBox="1"/>
      </xdr:nvSpPr>
      <xdr:spPr>
        <a:xfrm>
          <a:off x="3872431" y="18677395"/>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2517714</xdr:colOff>
      <xdr:row>147</xdr:row>
      <xdr:rowOff>8395</xdr:rowOff>
    </xdr:from>
    <xdr:to>
      <xdr:col>7</xdr:col>
      <xdr:colOff>2700594</xdr:colOff>
      <xdr:row>147</xdr:row>
      <xdr:rowOff>191275</xdr:rowOff>
    </xdr:to>
    <xdr:sp macro="[0]!TextBox1246_Click" textlink="">
      <xdr:nvSpPr>
        <xdr:cNvPr id="1247" name="TextBox 1246">
          <a:extLst>
            <a:ext uri="{FF2B5EF4-FFF2-40B4-BE49-F238E27FC236}">
              <a16:creationId xmlns:a16="http://schemas.microsoft.com/office/drawing/2014/main" id="{00000000-0008-0000-0000-0000DF040000}"/>
            </a:ext>
          </a:extLst>
        </xdr:cNvPr>
        <xdr:cNvSpPr txBox="1"/>
      </xdr:nvSpPr>
      <xdr:spPr>
        <a:xfrm>
          <a:off x="4173599" y="18677395"/>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2209881</xdr:colOff>
      <xdr:row>149</xdr:row>
      <xdr:rowOff>7022</xdr:rowOff>
    </xdr:from>
    <xdr:to>
      <xdr:col>7</xdr:col>
      <xdr:colOff>2392761</xdr:colOff>
      <xdr:row>149</xdr:row>
      <xdr:rowOff>189902</xdr:rowOff>
    </xdr:to>
    <xdr:sp macro="[0]!TextBox95_Click" textlink="">
      <xdr:nvSpPr>
        <xdr:cNvPr id="96" name="TextBox 95">
          <a:extLst>
            <a:ext uri="{FF2B5EF4-FFF2-40B4-BE49-F238E27FC236}">
              <a16:creationId xmlns:a16="http://schemas.microsoft.com/office/drawing/2014/main" id="{00000000-0008-0000-0000-000060000000}"/>
            </a:ext>
          </a:extLst>
        </xdr:cNvPr>
        <xdr:cNvSpPr txBox="1"/>
      </xdr:nvSpPr>
      <xdr:spPr>
        <a:xfrm>
          <a:off x="3865766" y="19071676"/>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2519750</xdr:colOff>
      <xdr:row>149</xdr:row>
      <xdr:rowOff>9718</xdr:rowOff>
    </xdr:from>
    <xdr:to>
      <xdr:col>7</xdr:col>
      <xdr:colOff>2702630</xdr:colOff>
      <xdr:row>149</xdr:row>
      <xdr:rowOff>192598</xdr:rowOff>
    </xdr:to>
    <xdr:sp macro="[0]!TextBox96_Click" textlink="">
      <xdr:nvSpPr>
        <xdr:cNvPr id="97" name="TextBox 96">
          <a:extLst>
            <a:ext uri="{FF2B5EF4-FFF2-40B4-BE49-F238E27FC236}">
              <a16:creationId xmlns:a16="http://schemas.microsoft.com/office/drawing/2014/main" id="{00000000-0008-0000-0000-000061000000}"/>
            </a:ext>
          </a:extLst>
        </xdr:cNvPr>
        <xdr:cNvSpPr txBox="1"/>
      </xdr:nvSpPr>
      <xdr:spPr>
        <a:xfrm>
          <a:off x="4175635" y="19074372"/>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5</xdr:col>
      <xdr:colOff>31750</xdr:colOff>
      <xdr:row>130</xdr:row>
      <xdr:rowOff>135467</xdr:rowOff>
    </xdr:from>
    <xdr:to>
      <xdr:col>5</xdr:col>
      <xdr:colOff>260350</xdr:colOff>
      <xdr:row>131</xdr:row>
      <xdr:rowOff>114300</xdr:rowOff>
    </xdr:to>
    <xdr:sp macro="[0]!TextBox97_Click" textlink="">
      <xdr:nvSpPr>
        <xdr:cNvPr id="98" name="TextBox 97">
          <a:extLst>
            <a:ext uri="{FF2B5EF4-FFF2-40B4-BE49-F238E27FC236}">
              <a16:creationId xmlns:a16="http://schemas.microsoft.com/office/drawing/2014/main" id="{00000000-0008-0000-0000-000062000000}"/>
            </a:ext>
          </a:extLst>
        </xdr:cNvPr>
        <xdr:cNvSpPr txBox="1"/>
      </xdr:nvSpPr>
      <xdr:spPr>
        <a:xfrm>
          <a:off x="631825" y="14622992"/>
          <a:ext cx="228600" cy="1788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b="0">
              <a:latin typeface="Arial Black" pitchFamily="34" charset="0"/>
              <a:cs typeface="Arial" pitchFamily="34" charset="0"/>
            </a:rPr>
            <a:t>+</a:t>
          </a:r>
          <a:endParaRPr lang="en-US" sz="1100" b="0">
            <a:latin typeface="Arial Black" pitchFamily="34" charset="0"/>
            <a:cs typeface="Arial" pitchFamily="34" charset="0"/>
          </a:endParaRPr>
        </a:p>
      </xdr:txBody>
    </xdr:sp>
    <xdr:clientData/>
  </xdr:twoCellAnchor>
  <xdr:twoCellAnchor>
    <xdr:from>
      <xdr:col>5</xdr:col>
      <xdr:colOff>31750</xdr:colOff>
      <xdr:row>132</xdr:row>
      <xdr:rowOff>82549</xdr:rowOff>
    </xdr:from>
    <xdr:to>
      <xdr:col>5</xdr:col>
      <xdr:colOff>260350</xdr:colOff>
      <xdr:row>133</xdr:row>
      <xdr:rowOff>94657</xdr:rowOff>
    </xdr:to>
    <xdr:sp macro="[0]!TextBox98_Click" textlink="">
      <xdr:nvSpPr>
        <xdr:cNvPr id="99" name="TextBox 98">
          <a:extLst>
            <a:ext uri="{FF2B5EF4-FFF2-40B4-BE49-F238E27FC236}">
              <a16:creationId xmlns:a16="http://schemas.microsoft.com/office/drawing/2014/main" id="{00000000-0008-0000-0000-000063000000}"/>
            </a:ext>
          </a:extLst>
        </xdr:cNvPr>
        <xdr:cNvSpPr txBox="1"/>
      </xdr:nvSpPr>
      <xdr:spPr>
        <a:xfrm>
          <a:off x="631825" y="14970124"/>
          <a:ext cx="228600" cy="2121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222250</xdr:colOff>
      <xdr:row>132</xdr:row>
      <xdr:rowOff>91017</xdr:rowOff>
    </xdr:from>
    <xdr:to>
      <xdr:col>5</xdr:col>
      <xdr:colOff>16933</xdr:colOff>
      <xdr:row>133</xdr:row>
      <xdr:rowOff>103125</xdr:rowOff>
    </xdr:to>
    <xdr:sp macro="[0]!TextBox99_Click" textlink="">
      <xdr:nvSpPr>
        <xdr:cNvPr id="100" name="TextBox 99">
          <a:extLst>
            <a:ext uri="{FF2B5EF4-FFF2-40B4-BE49-F238E27FC236}">
              <a16:creationId xmlns:a16="http://schemas.microsoft.com/office/drawing/2014/main" id="{00000000-0008-0000-0000-000064000000}"/>
            </a:ext>
          </a:extLst>
        </xdr:cNvPr>
        <xdr:cNvSpPr txBox="1"/>
      </xdr:nvSpPr>
      <xdr:spPr>
        <a:xfrm>
          <a:off x="393700" y="14978592"/>
          <a:ext cx="223308" cy="2121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5</xdr:col>
      <xdr:colOff>31750</xdr:colOff>
      <xdr:row>134</xdr:row>
      <xdr:rowOff>127001</xdr:rowOff>
    </xdr:from>
    <xdr:to>
      <xdr:col>5</xdr:col>
      <xdr:colOff>260350</xdr:colOff>
      <xdr:row>135</xdr:row>
      <xdr:rowOff>139108</xdr:rowOff>
    </xdr:to>
    <xdr:sp macro="[0]!TextBox100_Click" textlink="">
      <xdr:nvSpPr>
        <xdr:cNvPr id="101" name="TextBox 100">
          <a:extLst>
            <a:ext uri="{FF2B5EF4-FFF2-40B4-BE49-F238E27FC236}">
              <a16:creationId xmlns:a16="http://schemas.microsoft.com/office/drawing/2014/main" id="{00000000-0008-0000-0000-000065000000}"/>
            </a:ext>
          </a:extLst>
        </xdr:cNvPr>
        <xdr:cNvSpPr txBox="1"/>
      </xdr:nvSpPr>
      <xdr:spPr>
        <a:xfrm>
          <a:off x="635000" y="15462251"/>
          <a:ext cx="228600" cy="192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231776</xdr:colOff>
      <xdr:row>134</xdr:row>
      <xdr:rowOff>124884</xdr:rowOff>
    </xdr:from>
    <xdr:to>
      <xdr:col>5</xdr:col>
      <xdr:colOff>26459</xdr:colOff>
      <xdr:row>135</xdr:row>
      <xdr:rowOff>136991</xdr:rowOff>
    </xdr:to>
    <xdr:sp macro="[0]!TextBox101_Click" textlink="">
      <xdr:nvSpPr>
        <xdr:cNvPr id="102" name="TextBox 101">
          <a:extLst>
            <a:ext uri="{FF2B5EF4-FFF2-40B4-BE49-F238E27FC236}">
              <a16:creationId xmlns:a16="http://schemas.microsoft.com/office/drawing/2014/main" id="{00000000-0008-0000-0000-000066000000}"/>
            </a:ext>
          </a:extLst>
        </xdr:cNvPr>
        <xdr:cNvSpPr txBox="1"/>
      </xdr:nvSpPr>
      <xdr:spPr>
        <a:xfrm>
          <a:off x="403226" y="15412509"/>
          <a:ext cx="223308" cy="212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cs typeface="Arial" pitchFamily="34" charset="0"/>
            </a:rPr>
            <a:t>-</a:t>
          </a:r>
          <a:endParaRPr lang="en-US" sz="1100">
            <a:latin typeface="Arial Black" pitchFamily="34" charset="0"/>
            <a:cs typeface="Arial" pitchFamily="34" charset="0"/>
          </a:endParaRPr>
        </a:p>
      </xdr:txBody>
    </xdr:sp>
    <xdr:clientData/>
  </xdr:twoCellAnchor>
  <xdr:twoCellAnchor>
    <xdr:from>
      <xdr:col>5</xdr:col>
      <xdr:colOff>31751</xdr:colOff>
      <xdr:row>136</xdr:row>
      <xdr:rowOff>116417</xdr:rowOff>
    </xdr:from>
    <xdr:to>
      <xdr:col>5</xdr:col>
      <xdr:colOff>260351</xdr:colOff>
      <xdr:row>137</xdr:row>
      <xdr:rowOff>128524</xdr:rowOff>
    </xdr:to>
    <xdr:sp macro="[0]!TextBox102_Click" textlink="">
      <xdr:nvSpPr>
        <xdr:cNvPr id="103" name="TextBox 102">
          <a:extLst>
            <a:ext uri="{FF2B5EF4-FFF2-40B4-BE49-F238E27FC236}">
              <a16:creationId xmlns:a16="http://schemas.microsoft.com/office/drawing/2014/main" id="{00000000-0008-0000-0000-000067000000}"/>
            </a:ext>
          </a:extLst>
        </xdr:cNvPr>
        <xdr:cNvSpPr txBox="1"/>
      </xdr:nvSpPr>
      <xdr:spPr>
        <a:xfrm>
          <a:off x="635001" y="15811500"/>
          <a:ext cx="228600" cy="192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241300</xdr:colOff>
      <xdr:row>136</xdr:row>
      <xdr:rowOff>123826</xdr:rowOff>
    </xdr:from>
    <xdr:to>
      <xdr:col>5</xdr:col>
      <xdr:colOff>35983</xdr:colOff>
      <xdr:row>137</xdr:row>
      <xdr:rowOff>135933</xdr:rowOff>
    </xdr:to>
    <xdr:sp macro="[0]!TextBox103_Click" textlink="">
      <xdr:nvSpPr>
        <xdr:cNvPr id="104" name="TextBox 103">
          <a:extLst>
            <a:ext uri="{FF2B5EF4-FFF2-40B4-BE49-F238E27FC236}">
              <a16:creationId xmlns:a16="http://schemas.microsoft.com/office/drawing/2014/main" id="{00000000-0008-0000-0000-000068000000}"/>
            </a:ext>
          </a:extLst>
        </xdr:cNvPr>
        <xdr:cNvSpPr txBox="1"/>
      </xdr:nvSpPr>
      <xdr:spPr>
        <a:xfrm>
          <a:off x="412750" y="15811501"/>
          <a:ext cx="223308" cy="212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5</xdr:col>
      <xdr:colOff>42333</xdr:colOff>
      <xdr:row>138</xdr:row>
      <xdr:rowOff>105833</xdr:rowOff>
    </xdr:from>
    <xdr:to>
      <xdr:col>5</xdr:col>
      <xdr:colOff>270933</xdr:colOff>
      <xdr:row>139</xdr:row>
      <xdr:rowOff>117941</xdr:rowOff>
    </xdr:to>
    <xdr:sp macro="[0]!TextBox172_Click" textlink="">
      <xdr:nvSpPr>
        <xdr:cNvPr id="173" name="TextBox 172">
          <a:extLst>
            <a:ext uri="{FF2B5EF4-FFF2-40B4-BE49-F238E27FC236}">
              <a16:creationId xmlns:a16="http://schemas.microsoft.com/office/drawing/2014/main" id="{00000000-0008-0000-0000-0000AD000000}"/>
            </a:ext>
          </a:extLst>
        </xdr:cNvPr>
        <xdr:cNvSpPr txBox="1"/>
      </xdr:nvSpPr>
      <xdr:spPr>
        <a:xfrm>
          <a:off x="645583" y="16160750"/>
          <a:ext cx="228600" cy="192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5</xdr:col>
      <xdr:colOff>31750</xdr:colOff>
      <xdr:row>140</xdr:row>
      <xdr:rowOff>95250</xdr:rowOff>
    </xdr:from>
    <xdr:to>
      <xdr:col>5</xdr:col>
      <xdr:colOff>260350</xdr:colOff>
      <xdr:row>141</xdr:row>
      <xdr:rowOff>107357</xdr:rowOff>
    </xdr:to>
    <xdr:sp macro="[0]!TextBox173_Click" textlink="">
      <xdr:nvSpPr>
        <xdr:cNvPr id="174" name="TextBox 173">
          <a:extLst>
            <a:ext uri="{FF2B5EF4-FFF2-40B4-BE49-F238E27FC236}">
              <a16:creationId xmlns:a16="http://schemas.microsoft.com/office/drawing/2014/main" id="{00000000-0008-0000-0000-0000AE000000}"/>
            </a:ext>
          </a:extLst>
        </xdr:cNvPr>
        <xdr:cNvSpPr txBox="1"/>
      </xdr:nvSpPr>
      <xdr:spPr>
        <a:xfrm>
          <a:off x="635000" y="16510000"/>
          <a:ext cx="228600" cy="192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5</xdr:col>
      <xdr:colOff>31750</xdr:colOff>
      <xdr:row>142</xdr:row>
      <xdr:rowOff>105834</xdr:rowOff>
    </xdr:from>
    <xdr:to>
      <xdr:col>5</xdr:col>
      <xdr:colOff>260350</xdr:colOff>
      <xdr:row>143</xdr:row>
      <xdr:rowOff>117941</xdr:rowOff>
    </xdr:to>
    <xdr:sp macro="[0]!TextBox174_Click" textlink="">
      <xdr:nvSpPr>
        <xdr:cNvPr id="175" name="TextBox 174">
          <a:extLst>
            <a:ext uri="{FF2B5EF4-FFF2-40B4-BE49-F238E27FC236}">
              <a16:creationId xmlns:a16="http://schemas.microsoft.com/office/drawing/2014/main" id="{00000000-0008-0000-0000-0000AF000000}"/>
            </a:ext>
          </a:extLst>
        </xdr:cNvPr>
        <xdr:cNvSpPr txBox="1"/>
      </xdr:nvSpPr>
      <xdr:spPr>
        <a:xfrm>
          <a:off x="635000" y="16880417"/>
          <a:ext cx="228600" cy="192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5</xdr:col>
      <xdr:colOff>31750</xdr:colOff>
      <xdr:row>144</xdr:row>
      <xdr:rowOff>148166</xdr:rowOff>
    </xdr:from>
    <xdr:to>
      <xdr:col>5</xdr:col>
      <xdr:colOff>260350</xdr:colOff>
      <xdr:row>145</xdr:row>
      <xdr:rowOff>160274</xdr:rowOff>
    </xdr:to>
    <xdr:sp macro="[0]!TextBox175_Click" textlink="">
      <xdr:nvSpPr>
        <xdr:cNvPr id="176" name="TextBox 175">
          <a:extLst>
            <a:ext uri="{FF2B5EF4-FFF2-40B4-BE49-F238E27FC236}">
              <a16:creationId xmlns:a16="http://schemas.microsoft.com/office/drawing/2014/main" id="{00000000-0008-0000-0000-0000B0000000}"/>
            </a:ext>
          </a:extLst>
        </xdr:cNvPr>
        <xdr:cNvSpPr txBox="1"/>
      </xdr:nvSpPr>
      <xdr:spPr>
        <a:xfrm>
          <a:off x="635000" y="17282583"/>
          <a:ext cx="228600" cy="192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5</xdr:col>
      <xdr:colOff>42333</xdr:colOff>
      <xdr:row>146</xdr:row>
      <xdr:rowOff>120651</xdr:rowOff>
    </xdr:from>
    <xdr:to>
      <xdr:col>5</xdr:col>
      <xdr:colOff>270933</xdr:colOff>
      <xdr:row>147</xdr:row>
      <xdr:rowOff>132758</xdr:rowOff>
    </xdr:to>
    <xdr:sp macro="[0]!TextBox176_Click" textlink="">
      <xdr:nvSpPr>
        <xdr:cNvPr id="177" name="TextBox 176">
          <a:extLst>
            <a:ext uri="{FF2B5EF4-FFF2-40B4-BE49-F238E27FC236}">
              <a16:creationId xmlns:a16="http://schemas.microsoft.com/office/drawing/2014/main" id="{00000000-0008-0000-0000-0000B1000000}"/>
            </a:ext>
          </a:extLst>
        </xdr:cNvPr>
        <xdr:cNvSpPr txBox="1"/>
      </xdr:nvSpPr>
      <xdr:spPr>
        <a:xfrm>
          <a:off x="642408" y="17808576"/>
          <a:ext cx="228600" cy="212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222250</xdr:colOff>
      <xdr:row>138</xdr:row>
      <xdr:rowOff>88899</xdr:rowOff>
    </xdr:from>
    <xdr:to>
      <xdr:col>5</xdr:col>
      <xdr:colOff>16933</xdr:colOff>
      <xdr:row>139</xdr:row>
      <xdr:rowOff>101007</xdr:rowOff>
    </xdr:to>
    <xdr:sp macro="[0]!TextBox177_Click" textlink="">
      <xdr:nvSpPr>
        <xdr:cNvPr id="178" name="TextBox 177">
          <a:extLst>
            <a:ext uri="{FF2B5EF4-FFF2-40B4-BE49-F238E27FC236}">
              <a16:creationId xmlns:a16="http://schemas.microsoft.com/office/drawing/2014/main" id="{00000000-0008-0000-0000-0000B2000000}"/>
            </a:ext>
          </a:extLst>
        </xdr:cNvPr>
        <xdr:cNvSpPr txBox="1"/>
      </xdr:nvSpPr>
      <xdr:spPr>
        <a:xfrm>
          <a:off x="393700" y="16176624"/>
          <a:ext cx="223308" cy="2121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211667</xdr:colOff>
      <xdr:row>140</xdr:row>
      <xdr:rowOff>98426</xdr:rowOff>
    </xdr:from>
    <xdr:to>
      <xdr:col>5</xdr:col>
      <xdr:colOff>6350</xdr:colOff>
      <xdr:row>141</xdr:row>
      <xdr:rowOff>110533</xdr:rowOff>
    </xdr:to>
    <xdr:sp macro="[0]!TextBox178_Click" textlink="">
      <xdr:nvSpPr>
        <xdr:cNvPr id="179" name="TextBox 178">
          <a:extLst>
            <a:ext uri="{FF2B5EF4-FFF2-40B4-BE49-F238E27FC236}">
              <a16:creationId xmlns:a16="http://schemas.microsoft.com/office/drawing/2014/main" id="{00000000-0008-0000-0000-0000B3000000}"/>
            </a:ext>
          </a:extLst>
        </xdr:cNvPr>
        <xdr:cNvSpPr txBox="1"/>
      </xdr:nvSpPr>
      <xdr:spPr>
        <a:xfrm>
          <a:off x="383117" y="16586201"/>
          <a:ext cx="223308" cy="212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211667</xdr:colOff>
      <xdr:row>142</xdr:row>
      <xdr:rowOff>87842</xdr:rowOff>
    </xdr:from>
    <xdr:to>
      <xdr:col>5</xdr:col>
      <xdr:colOff>6350</xdr:colOff>
      <xdr:row>143</xdr:row>
      <xdr:rowOff>99949</xdr:rowOff>
    </xdr:to>
    <xdr:sp macro="[0]!TextBox179_Click" textlink="">
      <xdr:nvSpPr>
        <xdr:cNvPr id="180" name="TextBox 179">
          <a:extLst>
            <a:ext uri="{FF2B5EF4-FFF2-40B4-BE49-F238E27FC236}">
              <a16:creationId xmlns:a16="http://schemas.microsoft.com/office/drawing/2014/main" id="{00000000-0008-0000-0000-0000B4000000}"/>
            </a:ext>
          </a:extLst>
        </xdr:cNvPr>
        <xdr:cNvSpPr txBox="1"/>
      </xdr:nvSpPr>
      <xdr:spPr>
        <a:xfrm>
          <a:off x="383117" y="16975667"/>
          <a:ext cx="223308" cy="212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201084</xdr:colOff>
      <xdr:row>144</xdr:row>
      <xdr:rowOff>137583</xdr:rowOff>
    </xdr:from>
    <xdr:to>
      <xdr:col>4</xdr:col>
      <xdr:colOff>429684</xdr:colOff>
      <xdr:row>145</xdr:row>
      <xdr:rowOff>149691</xdr:rowOff>
    </xdr:to>
    <xdr:sp macro="[0]!TextBox180_Click" textlink="">
      <xdr:nvSpPr>
        <xdr:cNvPr id="181" name="TextBox 180">
          <a:extLst>
            <a:ext uri="{FF2B5EF4-FFF2-40B4-BE49-F238E27FC236}">
              <a16:creationId xmlns:a16="http://schemas.microsoft.com/office/drawing/2014/main" id="{00000000-0008-0000-0000-0000B5000000}"/>
            </a:ext>
          </a:extLst>
        </xdr:cNvPr>
        <xdr:cNvSpPr txBox="1"/>
      </xdr:nvSpPr>
      <xdr:spPr>
        <a:xfrm>
          <a:off x="370417" y="17272000"/>
          <a:ext cx="228600" cy="192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205316</xdr:colOff>
      <xdr:row>146</xdr:row>
      <xdr:rowOff>115359</xdr:rowOff>
    </xdr:from>
    <xdr:to>
      <xdr:col>4</xdr:col>
      <xdr:colOff>424391</xdr:colOff>
      <xdr:row>147</xdr:row>
      <xdr:rowOff>127466</xdr:rowOff>
    </xdr:to>
    <xdr:sp macro="[0]!TextBox181_Click" textlink="">
      <xdr:nvSpPr>
        <xdr:cNvPr id="182" name="TextBox 181">
          <a:extLst>
            <a:ext uri="{FF2B5EF4-FFF2-40B4-BE49-F238E27FC236}">
              <a16:creationId xmlns:a16="http://schemas.microsoft.com/office/drawing/2014/main" id="{00000000-0008-0000-0000-0000B6000000}"/>
            </a:ext>
          </a:extLst>
        </xdr:cNvPr>
        <xdr:cNvSpPr txBox="1"/>
      </xdr:nvSpPr>
      <xdr:spPr>
        <a:xfrm>
          <a:off x="376766" y="17803284"/>
          <a:ext cx="219075" cy="212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5</xdr:col>
      <xdr:colOff>42333</xdr:colOff>
      <xdr:row>148</xdr:row>
      <xdr:rowOff>119591</xdr:rowOff>
    </xdr:from>
    <xdr:to>
      <xdr:col>5</xdr:col>
      <xdr:colOff>270933</xdr:colOff>
      <xdr:row>149</xdr:row>
      <xdr:rowOff>131698</xdr:rowOff>
    </xdr:to>
    <xdr:sp macro="[0]!TextBox182_Click" textlink="">
      <xdr:nvSpPr>
        <xdr:cNvPr id="183" name="TextBox 182">
          <a:extLst>
            <a:ext uri="{FF2B5EF4-FFF2-40B4-BE49-F238E27FC236}">
              <a16:creationId xmlns:a16="http://schemas.microsoft.com/office/drawing/2014/main" id="{00000000-0008-0000-0000-0000B7000000}"/>
            </a:ext>
          </a:extLst>
        </xdr:cNvPr>
        <xdr:cNvSpPr txBox="1"/>
      </xdr:nvSpPr>
      <xdr:spPr>
        <a:xfrm>
          <a:off x="642408" y="18207566"/>
          <a:ext cx="228600" cy="212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116417</xdr:colOff>
      <xdr:row>96</xdr:row>
      <xdr:rowOff>74083</xdr:rowOff>
    </xdr:from>
    <xdr:to>
      <xdr:col>7</xdr:col>
      <xdr:colOff>740835</xdr:colOff>
      <xdr:row>96</xdr:row>
      <xdr:rowOff>338667</xdr:rowOff>
    </xdr:to>
    <xdr:sp macro="[0]!TextBox106_Click" textlink="">
      <xdr:nvSpPr>
        <xdr:cNvPr id="107" name="TextBox 106">
          <a:extLst>
            <a:ext uri="{FF2B5EF4-FFF2-40B4-BE49-F238E27FC236}">
              <a16:creationId xmlns:a16="http://schemas.microsoft.com/office/drawing/2014/main" id="{00000000-0008-0000-0000-00006B000000}"/>
            </a:ext>
          </a:extLst>
        </xdr:cNvPr>
        <xdr:cNvSpPr txBox="1"/>
      </xdr:nvSpPr>
      <xdr:spPr>
        <a:xfrm>
          <a:off x="285750" y="6762750"/>
          <a:ext cx="2116668" cy="264584"/>
        </a:xfrm>
        <a:prstGeom prst="rect">
          <a:avLst/>
        </a:prstGeom>
        <a:solidFill>
          <a:schemeClr val="accent2">
            <a:lumMod val="20000"/>
            <a:lumOff val="80000"/>
          </a:schemeClr>
        </a:solidFill>
        <a:ln w="9525" cmpd="sng">
          <a:solidFill>
            <a:schemeClr val="accent2">
              <a:lumMod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solidFill>
                <a:schemeClr val="accent2">
                  <a:lumMod val="50000"/>
                </a:schemeClr>
              </a:solidFill>
              <a:latin typeface="Arial" pitchFamily="34" charset="0"/>
              <a:cs typeface="Arial" pitchFamily="34" charset="0"/>
            </a:rPr>
            <a:t>Clear All Paddock/Field</a:t>
          </a:r>
          <a:r>
            <a:rPr lang="en-US" sz="1200" baseline="0">
              <a:solidFill>
                <a:schemeClr val="accent2">
                  <a:lumMod val="50000"/>
                </a:schemeClr>
              </a:solidFill>
              <a:latin typeface="Arial" pitchFamily="34" charset="0"/>
              <a:cs typeface="Arial" pitchFamily="34" charset="0"/>
            </a:rPr>
            <a:t> Info</a:t>
          </a:r>
          <a:endParaRPr lang="en-US" sz="1200">
            <a:solidFill>
              <a:schemeClr val="accent2">
                <a:lumMod val="50000"/>
              </a:schemeClr>
            </a:solidFill>
            <a:latin typeface="Arial" pitchFamily="34" charset="0"/>
            <a:cs typeface="Arial" pitchFamily="34" charset="0"/>
          </a:endParaRPr>
        </a:p>
      </xdr:txBody>
    </xdr:sp>
    <xdr:clientData/>
  </xdr:twoCellAnchor>
  <xdr:twoCellAnchor>
    <xdr:from>
      <xdr:col>4</xdr:col>
      <xdr:colOff>85726</xdr:colOff>
      <xdr:row>188</xdr:row>
      <xdr:rowOff>35981</xdr:rowOff>
    </xdr:from>
    <xdr:to>
      <xdr:col>7</xdr:col>
      <xdr:colOff>1059393</xdr:colOff>
      <xdr:row>189</xdr:row>
      <xdr:rowOff>4232</xdr:rowOff>
    </xdr:to>
    <xdr:sp macro="[0]!LivestockForageBalance_TextBox1203_Click" textlink="">
      <xdr:nvSpPr>
        <xdr:cNvPr id="1204" name="TextBox 1203">
          <a:extLst>
            <a:ext uri="{FF2B5EF4-FFF2-40B4-BE49-F238E27FC236}">
              <a16:creationId xmlns:a16="http://schemas.microsoft.com/office/drawing/2014/main" id="{00000000-0008-0000-0000-0000B4040000}"/>
            </a:ext>
          </a:extLst>
        </xdr:cNvPr>
        <xdr:cNvSpPr txBox="1"/>
      </xdr:nvSpPr>
      <xdr:spPr>
        <a:xfrm>
          <a:off x="238126" y="24400931"/>
          <a:ext cx="2459567" cy="254001"/>
        </a:xfrm>
        <a:prstGeom prst="rect">
          <a:avLst/>
        </a:prstGeom>
        <a:solidFill>
          <a:schemeClr val="accent2">
            <a:lumMod val="20000"/>
            <a:lumOff val="80000"/>
          </a:schemeClr>
        </a:solidFill>
        <a:ln w="9525" cmpd="sng">
          <a:solidFill>
            <a:schemeClr val="accent2">
              <a:lumMod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solidFill>
                <a:schemeClr val="accent2">
                  <a:lumMod val="50000"/>
                </a:schemeClr>
              </a:solidFill>
              <a:latin typeface="Arial" pitchFamily="34" charset="0"/>
              <a:cs typeface="Arial" pitchFamily="34" charset="0"/>
            </a:rPr>
            <a:t>Clear All</a:t>
          </a:r>
          <a:r>
            <a:rPr lang="en-US" sz="1200" baseline="0">
              <a:solidFill>
                <a:schemeClr val="accent2">
                  <a:lumMod val="50000"/>
                </a:schemeClr>
              </a:solidFill>
              <a:latin typeface="Arial" pitchFamily="34" charset="0"/>
              <a:cs typeface="Arial" pitchFamily="34" charset="0"/>
            </a:rPr>
            <a:t> Alternative Pasture Info</a:t>
          </a:r>
          <a:endParaRPr lang="en-US" sz="1200">
            <a:solidFill>
              <a:schemeClr val="accent2">
                <a:lumMod val="50000"/>
              </a:schemeClr>
            </a:solidFill>
            <a:latin typeface="Arial" pitchFamily="34" charset="0"/>
            <a:cs typeface="Arial" pitchFamily="34" charset="0"/>
          </a:endParaRPr>
        </a:p>
      </xdr:txBody>
    </xdr:sp>
    <xdr:clientData/>
  </xdr:twoCellAnchor>
  <xdr:twoCellAnchor>
    <xdr:from>
      <xdr:col>4</xdr:col>
      <xdr:colOff>116417</xdr:colOff>
      <xdr:row>206</xdr:row>
      <xdr:rowOff>74086</xdr:rowOff>
    </xdr:from>
    <xdr:to>
      <xdr:col>6</xdr:col>
      <xdr:colOff>465668</xdr:colOff>
      <xdr:row>206</xdr:row>
      <xdr:rowOff>338668</xdr:rowOff>
    </xdr:to>
    <xdr:sp macro="[0]!LivestockForageBalance_TextBox1206_2_Click" textlink="">
      <xdr:nvSpPr>
        <xdr:cNvPr id="1207" name="TextBox 1206">
          <a:extLst>
            <a:ext uri="{FF2B5EF4-FFF2-40B4-BE49-F238E27FC236}">
              <a16:creationId xmlns:a16="http://schemas.microsoft.com/office/drawing/2014/main" id="{00000000-0008-0000-0000-0000B7040000}"/>
            </a:ext>
          </a:extLst>
        </xdr:cNvPr>
        <xdr:cNvSpPr txBox="1"/>
      </xdr:nvSpPr>
      <xdr:spPr>
        <a:xfrm>
          <a:off x="285750" y="17282586"/>
          <a:ext cx="1206501" cy="264582"/>
        </a:xfrm>
        <a:prstGeom prst="rect">
          <a:avLst/>
        </a:prstGeom>
        <a:solidFill>
          <a:schemeClr val="accent2">
            <a:lumMod val="20000"/>
            <a:lumOff val="80000"/>
          </a:schemeClr>
        </a:solidFill>
        <a:ln w="9525" cmpd="sng">
          <a:solidFill>
            <a:schemeClr val="accent2">
              <a:lumMod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solidFill>
                <a:schemeClr val="accent2">
                  <a:lumMod val="50000"/>
                </a:schemeClr>
              </a:solidFill>
              <a:latin typeface="Arial" pitchFamily="34" charset="0"/>
              <a:cs typeface="Arial" pitchFamily="34" charset="0"/>
            </a:rPr>
            <a:t>Clear Hay Info</a:t>
          </a:r>
        </a:p>
      </xdr:txBody>
    </xdr:sp>
    <xdr:clientData/>
  </xdr:twoCellAnchor>
  <xdr:twoCellAnchor>
    <xdr:from>
      <xdr:col>17</xdr:col>
      <xdr:colOff>314325</xdr:colOff>
      <xdr:row>248</xdr:row>
      <xdr:rowOff>85722</xdr:rowOff>
    </xdr:from>
    <xdr:to>
      <xdr:col>22</xdr:col>
      <xdr:colOff>210927</xdr:colOff>
      <xdr:row>249</xdr:row>
      <xdr:rowOff>163784</xdr:rowOff>
    </xdr:to>
    <xdr:sp macro="[0]!LivestockForageBalance_TextBox105_Click" textlink="">
      <xdr:nvSpPr>
        <xdr:cNvPr id="106" name="TextBox 105">
          <a:extLst>
            <a:ext uri="{FF2B5EF4-FFF2-40B4-BE49-F238E27FC236}">
              <a16:creationId xmlns:a16="http://schemas.microsoft.com/office/drawing/2014/main" id="{00000000-0008-0000-0000-00006A000000}"/>
            </a:ext>
          </a:extLst>
        </xdr:cNvPr>
        <xdr:cNvSpPr txBox="1"/>
      </xdr:nvSpPr>
      <xdr:spPr>
        <a:xfrm>
          <a:off x="11372850" y="36347397"/>
          <a:ext cx="3563727" cy="306662"/>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Livestock Inventory &amp; Demand Summary</a:t>
          </a:r>
        </a:p>
      </xdr:txBody>
    </xdr:sp>
    <xdr:clientData/>
  </xdr:twoCellAnchor>
  <xdr:twoCellAnchor>
    <xdr:from>
      <xdr:col>17</xdr:col>
      <xdr:colOff>332315</xdr:colOff>
      <xdr:row>250</xdr:row>
      <xdr:rowOff>33337</xdr:rowOff>
    </xdr:from>
    <xdr:to>
      <xdr:col>22</xdr:col>
      <xdr:colOff>231350</xdr:colOff>
      <xdr:row>252</xdr:row>
      <xdr:rowOff>37316</xdr:rowOff>
    </xdr:to>
    <xdr:sp macro="[0]!TextBox107_Click" textlink="">
      <xdr:nvSpPr>
        <xdr:cNvPr id="108" name="TextBox 107">
          <a:extLst>
            <a:ext uri="{FF2B5EF4-FFF2-40B4-BE49-F238E27FC236}">
              <a16:creationId xmlns:a16="http://schemas.microsoft.com/office/drawing/2014/main" id="{00000000-0008-0000-0000-00006C000000}"/>
            </a:ext>
          </a:extLst>
        </xdr:cNvPr>
        <xdr:cNvSpPr txBox="1"/>
      </xdr:nvSpPr>
      <xdr:spPr>
        <a:xfrm>
          <a:off x="11390840" y="36752212"/>
          <a:ext cx="3566160" cy="299254"/>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Pasture</a:t>
          </a:r>
          <a:r>
            <a:rPr lang="en-US" sz="1200" baseline="0">
              <a:latin typeface="Arial" pitchFamily="34" charset="0"/>
              <a:cs typeface="Arial" pitchFamily="34" charset="0"/>
            </a:rPr>
            <a:t> Forage Production Summary</a:t>
          </a:r>
          <a:endParaRPr lang="en-US" sz="1200">
            <a:latin typeface="Arial" pitchFamily="34" charset="0"/>
            <a:cs typeface="Arial" pitchFamily="34" charset="0"/>
          </a:endParaRPr>
        </a:p>
      </xdr:txBody>
    </xdr:sp>
    <xdr:clientData/>
  </xdr:twoCellAnchor>
  <xdr:twoCellAnchor>
    <xdr:from>
      <xdr:col>17</xdr:col>
      <xdr:colOff>320479</xdr:colOff>
      <xdr:row>254</xdr:row>
      <xdr:rowOff>201083</xdr:rowOff>
    </xdr:from>
    <xdr:to>
      <xdr:col>22</xdr:col>
      <xdr:colOff>219514</xdr:colOff>
      <xdr:row>256</xdr:row>
      <xdr:rowOff>46312</xdr:rowOff>
    </xdr:to>
    <xdr:sp macro="[0]!TextBox118_Click" textlink="">
      <xdr:nvSpPr>
        <xdr:cNvPr id="119" name="TextBox 118">
          <a:extLst>
            <a:ext uri="{FF2B5EF4-FFF2-40B4-BE49-F238E27FC236}">
              <a16:creationId xmlns:a16="http://schemas.microsoft.com/office/drawing/2014/main" id="{00000000-0008-0000-0000-000077000000}"/>
            </a:ext>
          </a:extLst>
        </xdr:cNvPr>
        <xdr:cNvSpPr txBox="1"/>
      </xdr:nvSpPr>
      <xdr:spPr>
        <a:xfrm>
          <a:off x="11379004" y="37539083"/>
          <a:ext cx="3566160" cy="302429"/>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a:t>
          </a:r>
          <a:r>
            <a:rPr lang="en-US" sz="1200" baseline="0">
              <a:latin typeface="Arial" pitchFamily="34" charset="0"/>
              <a:cs typeface="Arial" pitchFamily="34" charset="0"/>
            </a:rPr>
            <a:t>Feed &amp; Forage Balance Summary</a:t>
          </a:r>
          <a:endParaRPr lang="en-US" sz="1200">
            <a:latin typeface="Arial" pitchFamily="34" charset="0"/>
            <a:cs typeface="Arial" pitchFamily="34" charset="0"/>
          </a:endParaRPr>
        </a:p>
      </xdr:txBody>
    </xdr:sp>
    <xdr:clientData/>
  </xdr:twoCellAnchor>
  <xdr:twoCellAnchor>
    <xdr:from>
      <xdr:col>17</xdr:col>
      <xdr:colOff>333374</xdr:colOff>
      <xdr:row>253</xdr:row>
      <xdr:rowOff>30692</xdr:rowOff>
    </xdr:from>
    <xdr:to>
      <xdr:col>22</xdr:col>
      <xdr:colOff>232409</xdr:colOff>
      <xdr:row>254</xdr:row>
      <xdr:rowOff>108755</xdr:rowOff>
    </xdr:to>
    <xdr:sp macro="[0]!TextBox123_Click" textlink="">
      <xdr:nvSpPr>
        <xdr:cNvPr id="124" name="TextBox 123">
          <a:extLst>
            <a:ext uri="{FF2B5EF4-FFF2-40B4-BE49-F238E27FC236}">
              <a16:creationId xmlns:a16="http://schemas.microsoft.com/office/drawing/2014/main" id="{00000000-0008-0000-0000-00007C000000}"/>
            </a:ext>
          </a:extLst>
        </xdr:cNvPr>
        <xdr:cNvSpPr txBox="1"/>
      </xdr:nvSpPr>
      <xdr:spPr>
        <a:xfrm>
          <a:off x="11391899" y="37140092"/>
          <a:ext cx="3566160" cy="306663"/>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a:t>
          </a:r>
          <a:r>
            <a:rPr lang="en-US" sz="1200" baseline="0">
              <a:latin typeface="Arial" pitchFamily="34" charset="0"/>
              <a:cs typeface="Arial" pitchFamily="34" charset="0"/>
            </a:rPr>
            <a:t>Hay Production Summary</a:t>
          </a:r>
          <a:endParaRPr lang="en-US" sz="1200">
            <a:latin typeface="Arial" pitchFamily="34" charset="0"/>
            <a:cs typeface="Arial" pitchFamily="34" charset="0"/>
          </a:endParaRPr>
        </a:p>
      </xdr:txBody>
    </xdr:sp>
    <xdr:clientData/>
  </xdr:twoCellAnchor>
</xdr:wsDr>
</file>

<file path=xl/drawings/drawing2.xml><?xml version="1.0" encoding="utf-8"?>
<c:userShapes xmlns:c="http://schemas.openxmlformats.org/drawingml/2006/chart">
  <cdr:relSizeAnchor xmlns:cdr="http://schemas.openxmlformats.org/drawingml/2006/chartDrawing">
    <cdr:from>
      <cdr:x>0.03882</cdr:x>
      <cdr:y>0.02846</cdr:y>
    </cdr:from>
    <cdr:to>
      <cdr:x>0.96451</cdr:x>
      <cdr:y>0.08304</cdr:y>
    </cdr:to>
    <cdr:sp macro="" textlink="">
      <cdr:nvSpPr>
        <cdr:cNvPr id="2" name="TextBox 1"/>
        <cdr:cNvSpPr txBox="1"/>
      </cdr:nvSpPr>
      <cdr:spPr>
        <a:xfrm xmlns:a="http://schemas.openxmlformats.org/drawingml/2006/main">
          <a:off x="349249" y="163598"/>
          <a:ext cx="8329083" cy="31371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400" b="1">
              <a:latin typeface="Arial" pitchFamily="34" charset="0"/>
              <a:cs typeface="Arial" pitchFamily="34" charset="0"/>
            </a:rPr>
            <a:t>Grazing System Pasture Forage Growth</a:t>
          </a:r>
          <a:r>
            <a:rPr lang="en-US" sz="1400" b="1" baseline="0">
              <a:latin typeface="Arial" pitchFamily="34" charset="0"/>
              <a:cs typeface="Arial" pitchFamily="34" charset="0"/>
            </a:rPr>
            <a:t> vs. Demand and Accumulated Balance for:</a:t>
          </a:r>
          <a:endParaRPr lang="en-US" sz="1400" b="1">
            <a:latin typeface="Arial" pitchFamily="34" charset="0"/>
            <a:cs typeface="Arial" pitchFamily="34" charset="0"/>
          </a:endParaRPr>
        </a:p>
      </cdr:txBody>
    </cdr:sp>
  </cdr:relSizeAnchor>
  <cdr:relSizeAnchor xmlns:cdr="http://schemas.openxmlformats.org/drawingml/2006/chartDrawing">
    <cdr:from>
      <cdr:x>0.65402</cdr:x>
      <cdr:y>0.09042</cdr:y>
    </cdr:from>
    <cdr:to>
      <cdr:x>0.93628</cdr:x>
      <cdr:y>0.13988</cdr:y>
    </cdr:to>
    <cdr:sp macro="" textlink="ID">
      <cdr:nvSpPr>
        <cdr:cNvPr id="3" name="TextBox 125"/>
        <cdr:cNvSpPr txBox="1"/>
      </cdr:nvSpPr>
      <cdr:spPr>
        <a:xfrm xmlns:a="http://schemas.openxmlformats.org/drawingml/2006/main">
          <a:off x="5883273" y="519621"/>
          <a:ext cx="2539107" cy="284235"/>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53B58D2B-A6DB-4CFD-AABE-1D52EB12B27B}" type="TxLink">
            <a:rPr lang="en-US" sz="1200" b="1">
              <a:latin typeface="Arial" pitchFamily="34" charset="0"/>
              <a:cs typeface="Arial" pitchFamily="34" charset="0"/>
            </a:rPr>
            <a:pPr/>
            <a:t> </a:t>
          </a:fld>
          <a:endParaRPr lang="en-US" sz="1200" b="1">
            <a:latin typeface="Arial" pitchFamily="34" charset="0"/>
            <a:cs typeface="Arial" pitchFamily="34" charset="0"/>
          </a:endParaRPr>
        </a:p>
      </cdr:txBody>
    </cdr:sp>
  </cdr:relSizeAnchor>
  <cdr:relSizeAnchor xmlns:cdr="http://schemas.openxmlformats.org/drawingml/2006/chartDrawing">
    <cdr:from>
      <cdr:x>0.652</cdr:x>
      <cdr:y>0.13423</cdr:y>
    </cdr:from>
    <cdr:to>
      <cdr:x>0.84631</cdr:x>
      <cdr:y>0.18369</cdr:y>
    </cdr:to>
    <cdr:sp macro="" textlink="Date">
      <cdr:nvSpPr>
        <cdr:cNvPr id="4" name="TextBox 125"/>
        <cdr:cNvSpPr txBox="1"/>
      </cdr:nvSpPr>
      <cdr:spPr>
        <a:xfrm xmlns:a="http://schemas.openxmlformats.org/drawingml/2006/main">
          <a:off x="5865154" y="771401"/>
          <a:ext cx="1747931" cy="284234"/>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13E01375-D1B9-45F8-97D1-E525813FCE53}" type="TxLink">
            <a:rPr lang="en-US" sz="1200" b="1">
              <a:latin typeface="Arial" pitchFamily="34" charset="0"/>
              <a:cs typeface="Arial" pitchFamily="34" charset="0"/>
            </a:rPr>
            <a:pPr/>
            <a:t> </a:t>
          </a:fld>
          <a:endParaRPr lang="en-US" sz="1200" b="1">
            <a:latin typeface="Arial" pitchFamily="34" charset="0"/>
            <a:cs typeface="Arial" pitchFamily="34" charset="0"/>
          </a:endParaRPr>
        </a:p>
      </cdr:txBody>
    </cdr:sp>
  </cdr:relSizeAnchor>
  <cdr:relSizeAnchor xmlns:cdr="http://schemas.openxmlformats.org/drawingml/2006/chartDrawing">
    <cdr:from>
      <cdr:x>0.16393</cdr:x>
      <cdr:y>0.09544</cdr:y>
    </cdr:from>
    <cdr:to>
      <cdr:x>0.52718</cdr:x>
      <cdr:y>0.1449</cdr:y>
    </cdr:to>
    <cdr:sp macro="[0]!TextBox125_Click" textlink="Name">
      <cdr:nvSpPr>
        <cdr:cNvPr id="5" name="TextBox 125"/>
        <cdr:cNvSpPr txBox="1"/>
      </cdr:nvSpPr>
      <cdr:spPr>
        <a:xfrm xmlns:a="http://schemas.openxmlformats.org/drawingml/2006/main">
          <a:off x="1363141" y="566934"/>
          <a:ext cx="3020542" cy="293813"/>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1C2B1048-7A82-4597-BED9-C4D698E970F4}" type="TxLink">
            <a:rPr lang="en-US" sz="1200" b="1">
              <a:latin typeface="Arial" pitchFamily="34" charset="0"/>
              <a:cs typeface="Arial" pitchFamily="34" charset="0"/>
            </a:rPr>
            <a:pPr/>
            <a:t> </a:t>
          </a:fld>
          <a:endParaRPr lang="en-US" sz="1200" b="1">
            <a:latin typeface="Arial" pitchFamily="34" charset="0"/>
            <a:cs typeface="Arial" pitchFamily="34" charset="0"/>
          </a:endParaRPr>
        </a:p>
      </cdr:txBody>
    </cdr:sp>
  </cdr:relSizeAnchor>
  <cdr:relSizeAnchor xmlns:cdr="http://schemas.openxmlformats.org/drawingml/2006/chartDrawing">
    <cdr:from>
      <cdr:x>0.08188</cdr:x>
      <cdr:y>0.09834</cdr:y>
    </cdr:from>
    <cdr:to>
      <cdr:x>0.16762</cdr:x>
      <cdr:y>0.1478</cdr:y>
    </cdr:to>
    <cdr:sp macro="" textlink="">
      <cdr:nvSpPr>
        <cdr:cNvPr id="6" name="TextBox 125"/>
        <cdr:cNvSpPr txBox="1"/>
      </cdr:nvSpPr>
      <cdr:spPr>
        <a:xfrm xmlns:a="http://schemas.openxmlformats.org/drawingml/2006/main">
          <a:off x="680859" y="584181"/>
          <a:ext cx="712966" cy="293814"/>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r>
            <a:rPr lang="en-US" sz="1200" b="1">
              <a:latin typeface="Arial" pitchFamily="34" charset="0"/>
              <a:cs typeface="Arial" pitchFamily="34" charset="0"/>
            </a:rPr>
            <a:t>Name:</a:t>
          </a:r>
        </a:p>
      </cdr:txBody>
    </cdr:sp>
  </cdr:relSizeAnchor>
  <cdr:relSizeAnchor xmlns:cdr="http://schemas.openxmlformats.org/drawingml/2006/chartDrawing">
    <cdr:from>
      <cdr:x>0.54919</cdr:x>
      <cdr:y>0.09006</cdr:y>
    </cdr:from>
    <cdr:to>
      <cdr:x>0.65825</cdr:x>
      <cdr:y>0.13952</cdr:y>
    </cdr:to>
    <cdr:sp macro="" textlink="">
      <cdr:nvSpPr>
        <cdr:cNvPr id="7" name="TextBox 125"/>
        <cdr:cNvSpPr txBox="1"/>
      </cdr:nvSpPr>
      <cdr:spPr>
        <a:xfrm xmlns:a="http://schemas.openxmlformats.org/drawingml/2006/main">
          <a:off x="4940299" y="517525"/>
          <a:ext cx="981075" cy="284234"/>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r>
            <a:rPr lang="en-US" sz="1200" b="1">
              <a:latin typeface="Arial" pitchFamily="34" charset="0"/>
              <a:cs typeface="Arial" pitchFamily="34" charset="0"/>
            </a:rPr>
            <a:t>System ID:</a:t>
          </a:r>
        </a:p>
      </cdr:txBody>
    </cdr:sp>
  </cdr:relSizeAnchor>
  <cdr:relSizeAnchor xmlns:cdr="http://schemas.openxmlformats.org/drawingml/2006/chartDrawing">
    <cdr:from>
      <cdr:x>0.58484</cdr:x>
      <cdr:y>0.13149</cdr:y>
    </cdr:from>
    <cdr:to>
      <cdr:x>0.65931</cdr:x>
      <cdr:y>0.18095</cdr:y>
    </cdr:to>
    <cdr:sp macro="" textlink="">
      <cdr:nvSpPr>
        <cdr:cNvPr id="8" name="TextBox 125"/>
        <cdr:cNvSpPr txBox="1"/>
      </cdr:nvSpPr>
      <cdr:spPr>
        <a:xfrm xmlns:a="http://schemas.openxmlformats.org/drawingml/2006/main">
          <a:off x="5260975" y="755650"/>
          <a:ext cx="669924" cy="284234"/>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r>
            <a:rPr lang="en-US" sz="1200" b="1">
              <a:latin typeface="Arial" pitchFamily="34" charset="0"/>
              <a:cs typeface="Arial" pitchFamily="34" charset="0"/>
            </a:rPr>
            <a:t>Date:</a:t>
          </a:r>
        </a:p>
      </cdr:txBody>
    </cdr:sp>
  </cdr:relSizeAnchor>
  <cdr:relSizeAnchor xmlns:cdr="http://schemas.openxmlformats.org/drawingml/2006/chartDrawing">
    <cdr:from>
      <cdr:x>0.01479</cdr:x>
      <cdr:y>0.2818</cdr:y>
    </cdr:from>
    <cdr:to>
      <cdr:x>0.0472</cdr:x>
      <cdr:y>0.71471</cdr:y>
    </cdr:to>
    <cdr:sp macro="" textlink="">
      <cdr:nvSpPr>
        <cdr:cNvPr id="9" name="TextBox 8"/>
        <cdr:cNvSpPr txBox="1"/>
      </cdr:nvSpPr>
      <cdr:spPr>
        <a:xfrm xmlns:a="http://schemas.openxmlformats.org/drawingml/2006/main">
          <a:off x="133349" y="1620309"/>
          <a:ext cx="292100" cy="2489200"/>
        </a:xfrm>
        <a:prstGeom xmlns:a="http://schemas.openxmlformats.org/drawingml/2006/main" prst="rect">
          <a:avLst/>
        </a:prstGeom>
      </cdr:spPr>
      <cdr:txBody>
        <a:bodyPr xmlns:a="http://schemas.openxmlformats.org/drawingml/2006/main" vertOverflow="clip" vert="vert270" wrap="square" rtlCol="0" anchor="ctr"/>
        <a:lstStyle xmlns:a="http://schemas.openxmlformats.org/drawingml/2006/main"/>
        <a:p xmlns:a="http://schemas.openxmlformats.org/drawingml/2006/main">
          <a:pPr algn="ctr"/>
          <a:r>
            <a:rPr lang="en-US" sz="1200">
              <a:latin typeface="Arial" pitchFamily="34" charset="0"/>
              <a:cs typeface="Arial" pitchFamily="34" charset="0"/>
            </a:rPr>
            <a:t>Lbs of Forage</a:t>
          </a:r>
        </a:p>
      </cdr:txBody>
    </cdr:sp>
  </cdr:relSizeAnchor>
</c:userShapes>
</file>

<file path=xl/drawings/drawing3.xml><?xml version="1.0" encoding="utf-8"?>
<c:userShapes xmlns:c="http://schemas.openxmlformats.org/drawingml/2006/chart">
  <cdr:relSizeAnchor xmlns:cdr="http://schemas.openxmlformats.org/drawingml/2006/chartDrawing">
    <cdr:from>
      <cdr:x>0.08498</cdr:x>
      <cdr:y>0.0313</cdr:y>
    </cdr:from>
    <cdr:to>
      <cdr:x>0.96675</cdr:x>
      <cdr:y>0.09815</cdr:y>
    </cdr:to>
    <cdr:sp macro="" textlink="">
      <cdr:nvSpPr>
        <cdr:cNvPr id="2" name="TextBox 1"/>
        <cdr:cNvSpPr txBox="1"/>
      </cdr:nvSpPr>
      <cdr:spPr>
        <a:xfrm xmlns:a="http://schemas.openxmlformats.org/drawingml/2006/main">
          <a:off x="730252" y="178880"/>
          <a:ext cx="7577666" cy="38204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en-US" sz="1400" b="1">
              <a:latin typeface="Arial" pitchFamily="34" charset="0"/>
              <a:cs typeface="Arial" pitchFamily="34" charset="0"/>
            </a:rPr>
            <a:t>Alternative Pasture Forage Growth</a:t>
          </a:r>
          <a:r>
            <a:rPr lang="en-US" sz="1400" b="1" baseline="0">
              <a:latin typeface="Arial" pitchFamily="34" charset="0"/>
              <a:cs typeface="Arial" pitchFamily="34" charset="0"/>
            </a:rPr>
            <a:t> vs. Demand and Accumulated Balance for:</a:t>
          </a:r>
          <a:endParaRPr lang="en-US" sz="1400" b="1">
            <a:latin typeface="Arial" pitchFamily="34" charset="0"/>
            <a:cs typeface="Arial" pitchFamily="34" charset="0"/>
          </a:endParaRPr>
        </a:p>
      </cdr:txBody>
    </cdr:sp>
  </cdr:relSizeAnchor>
  <cdr:relSizeAnchor xmlns:cdr="http://schemas.openxmlformats.org/drawingml/2006/chartDrawing">
    <cdr:from>
      <cdr:x>0.19603</cdr:x>
      <cdr:y>0.10212</cdr:y>
    </cdr:from>
    <cdr:to>
      <cdr:x>0.57635</cdr:x>
      <cdr:y>0.15186</cdr:y>
    </cdr:to>
    <cdr:sp macro="" textlink="Name">
      <cdr:nvSpPr>
        <cdr:cNvPr id="3" name="TextBox 125"/>
        <cdr:cNvSpPr txBox="1"/>
      </cdr:nvSpPr>
      <cdr:spPr>
        <a:xfrm xmlns:a="http://schemas.openxmlformats.org/drawingml/2006/main">
          <a:off x="1605763" y="606616"/>
          <a:ext cx="3115391" cy="295477"/>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F7DD13A9-0332-4D94-AF3C-B184FE3BD444}" type="TxLink">
            <a:rPr lang="en-US" sz="1200" b="1">
              <a:latin typeface="Arial" pitchFamily="34" charset="0"/>
              <a:cs typeface="Arial" pitchFamily="34" charset="0"/>
            </a:rPr>
            <a:pPr/>
            <a:t> </a:t>
          </a:fld>
          <a:endParaRPr lang="en-US" sz="1200" b="1">
            <a:latin typeface="Arial" pitchFamily="34" charset="0"/>
            <a:cs typeface="Arial" pitchFamily="34" charset="0"/>
          </a:endParaRPr>
        </a:p>
      </cdr:txBody>
    </cdr:sp>
  </cdr:relSizeAnchor>
  <cdr:relSizeAnchor xmlns:cdr="http://schemas.openxmlformats.org/drawingml/2006/chartDrawing">
    <cdr:from>
      <cdr:x>0.65332</cdr:x>
      <cdr:y>0.10187</cdr:y>
    </cdr:from>
    <cdr:to>
      <cdr:x>0.93662</cdr:x>
      <cdr:y>0.15161</cdr:y>
    </cdr:to>
    <cdr:sp macro="" textlink="ID">
      <cdr:nvSpPr>
        <cdr:cNvPr id="4" name="TextBox 125"/>
        <cdr:cNvSpPr txBox="1"/>
      </cdr:nvSpPr>
      <cdr:spPr>
        <a:xfrm xmlns:a="http://schemas.openxmlformats.org/drawingml/2006/main">
          <a:off x="5576359" y="585340"/>
          <a:ext cx="2418087" cy="285791"/>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8DE17D8A-28C1-4039-8B67-0E20A74B9D1B}" type="TxLink">
            <a:rPr lang="en-US" sz="1200" b="1">
              <a:latin typeface="Arial" pitchFamily="34" charset="0"/>
              <a:cs typeface="Arial" pitchFamily="34" charset="0"/>
            </a:rPr>
            <a:pPr/>
            <a:t> </a:t>
          </a:fld>
          <a:endParaRPr lang="en-US" sz="1200" b="1">
            <a:latin typeface="Arial" pitchFamily="34" charset="0"/>
            <a:cs typeface="Arial" pitchFamily="34" charset="0"/>
          </a:endParaRPr>
        </a:p>
      </cdr:txBody>
    </cdr:sp>
  </cdr:relSizeAnchor>
  <cdr:relSizeAnchor xmlns:cdr="http://schemas.openxmlformats.org/drawingml/2006/chartDrawing">
    <cdr:from>
      <cdr:x>0.65125</cdr:x>
      <cdr:y>0.1467</cdr:y>
    </cdr:from>
    <cdr:to>
      <cdr:x>0.8547</cdr:x>
      <cdr:y>0.19645</cdr:y>
    </cdr:to>
    <cdr:sp macro="" textlink="Date">
      <cdr:nvSpPr>
        <cdr:cNvPr id="5" name="TextBox 125"/>
        <cdr:cNvSpPr txBox="1"/>
      </cdr:nvSpPr>
      <cdr:spPr>
        <a:xfrm xmlns:a="http://schemas.openxmlformats.org/drawingml/2006/main">
          <a:off x="5558754" y="842887"/>
          <a:ext cx="1736539" cy="285849"/>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458D3874-FB17-4896-8027-8A658E817E9C}" type="TxLink">
            <a:rPr lang="en-US" sz="1200" b="1">
              <a:latin typeface="Arial" pitchFamily="34" charset="0"/>
              <a:cs typeface="Arial" pitchFamily="34" charset="0"/>
            </a:rPr>
            <a:pPr/>
            <a:t> </a:t>
          </a:fld>
          <a:endParaRPr lang="en-US" sz="1200" b="1">
            <a:latin typeface="Arial" pitchFamily="34" charset="0"/>
            <a:cs typeface="Arial" pitchFamily="34" charset="0"/>
          </a:endParaRPr>
        </a:p>
      </cdr:txBody>
    </cdr:sp>
  </cdr:relSizeAnchor>
  <cdr:relSizeAnchor xmlns:cdr="http://schemas.openxmlformats.org/drawingml/2006/chartDrawing">
    <cdr:from>
      <cdr:x>0.11308</cdr:x>
      <cdr:y>0.10499</cdr:y>
    </cdr:from>
    <cdr:to>
      <cdr:x>0.20633</cdr:x>
      <cdr:y>0.15446</cdr:y>
    </cdr:to>
    <cdr:sp macro="" textlink="">
      <cdr:nvSpPr>
        <cdr:cNvPr id="6" name="TextBox 125"/>
        <cdr:cNvSpPr txBox="1"/>
      </cdr:nvSpPr>
      <cdr:spPr>
        <a:xfrm xmlns:a="http://schemas.openxmlformats.org/drawingml/2006/main">
          <a:off x="926295" y="623685"/>
          <a:ext cx="763865" cy="293873"/>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r>
            <a:rPr lang="en-US" sz="1200" b="1">
              <a:latin typeface="Arial" pitchFamily="34" charset="0"/>
              <a:cs typeface="Arial" pitchFamily="34" charset="0"/>
            </a:rPr>
            <a:t>Name:</a:t>
          </a:r>
        </a:p>
      </cdr:txBody>
    </cdr:sp>
  </cdr:relSizeAnchor>
  <cdr:relSizeAnchor xmlns:cdr="http://schemas.openxmlformats.org/drawingml/2006/chartDrawing">
    <cdr:from>
      <cdr:x>0.54718</cdr:x>
      <cdr:y>0.10333</cdr:y>
    </cdr:from>
    <cdr:to>
      <cdr:x>0.66212</cdr:x>
      <cdr:y>0.1528</cdr:y>
    </cdr:to>
    <cdr:sp macro="" textlink="">
      <cdr:nvSpPr>
        <cdr:cNvPr id="7" name="TextBox 125"/>
        <cdr:cNvSpPr txBox="1"/>
      </cdr:nvSpPr>
      <cdr:spPr>
        <a:xfrm xmlns:a="http://schemas.openxmlformats.org/drawingml/2006/main">
          <a:off x="4670425" y="593725"/>
          <a:ext cx="981075" cy="284234"/>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r>
            <a:rPr lang="en-US" sz="1200" b="1">
              <a:latin typeface="Arial" pitchFamily="34" charset="0"/>
              <a:cs typeface="Arial" pitchFamily="34" charset="0"/>
            </a:rPr>
            <a:t>System ID:</a:t>
          </a:r>
        </a:p>
      </cdr:txBody>
    </cdr:sp>
  </cdr:relSizeAnchor>
  <cdr:relSizeAnchor xmlns:cdr="http://schemas.openxmlformats.org/drawingml/2006/chartDrawing">
    <cdr:from>
      <cdr:x>0.58177</cdr:x>
      <cdr:y>0.14146</cdr:y>
    </cdr:from>
    <cdr:to>
      <cdr:x>0.66026</cdr:x>
      <cdr:y>0.19093</cdr:y>
    </cdr:to>
    <cdr:sp macro="" textlink="">
      <cdr:nvSpPr>
        <cdr:cNvPr id="8" name="TextBox 125"/>
        <cdr:cNvSpPr txBox="1"/>
      </cdr:nvSpPr>
      <cdr:spPr>
        <a:xfrm xmlns:a="http://schemas.openxmlformats.org/drawingml/2006/main">
          <a:off x="4965700" y="812800"/>
          <a:ext cx="669924" cy="284234"/>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r>
            <a:rPr lang="en-US" sz="1200" b="1">
              <a:latin typeface="Arial" pitchFamily="34" charset="0"/>
              <a:cs typeface="Arial" pitchFamily="34" charset="0"/>
            </a:rPr>
            <a:t>Date:</a:t>
          </a:r>
        </a:p>
      </cdr:txBody>
    </cdr:sp>
  </cdr:relSizeAnchor>
  <cdr:relSizeAnchor xmlns:cdr="http://schemas.openxmlformats.org/drawingml/2006/chartDrawing">
    <cdr:from>
      <cdr:x>0.01482</cdr:x>
      <cdr:y>0.25626</cdr:y>
    </cdr:from>
    <cdr:to>
      <cdr:x>0.0489</cdr:x>
      <cdr:y>0.68925</cdr:y>
    </cdr:to>
    <cdr:sp macro="" textlink="">
      <cdr:nvSpPr>
        <cdr:cNvPr id="9" name="TextBox 1"/>
        <cdr:cNvSpPr txBox="1"/>
      </cdr:nvSpPr>
      <cdr:spPr>
        <a:xfrm xmlns:a="http://schemas.openxmlformats.org/drawingml/2006/main">
          <a:off x="127000" y="1473200"/>
          <a:ext cx="292100" cy="2489200"/>
        </a:xfrm>
        <a:prstGeom xmlns:a="http://schemas.openxmlformats.org/drawingml/2006/main" prst="rect">
          <a:avLst/>
        </a:prstGeom>
      </cdr:spPr>
      <cdr:txBody>
        <a:bodyPr xmlns:a="http://schemas.openxmlformats.org/drawingml/2006/main" vert="vert270" wrap="square"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200">
              <a:latin typeface="Arial" pitchFamily="34" charset="0"/>
              <a:cs typeface="Arial" pitchFamily="34" charset="0"/>
            </a:rPr>
            <a:t>Lbs of Forage</a:t>
          </a:r>
        </a:p>
      </cdr:txBody>
    </cdr:sp>
  </cdr:relSizeAnchor>
</c:userShapes>
</file>

<file path=xl/drawings/drawing4.xml><?xml version="1.0" encoding="utf-8"?>
<xdr:wsDr xmlns:xdr="http://schemas.openxmlformats.org/drawingml/2006/spreadsheetDrawing" xmlns:a="http://schemas.openxmlformats.org/drawingml/2006/main">
  <xdr:twoCellAnchor>
    <xdr:from>
      <xdr:col>1</xdr:col>
      <xdr:colOff>31749</xdr:colOff>
      <xdr:row>1</xdr:row>
      <xdr:rowOff>42333</xdr:rowOff>
    </xdr:from>
    <xdr:to>
      <xdr:col>1</xdr:col>
      <xdr:colOff>1375832</xdr:colOff>
      <xdr:row>2</xdr:row>
      <xdr:rowOff>63500</xdr:rowOff>
    </xdr:to>
    <xdr:sp macro="[0]!TimeControlWorksheet_TextBox1_Click" textlink="">
      <xdr:nvSpPr>
        <xdr:cNvPr id="2" name="TextBox 1">
          <a:extLst>
            <a:ext uri="{FF2B5EF4-FFF2-40B4-BE49-F238E27FC236}">
              <a16:creationId xmlns:a16="http://schemas.microsoft.com/office/drawing/2014/main" id="{00000000-0008-0000-0100-000002000000}"/>
            </a:ext>
          </a:extLst>
        </xdr:cNvPr>
        <xdr:cNvSpPr txBox="1"/>
      </xdr:nvSpPr>
      <xdr:spPr>
        <a:xfrm>
          <a:off x="370416" y="201083"/>
          <a:ext cx="1344083" cy="275167"/>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Worksheet</a:t>
          </a:r>
        </a:p>
      </xdr:txBody>
    </xdr:sp>
    <xdr:clientData fLocksWithSheet="0" fPrintsWithSheet="0"/>
  </xdr:twoCellAnchor>
</xdr:wsDr>
</file>

<file path=xl/drawings/drawing5.xml><?xml version="1.0" encoding="utf-8"?>
<xdr:wsDr xmlns:xdr="http://schemas.openxmlformats.org/drawingml/2006/spreadsheetDrawing" xmlns:a="http://schemas.openxmlformats.org/drawingml/2006/main">
  <xdr:twoCellAnchor>
    <xdr:from>
      <xdr:col>1</xdr:col>
      <xdr:colOff>95251</xdr:colOff>
      <xdr:row>1</xdr:row>
      <xdr:rowOff>169333</xdr:rowOff>
    </xdr:from>
    <xdr:to>
      <xdr:col>1</xdr:col>
      <xdr:colOff>1492251</xdr:colOff>
      <xdr:row>2</xdr:row>
      <xdr:rowOff>143933</xdr:rowOff>
    </xdr:to>
    <xdr:sp macro="[0]!Summary_TextBox1_Click" textlink="">
      <xdr:nvSpPr>
        <xdr:cNvPr id="2" name="TextBox 1">
          <a:extLst>
            <a:ext uri="{FF2B5EF4-FFF2-40B4-BE49-F238E27FC236}">
              <a16:creationId xmlns:a16="http://schemas.microsoft.com/office/drawing/2014/main" id="{00000000-0008-0000-0200-000002000000}"/>
            </a:ext>
          </a:extLst>
        </xdr:cNvPr>
        <xdr:cNvSpPr txBox="1"/>
      </xdr:nvSpPr>
      <xdr:spPr>
        <a:xfrm>
          <a:off x="455084" y="370416"/>
          <a:ext cx="1397000" cy="376767"/>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Return to Model</a:t>
          </a:r>
        </a:p>
      </xdr:txBody>
    </xdr:sp>
    <xdr:clientData fLocksWithSheet="0" fPrintsWithSheet="0"/>
  </xdr:twoCellAnchor>
  <xdr:twoCellAnchor>
    <xdr:from>
      <xdr:col>1</xdr:col>
      <xdr:colOff>95249</xdr:colOff>
      <xdr:row>3</xdr:row>
      <xdr:rowOff>105833</xdr:rowOff>
    </xdr:from>
    <xdr:to>
      <xdr:col>1</xdr:col>
      <xdr:colOff>1494281</xdr:colOff>
      <xdr:row>4</xdr:row>
      <xdr:rowOff>220472</xdr:rowOff>
    </xdr:to>
    <xdr:sp macro="[0]!Summary_TextBox2_Click" textlink="">
      <xdr:nvSpPr>
        <xdr:cNvPr id="3" name="TextBox 2">
          <a:extLst>
            <a:ext uri="{FF2B5EF4-FFF2-40B4-BE49-F238E27FC236}">
              <a16:creationId xmlns:a16="http://schemas.microsoft.com/office/drawing/2014/main" id="{00000000-0008-0000-0200-000003000000}"/>
            </a:ext>
          </a:extLst>
        </xdr:cNvPr>
        <xdr:cNvSpPr txBox="1"/>
      </xdr:nvSpPr>
      <xdr:spPr>
        <a:xfrm>
          <a:off x="423332" y="645583"/>
          <a:ext cx="1399032" cy="347472"/>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Summary</a:t>
          </a:r>
        </a:p>
      </xdr:txBody>
    </xdr:sp>
    <xdr:clientData fLocksWithSheet="0" fPrintsWithSheet="0"/>
  </xdr:twoCellAnchor>
</xdr:wsDr>
</file>

<file path=xl/drawings/drawing6.xml><?xml version="1.0" encoding="utf-8"?>
<xdr:wsDr xmlns:xdr="http://schemas.openxmlformats.org/drawingml/2006/spreadsheetDrawing" xmlns:a="http://schemas.openxmlformats.org/drawingml/2006/main">
  <xdr:twoCellAnchor>
    <xdr:from>
      <xdr:col>1</xdr:col>
      <xdr:colOff>77932</xdr:colOff>
      <xdr:row>0</xdr:row>
      <xdr:rowOff>60615</xdr:rowOff>
    </xdr:from>
    <xdr:to>
      <xdr:col>3</xdr:col>
      <xdr:colOff>813955</xdr:colOff>
      <xdr:row>1</xdr:row>
      <xdr:rowOff>142875</xdr:rowOff>
    </xdr:to>
    <xdr:sp macro="[0]!Instructions_TextBox1_Click" textlink="">
      <xdr:nvSpPr>
        <xdr:cNvPr id="2" name="TextBox 1">
          <a:extLst>
            <a:ext uri="{FF2B5EF4-FFF2-40B4-BE49-F238E27FC236}">
              <a16:creationId xmlns:a16="http://schemas.microsoft.com/office/drawing/2014/main" id="{00000000-0008-0000-0300-000002000000}"/>
            </a:ext>
          </a:extLst>
        </xdr:cNvPr>
        <xdr:cNvSpPr txBox="1"/>
      </xdr:nvSpPr>
      <xdr:spPr>
        <a:xfrm>
          <a:off x="373207" y="60615"/>
          <a:ext cx="1231323" cy="234660"/>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latin typeface="Arial" pitchFamily="34" charset="0"/>
              <a:cs typeface="Arial" pitchFamily="34" charset="0"/>
            </a:rPr>
            <a:t>Print Instructions</a:t>
          </a:r>
        </a:p>
      </xdr:txBody>
    </xdr:sp>
    <xdr:clientData fLocksWithSheet="0" fPrintsWithSheet="0"/>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4</xdr:row>
          <xdr:rowOff>19050</xdr:rowOff>
        </xdr:from>
        <xdr:to>
          <xdr:col>3</xdr:col>
          <xdr:colOff>0</xdr:colOff>
          <xdr:row>5</xdr:row>
          <xdr:rowOff>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381000</xdr:colOff>
          <xdr:row>5</xdr:row>
          <xdr:rowOff>28575</xdr:rowOff>
        </xdr:from>
        <xdr:to>
          <xdr:col>3</xdr:col>
          <xdr:colOff>19050</xdr:colOff>
          <xdr:row>6</xdr:row>
          <xdr:rowOff>9525</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4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6</xdr:row>
          <xdr:rowOff>38100</xdr:rowOff>
        </xdr:from>
        <xdr:to>
          <xdr:col>3</xdr:col>
          <xdr:colOff>47625</xdr:colOff>
          <xdr:row>7</xdr:row>
          <xdr:rowOff>19050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4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7</xdr:row>
          <xdr:rowOff>38100</xdr:rowOff>
        </xdr:from>
        <xdr:to>
          <xdr:col>3</xdr:col>
          <xdr:colOff>0</xdr:colOff>
          <xdr:row>8</xdr:row>
          <xdr:rowOff>19050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4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8</xdr:row>
          <xdr:rowOff>38100</xdr:rowOff>
        </xdr:from>
        <xdr:to>
          <xdr:col>3</xdr:col>
          <xdr:colOff>28575</xdr:colOff>
          <xdr:row>9</xdr:row>
          <xdr:rowOff>28575</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4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9</xdr:row>
          <xdr:rowOff>28575</xdr:rowOff>
        </xdr:from>
        <xdr:to>
          <xdr:col>3</xdr:col>
          <xdr:colOff>9525</xdr:colOff>
          <xdr:row>10</xdr:row>
          <xdr:rowOff>19050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4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66675</xdr:colOff>
      <xdr:row>11</xdr:row>
      <xdr:rowOff>66675</xdr:rowOff>
    </xdr:from>
    <xdr:to>
      <xdr:col>5</xdr:col>
      <xdr:colOff>304800</xdr:colOff>
      <xdr:row>12</xdr:row>
      <xdr:rowOff>114300</xdr:rowOff>
    </xdr:to>
    <xdr:sp macro="[0]!FieldWorksheet_TextBox5_Click" textlink="">
      <xdr:nvSpPr>
        <xdr:cNvPr id="6" name="TextBox 5">
          <a:extLst>
            <a:ext uri="{FF2B5EF4-FFF2-40B4-BE49-F238E27FC236}">
              <a16:creationId xmlns:a16="http://schemas.microsoft.com/office/drawing/2014/main" id="{00000000-0008-0000-0400-000006000000}"/>
            </a:ext>
          </a:extLst>
        </xdr:cNvPr>
        <xdr:cNvSpPr txBox="1"/>
      </xdr:nvSpPr>
      <xdr:spPr>
        <a:xfrm>
          <a:off x="3162300" y="2771775"/>
          <a:ext cx="1552575" cy="276225"/>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latin typeface="Arial" pitchFamily="34" charset="0"/>
              <a:cs typeface="Arial" pitchFamily="34" charset="0"/>
            </a:rPr>
            <a:t>Print</a:t>
          </a:r>
          <a:r>
            <a:rPr lang="en-US" sz="1100" baseline="0">
              <a:latin typeface="Arial" pitchFamily="34" charset="0"/>
              <a:cs typeface="Arial" pitchFamily="34" charset="0"/>
            </a:rPr>
            <a:t> Field Worksheet</a:t>
          </a:r>
          <a:endParaRPr lang="en-US" sz="1100">
            <a:latin typeface="Arial" pitchFamily="34" charset="0"/>
            <a:cs typeface="Arial"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142875</xdr:colOff>
          <xdr:row>4</xdr:row>
          <xdr:rowOff>295275</xdr:rowOff>
        </xdr:from>
        <xdr:to>
          <xdr:col>1</xdr:col>
          <xdr:colOff>409575</xdr:colOff>
          <xdr:row>6</xdr:row>
          <xdr:rowOff>47625</xdr:rowOff>
        </xdr:to>
        <xdr:sp macro="" textlink="">
          <xdr:nvSpPr>
            <xdr:cNvPr id="12289" name="Check Box 1" hidden="1">
              <a:extLst>
                <a:ext uri="{63B3BB69-23CF-44E3-9099-C40C66FF867C}">
                  <a14:compatExt spid="_x0000_s12289"/>
                </a:ext>
                <a:ext uri="{FF2B5EF4-FFF2-40B4-BE49-F238E27FC236}">
                  <a16:creationId xmlns:a16="http://schemas.microsoft.com/office/drawing/2014/main" id="{00000000-0008-0000-0500-00000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4</xdr:row>
          <xdr:rowOff>304800</xdr:rowOff>
        </xdr:from>
        <xdr:to>
          <xdr:col>2</xdr:col>
          <xdr:colOff>457200</xdr:colOff>
          <xdr:row>6</xdr:row>
          <xdr:rowOff>57150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5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7</xdr:row>
          <xdr:rowOff>57150</xdr:rowOff>
        </xdr:from>
        <xdr:to>
          <xdr:col>1</xdr:col>
          <xdr:colOff>390525</xdr:colOff>
          <xdr:row>9</xdr:row>
          <xdr:rowOff>66675</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5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7</xdr:row>
          <xdr:rowOff>57150</xdr:rowOff>
        </xdr:from>
        <xdr:to>
          <xdr:col>2</xdr:col>
          <xdr:colOff>409575</xdr:colOff>
          <xdr:row>9</xdr:row>
          <xdr:rowOff>66675</xdr:rowOff>
        </xdr:to>
        <xdr:sp macro="" textlink="">
          <xdr:nvSpPr>
            <xdr:cNvPr id="12292" name="Check Box 4" hidden="1">
              <a:extLst>
                <a:ext uri="{63B3BB69-23CF-44E3-9099-C40C66FF867C}">
                  <a14:compatExt spid="_x0000_s12292"/>
                </a:ext>
                <a:ext uri="{FF2B5EF4-FFF2-40B4-BE49-F238E27FC236}">
                  <a16:creationId xmlns:a16="http://schemas.microsoft.com/office/drawing/2014/main" id="{00000000-0008-0000-0500-00000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10</xdr:row>
          <xdr:rowOff>57150</xdr:rowOff>
        </xdr:from>
        <xdr:to>
          <xdr:col>1</xdr:col>
          <xdr:colOff>409575</xdr:colOff>
          <xdr:row>12</xdr:row>
          <xdr:rowOff>66675</xdr:rowOff>
        </xdr:to>
        <xdr:sp macro="" textlink="">
          <xdr:nvSpPr>
            <xdr:cNvPr id="12293" name="Check Box 5" hidden="1">
              <a:extLst>
                <a:ext uri="{63B3BB69-23CF-44E3-9099-C40C66FF867C}">
                  <a14:compatExt spid="_x0000_s12293"/>
                </a:ext>
                <a:ext uri="{FF2B5EF4-FFF2-40B4-BE49-F238E27FC236}">
                  <a16:creationId xmlns:a16="http://schemas.microsoft.com/office/drawing/2014/main" id="{00000000-0008-0000-0500-00000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11</xdr:row>
          <xdr:rowOff>0</xdr:rowOff>
        </xdr:from>
        <xdr:to>
          <xdr:col>2</xdr:col>
          <xdr:colOff>409575</xdr:colOff>
          <xdr:row>12</xdr:row>
          <xdr:rowOff>85725</xdr:rowOff>
        </xdr:to>
        <xdr:sp macro="" textlink="">
          <xdr:nvSpPr>
            <xdr:cNvPr id="12294" name="Check Box 6" hidden="1">
              <a:extLst>
                <a:ext uri="{63B3BB69-23CF-44E3-9099-C40C66FF867C}">
                  <a14:compatExt spid="_x0000_s12294"/>
                </a:ext>
                <a:ext uri="{FF2B5EF4-FFF2-40B4-BE49-F238E27FC236}">
                  <a16:creationId xmlns:a16="http://schemas.microsoft.com/office/drawing/2014/main" id="{00000000-0008-0000-0500-00000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13</xdr:row>
          <xdr:rowOff>57150</xdr:rowOff>
        </xdr:from>
        <xdr:to>
          <xdr:col>1</xdr:col>
          <xdr:colOff>419100</xdr:colOff>
          <xdr:row>15</xdr:row>
          <xdr:rowOff>66675</xdr:rowOff>
        </xdr:to>
        <xdr:sp macro="" textlink="">
          <xdr:nvSpPr>
            <xdr:cNvPr id="12295" name="Check Box 7" hidden="1">
              <a:extLst>
                <a:ext uri="{63B3BB69-23CF-44E3-9099-C40C66FF867C}">
                  <a14:compatExt spid="_x0000_s12295"/>
                </a:ext>
                <a:ext uri="{FF2B5EF4-FFF2-40B4-BE49-F238E27FC236}">
                  <a16:creationId xmlns:a16="http://schemas.microsoft.com/office/drawing/2014/main" id="{00000000-0008-0000-0500-00000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13</xdr:row>
          <xdr:rowOff>57150</xdr:rowOff>
        </xdr:from>
        <xdr:to>
          <xdr:col>2</xdr:col>
          <xdr:colOff>409575</xdr:colOff>
          <xdr:row>15</xdr:row>
          <xdr:rowOff>66675</xdr:rowOff>
        </xdr:to>
        <xdr:sp macro="" textlink="">
          <xdr:nvSpPr>
            <xdr:cNvPr id="12296" name="Check Box 8" hidden="1">
              <a:extLst>
                <a:ext uri="{63B3BB69-23CF-44E3-9099-C40C66FF867C}">
                  <a14:compatExt spid="_x0000_s12296"/>
                </a:ext>
                <a:ext uri="{FF2B5EF4-FFF2-40B4-BE49-F238E27FC236}">
                  <a16:creationId xmlns:a16="http://schemas.microsoft.com/office/drawing/2014/main" id="{00000000-0008-0000-0500-00000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16</xdr:row>
          <xdr:rowOff>66675</xdr:rowOff>
        </xdr:from>
        <xdr:to>
          <xdr:col>1</xdr:col>
          <xdr:colOff>419100</xdr:colOff>
          <xdr:row>18</xdr:row>
          <xdr:rowOff>76200</xdr:rowOff>
        </xdr:to>
        <xdr:sp macro="" textlink="">
          <xdr:nvSpPr>
            <xdr:cNvPr id="12297" name="Check Box 9" hidden="1">
              <a:extLst>
                <a:ext uri="{63B3BB69-23CF-44E3-9099-C40C66FF867C}">
                  <a14:compatExt spid="_x0000_s12297"/>
                </a:ext>
                <a:ext uri="{FF2B5EF4-FFF2-40B4-BE49-F238E27FC236}">
                  <a16:creationId xmlns:a16="http://schemas.microsoft.com/office/drawing/2014/main" id="{00000000-0008-0000-0500-00000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16</xdr:row>
          <xdr:rowOff>66675</xdr:rowOff>
        </xdr:from>
        <xdr:to>
          <xdr:col>2</xdr:col>
          <xdr:colOff>428625</xdr:colOff>
          <xdr:row>18</xdr:row>
          <xdr:rowOff>76200</xdr:rowOff>
        </xdr:to>
        <xdr:sp macro="" textlink="">
          <xdr:nvSpPr>
            <xdr:cNvPr id="12298" name="Check Box 10" hidden="1">
              <a:extLst>
                <a:ext uri="{63B3BB69-23CF-44E3-9099-C40C66FF867C}">
                  <a14:compatExt spid="_x0000_s12298"/>
                </a:ext>
                <a:ext uri="{FF2B5EF4-FFF2-40B4-BE49-F238E27FC236}">
                  <a16:creationId xmlns:a16="http://schemas.microsoft.com/office/drawing/2014/main" id="{00000000-0008-0000-0500-00000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23</xdr:row>
          <xdr:rowOff>9525</xdr:rowOff>
        </xdr:from>
        <xdr:to>
          <xdr:col>1</xdr:col>
          <xdr:colOff>409575</xdr:colOff>
          <xdr:row>24</xdr:row>
          <xdr:rowOff>57150</xdr:rowOff>
        </xdr:to>
        <xdr:sp macro="" textlink="">
          <xdr:nvSpPr>
            <xdr:cNvPr id="12299" name="Check Box 11" hidden="1">
              <a:extLst>
                <a:ext uri="{63B3BB69-23CF-44E3-9099-C40C66FF867C}">
                  <a14:compatExt spid="_x0000_s12299"/>
                </a:ext>
                <a:ext uri="{FF2B5EF4-FFF2-40B4-BE49-F238E27FC236}">
                  <a16:creationId xmlns:a16="http://schemas.microsoft.com/office/drawing/2014/main" id="{00000000-0008-0000-0500-00000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22</xdr:row>
          <xdr:rowOff>47625</xdr:rowOff>
        </xdr:from>
        <xdr:to>
          <xdr:col>2</xdr:col>
          <xdr:colOff>428625</xdr:colOff>
          <xdr:row>24</xdr:row>
          <xdr:rowOff>57150</xdr:rowOff>
        </xdr:to>
        <xdr:sp macro="" textlink="">
          <xdr:nvSpPr>
            <xdr:cNvPr id="12300" name="Check Box 12" hidden="1">
              <a:extLst>
                <a:ext uri="{63B3BB69-23CF-44E3-9099-C40C66FF867C}">
                  <a14:compatExt spid="_x0000_s12300"/>
                </a:ext>
                <a:ext uri="{FF2B5EF4-FFF2-40B4-BE49-F238E27FC236}">
                  <a16:creationId xmlns:a16="http://schemas.microsoft.com/office/drawing/2014/main" id="{00000000-0008-0000-0500-00000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19</xdr:row>
          <xdr:rowOff>57150</xdr:rowOff>
        </xdr:from>
        <xdr:to>
          <xdr:col>1</xdr:col>
          <xdr:colOff>409575</xdr:colOff>
          <xdr:row>21</xdr:row>
          <xdr:rowOff>66675</xdr:rowOff>
        </xdr:to>
        <xdr:sp macro="" textlink="">
          <xdr:nvSpPr>
            <xdr:cNvPr id="12301" name="Check Box 13" hidden="1">
              <a:extLst>
                <a:ext uri="{63B3BB69-23CF-44E3-9099-C40C66FF867C}">
                  <a14:compatExt spid="_x0000_s12301"/>
                </a:ext>
                <a:ext uri="{FF2B5EF4-FFF2-40B4-BE49-F238E27FC236}">
                  <a16:creationId xmlns:a16="http://schemas.microsoft.com/office/drawing/2014/main" id="{00000000-0008-0000-0500-00000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19</xdr:row>
          <xdr:rowOff>57150</xdr:rowOff>
        </xdr:from>
        <xdr:to>
          <xdr:col>2</xdr:col>
          <xdr:colOff>419100</xdr:colOff>
          <xdr:row>21</xdr:row>
          <xdr:rowOff>66675</xdr:rowOff>
        </xdr:to>
        <xdr:sp macro="" textlink="">
          <xdr:nvSpPr>
            <xdr:cNvPr id="12302" name="Check Box 14" hidden="1">
              <a:extLst>
                <a:ext uri="{63B3BB69-23CF-44E3-9099-C40C66FF867C}">
                  <a14:compatExt spid="_x0000_s12302"/>
                </a:ext>
                <a:ext uri="{FF2B5EF4-FFF2-40B4-BE49-F238E27FC236}">
                  <a16:creationId xmlns:a16="http://schemas.microsoft.com/office/drawing/2014/main" id="{00000000-0008-0000-0500-00000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25</xdr:row>
          <xdr:rowOff>66675</xdr:rowOff>
        </xdr:from>
        <xdr:to>
          <xdr:col>1</xdr:col>
          <xdr:colOff>409575</xdr:colOff>
          <xdr:row>27</xdr:row>
          <xdr:rowOff>57150</xdr:rowOff>
        </xdr:to>
        <xdr:sp macro="" textlink="">
          <xdr:nvSpPr>
            <xdr:cNvPr id="12303" name="Check Box 15" hidden="1">
              <a:extLst>
                <a:ext uri="{63B3BB69-23CF-44E3-9099-C40C66FF867C}">
                  <a14:compatExt spid="_x0000_s12303"/>
                </a:ext>
                <a:ext uri="{FF2B5EF4-FFF2-40B4-BE49-F238E27FC236}">
                  <a16:creationId xmlns:a16="http://schemas.microsoft.com/office/drawing/2014/main" id="{00000000-0008-0000-05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25</xdr:row>
          <xdr:rowOff>66675</xdr:rowOff>
        </xdr:from>
        <xdr:to>
          <xdr:col>2</xdr:col>
          <xdr:colOff>428625</xdr:colOff>
          <xdr:row>27</xdr:row>
          <xdr:rowOff>57150</xdr:rowOff>
        </xdr:to>
        <xdr:sp macro="" textlink="">
          <xdr:nvSpPr>
            <xdr:cNvPr id="12304" name="Check Box 16" hidden="1">
              <a:extLst>
                <a:ext uri="{63B3BB69-23CF-44E3-9099-C40C66FF867C}">
                  <a14:compatExt spid="_x0000_s12304"/>
                </a:ext>
                <a:ext uri="{FF2B5EF4-FFF2-40B4-BE49-F238E27FC236}">
                  <a16:creationId xmlns:a16="http://schemas.microsoft.com/office/drawing/2014/main" id="{00000000-0008-0000-05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xdr:from>
      <xdr:col>1</xdr:col>
      <xdr:colOff>85724</xdr:colOff>
      <xdr:row>1</xdr:row>
      <xdr:rowOff>76200</xdr:rowOff>
    </xdr:from>
    <xdr:to>
      <xdr:col>3</xdr:col>
      <xdr:colOff>695324</xdr:colOff>
      <xdr:row>2</xdr:row>
      <xdr:rowOff>152400</xdr:rowOff>
    </xdr:to>
    <xdr:sp macro="[0]!ExplanationsheetforLO_TextBox1_Click" textlink="">
      <xdr:nvSpPr>
        <xdr:cNvPr id="2" name="TextBox 1">
          <a:extLst>
            <a:ext uri="{FF2B5EF4-FFF2-40B4-BE49-F238E27FC236}">
              <a16:creationId xmlns:a16="http://schemas.microsoft.com/office/drawing/2014/main" id="{00000000-0008-0000-0500-000002000000}"/>
            </a:ext>
          </a:extLst>
        </xdr:cNvPr>
        <xdr:cNvSpPr txBox="1"/>
      </xdr:nvSpPr>
      <xdr:spPr>
        <a:xfrm>
          <a:off x="428624" y="238125"/>
          <a:ext cx="1838325" cy="276225"/>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Explanation Sheet</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0</xdr:col>
      <xdr:colOff>17145</xdr:colOff>
      <xdr:row>1</xdr:row>
      <xdr:rowOff>22861</xdr:rowOff>
    </xdr:from>
    <xdr:to>
      <xdr:col>1</xdr:col>
      <xdr:colOff>731520</xdr:colOff>
      <xdr:row>2</xdr:row>
      <xdr:rowOff>108586</xdr:rowOff>
    </xdr:to>
    <xdr:sp macro="[0]!ForageGrowthCurves_TextBox1_Click" textlink="">
      <xdr:nvSpPr>
        <xdr:cNvPr id="2" name="TextBox 1">
          <a:extLst>
            <a:ext uri="{FF2B5EF4-FFF2-40B4-BE49-F238E27FC236}">
              <a16:creationId xmlns:a16="http://schemas.microsoft.com/office/drawing/2014/main" id="{00000000-0008-0000-0A00-000002000000}"/>
            </a:ext>
          </a:extLst>
        </xdr:cNvPr>
        <xdr:cNvSpPr txBox="1"/>
      </xdr:nvSpPr>
      <xdr:spPr>
        <a:xfrm>
          <a:off x="17145" y="182881"/>
          <a:ext cx="1323975" cy="283845"/>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Return to</a:t>
          </a:r>
          <a:r>
            <a:rPr lang="en-US" sz="1200" baseline="0">
              <a:latin typeface="Arial" pitchFamily="34" charset="0"/>
              <a:cs typeface="Arial" pitchFamily="34" charset="0"/>
            </a:rPr>
            <a:t> Model</a:t>
          </a:r>
          <a:endParaRPr lang="en-US" sz="1200">
            <a:latin typeface="Arial" pitchFamily="34" charset="0"/>
            <a:cs typeface="Arial"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1314450</xdr:colOff>
      <xdr:row>68</xdr:row>
      <xdr:rowOff>9525</xdr:rowOff>
    </xdr:from>
    <xdr:to>
      <xdr:col>5</xdr:col>
      <xdr:colOff>904875</xdr:colOff>
      <xdr:row>70</xdr:row>
      <xdr:rowOff>9525</xdr:rowOff>
    </xdr:to>
    <xdr:pic>
      <xdr:nvPicPr>
        <xdr:cNvPr id="2" name="Picture 6" descr="Univ_B_1_NoTh_Reg">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lum contrast="20000"/>
          <a:extLst>
            <a:ext uri="{28A0092B-C50C-407E-A947-70E740481C1C}">
              <a14:useLocalDpi xmlns:a14="http://schemas.microsoft.com/office/drawing/2010/main" val="0"/>
            </a:ext>
          </a:extLst>
        </a:blip>
        <a:srcRect/>
        <a:stretch>
          <a:fillRect/>
        </a:stretch>
      </xdr:blipFill>
      <xdr:spPr bwMode="auto">
        <a:xfrm>
          <a:off x="1562100" y="16687800"/>
          <a:ext cx="51625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3</xdr:col>
      <xdr:colOff>200024</xdr:colOff>
      <xdr:row>7</xdr:row>
      <xdr:rowOff>0</xdr:rowOff>
    </xdr:from>
    <xdr:to>
      <xdr:col>13</xdr:col>
      <xdr:colOff>495299</xdr:colOff>
      <xdr:row>25</xdr:row>
      <xdr:rowOff>147638</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28575</xdr:colOff>
      <xdr:row>4</xdr:row>
      <xdr:rowOff>66675</xdr:rowOff>
    </xdr:from>
    <xdr:to>
      <xdr:col>2</xdr:col>
      <xdr:colOff>400050</xdr:colOff>
      <xdr:row>5</xdr:row>
      <xdr:rowOff>228600</xdr:rowOff>
    </xdr:to>
    <xdr:sp macro="[0]!PastureGrazingEfficiency_TextBox2_Click" textlink="">
      <xdr:nvSpPr>
        <xdr:cNvPr id="3" name="TextBox 2">
          <a:extLst>
            <a:ext uri="{FF2B5EF4-FFF2-40B4-BE49-F238E27FC236}">
              <a16:creationId xmlns:a16="http://schemas.microsoft.com/office/drawing/2014/main" id="{00000000-0008-0000-0C00-000003000000}"/>
            </a:ext>
          </a:extLst>
        </xdr:cNvPr>
        <xdr:cNvSpPr txBox="1"/>
      </xdr:nvSpPr>
      <xdr:spPr>
        <a:xfrm>
          <a:off x="714375" y="1419225"/>
          <a:ext cx="1343025" cy="314325"/>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200">
              <a:latin typeface="Arial" pitchFamily="34" charset="0"/>
              <a:cs typeface="Arial" pitchFamily="34" charset="0"/>
            </a:rPr>
            <a:t>Return to Model</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0</xdr:row>
      <xdr:rowOff>95250</xdr:rowOff>
    </xdr:from>
    <xdr:to>
      <xdr:col>2</xdr:col>
      <xdr:colOff>85725</xdr:colOff>
      <xdr:row>2</xdr:row>
      <xdr:rowOff>114300</xdr:rowOff>
    </xdr:to>
    <xdr:sp macro="[0]!FSGTables_TextBox4_Click" textlink="">
      <xdr:nvSpPr>
        <xdr:cNvPr id="5" name="TextBox 4">
          <a:extLst>
            <a:ext uri="{FF2B5EF4-FFF2-40B4-BE49-F238E27FC236}">
              <a16:creationId xmlns:a16="http://schemas.microsoft.com/office/drawing/2014/main" id="{00000000-0008-0000-0E00-000005000000}"/>
            </a:ext>
          </a:extLst>
        </xdr:cNvPr>
        <xdr:cNvSpPr txBox="1"/>
      </xdr:nvSpPr>
      <xdr:spPr>
        <a:xfrm>
          <a:off x="152400" y="95250"/>
          <a:ext cx="1304925" cy="323850"/>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Return to Model</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1.vml"/><Relationship Id="rId21" Type="http://schemas.openxmlformats.org/officeDocument/2006/relationships/image" Target="../media/image9.emf"/><Relationship Id="rId34" Type="http://schemas.openxmlformats.org/officeDocument/2006/relationships/image" Target="../media/image15.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33" Type="http://schemas.openxmlformats.org/officeDocument/2006/relationships/control" Target="../activeX/activeX16.xml"/><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image" Target="../media/image13.emf"/><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32" Type="http://schemas.openxmlformats.org/officeDocument/2006/relationships/control" Target="../activeX/activeX15.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ontrol" Target="../activeX/activeX13.xml"/><Relationship Id="rId10" Type="http://schemas.openxmlformats.org/officeDocument/2006/relationships/control" Target="../activeX/activeX4.xml"/><Relationship Id="rId19" Type="http://schemas.openxmlformats.org/officeDocument/2006/relationships/image" Target="../media/image8.emf"/><Relationship Id="rId31" Type="http://schemas.openxmlformats.org/officeDocument/2006/relationships/image" Target="../media/image14.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 Id="rId30" Type="http://schemas.openxmlformats.org/officeDocument/2006/relationships/control" Target="../activeX/activeX14.xml"/><Relationship Id="rId35"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7.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1.xml"/><Relationship Id="rId13" Type="http://schemas.openxmlformats.org/officeDocument/2006/relationships/ctrlProp" Target="../ctrlProps/ctrlProp16.xml"/><Relationship Id="rId18" Type="http://schemas.openxmlformats.org/officeDocument/2006/relationships/ctrlProp" Target="../ctrlProps/ctrlProp21.xml"/><Relationship Id="rId3" Type="http://schemas.openxmlformats.org/officeDocument/2006/relationships/vmlDrawing" Target="../drawings/vmlDrawing3.vml"/><Relationship Id="rId7" Type="http://schemas.openxmlformats.org/officeDocument/2006/relationships/ctrlProp" Target="../ctrlProps/ctrlProp10.xml"/><Relationship Id="rId12" Type="http://schemas.openxmlformats.org/officeDocument/2006/relationships/ctrlProp" Target="../ctrlProps/ctrlProp15.xml"/><Relationship Id="rId17" Type="http://schemas.openxmlformats.org/officeDocument/2006/relationships/ctrlProp" Target="../ctrlProps/ctrlProp20.xml"/><Relationship Id="rId2" Type="http://schemas.openxmlformats.org/officeDocument/2006/relationships/drawing" Target="../drawings/drawing8.xml"/><Relationship Id="rId16" Type="http://schemas.openxmlformats.org/officeDocument/2006/relationships/ctrlProp" Target="../ctrlProps/ctrlProp19.xml"/><Relationship Id="rId1" Type="http://schemas.openxmlformats.org/officeDocument/2006/relationships/printerSettings" Target="../printerSettings/printerSettings6.bin"/><Relationship Id="rId6" Type="http://schemas.openxmlformats.org/officeDocument/2006/relationships/ctrlProp" Target="../ctrlProps/ctrlProp9.xml"/><Relationship Id="rId11" Type="http://schemas.openxmlformats.org/officeDocument/2006/relationships/ctrlProp" Target="../ctrlProps/ctrlProp14.xml"/><Relationship Id="rId5" Type="http://schemas.openxmlformats.org/officeDocument/2006/relationships/ctrlProp" Target="../ctrlProps/ctrlProp8.xml"/><Relationship Id="rId15" Type="http://schemas.openxmlformats.org/officeDocument/2006/relationships/ctrlProp" Target="../ctrlProps/ctrlProp18.xml"/><Relationship Id="rId10" Type="http://schemas.openxmlformats.org/officeDocument/2006/relationships/ctrlProp" Target="../ctrlProps/ctrlProp13.xml"/><Relationship Id="rId19" Type="http://schemas.openxmlformats.org/officeDocument/2006/relationships/ctrlProp" Target="../ctrlProps/ctrlProp22.xml"/><Relationship Id="rId4" Type="http://schemas.openxmlformats.org/officeDocument/2006/relationships/ctrlProp" Target="../ctrlProps/ctrlProp7.xml"/><Relationship Id="rId9" Type="http://schemas.openxmlformats.org/officeDocument/2006/relationships/ctrlProp" Target="../ctrlProps/ctrlProp12.xml"/><Relationship Id="rId1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www.extension.iastate.edu/agdm/crops/html/a1-15.html" TargetMode="External"/><Relationship Id="rId1" Type="http://schemas.openxmlformats.org/officeDocument/2006/relationships/hyperlink" Target="mailto:wedwards@iastate.edu?subject=AgDM%20Hay%20Storage%20Spreadsheet" TargetMode="External"/><Relationship Id="rId5" Type="http://schemas.openxmlformats.org/officeDocument/2006/relationships/comments" Target="../comments2.xml"/><Relationship Id="rId4"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syncVertical="1" syncRef="D1" transitionEvaluation="1" codeName="Sheet1">
    <tabColor theme="3" tint="0.79998168889431442"/>
    <pageSetUpPr fitToPage="1"/>
  </sheetPr>
  <dimension ref="A1:CC359"/>
  <sheetViews>
    <sheetView showGridLines="0" showZeros="0" topLeftCell="D1" zoomScale="80" zoomScaleNormal="80" workbookViewId="0">
      <selection activeCell="U224" sqref="U224"/>
    </sheetView>
  </sheetViews>
  <sheetFormatPr defaultColWidth="9.625" defaultRowHeight="15"/>
  <cols>
    <col min="1" max="3" width="9.625" style="4" hidden="1" customWidth="1"/>
    <col min="4" max="4" width="2.25" style="4" customWidth="1"/>
    <col min="5" max="5" width="5.625" style="4" customWidth="1"/>
    <col min="6" max="6" width="5.5" style="4" customWidth="1"/>
    <col min="7" max="7" width="10.5" style="4" customWidth="1"/>
    <col min="8" max="8" width="39.625" style="4" customWidth="1"/>
    <col min="9" max="9" width="9.375" style="4" customWidth="1"/>
    <col min="10" max="10" width="10.25" style="4" customWidth="1"/>
    <col min="11" max="11" width="10.75" style="4" customWidth="1"/>
    <col min="12" max="12" width="12.5" style="4" customWidth="1"/>
    <col min="13" max="13" width="13.25" style="4" customWidth="1"/>
    <col min="14" max="25" width="10.625" style="4" customWidth="1"/>
    <col min="26" max="26" width="2" style="4" customWidth="1"/>
    <col min="27" max="28" width="4.75" style="4" customWidth="1"/>
    <col min="29" max="29" width="1.75" style="4" customWidth="1"/>
    <col min="30" max="30" width="2.25" style="4" customWidth="1"/>
    <col min="31" max="31" width="2.375" style="4" customWidth="1"/>
    <col min="32" max="32" width="2.625" style="4" customWidth="1"/>
    <col min="33" max="33" width="2.5" style="4" customWidth="1"/>
    <col min="34" max="34" width="2.75" style="4" customWidth="1"/>
    <col min="35" max="35" width="3.125" style="4" customWidth="1"/>
    <col min="36" max="36" width="1.875" style="4" customWidth="1"/>
    <col min="37" max="37" width="3.5" style="4" customWidth="1"/>
    <col min="38" max="38" width="2.125" style="4" customWidth="1"/>
    <col min="39" max="39" width="3.75" style="4" customWidth="1"/>
    <col min="40" max="40" width="2.125" style="4" customWidth="1"/>
    <col min="41" max="41" width="3" style="4" customWidth="1"/>
    <col min="42" max="42" width="2.125" style="4" customWidth="1"/>
    <col min="43" max="43" width="2.875" style="4" customWidth="1"/>
    <col min="44" max="44" width="2.625" style="4" customWidth="1"/>
    <col min="45" max="46" width="1.75" style="4" customWidth="1"/>
    <col min="47" max="48" width="1.375" style="4" customWidth="1"/>
    <col min="49" max="49" width="15.25" style="4" customWidth="1"/>
    <col min="50" max="50" width="10.625" style="4" customWidth="1"/>
    <col min="51" max="52" width="9.625" style="4"/>
    <col min="53" max="53" width="9.5" style="4" customWidth="1"/>
    <col min="54" max="65" width="9.625" style="4"/>
    <col min="66" max="66" width="11.5" style="4" customWidth="1"/>
    <col min="67" max="69" width="9.625" style="4"/>
    <col min="70" max="70" width="11.25" style="4" customWidth="1"/>
    <col min="71" max="79" width="9.625" style="4"/>
    <col min="80" max="80" width="9.625" style="126"/>
    <col min="81" max="16384" width="9.625" style="4"/>
  </cols>
  <sheetData>
    <row r="1" spans="1:48" ht="61.5" customHeight="1" thickBot="1">
      <c r="F1" s="1339" t="s">
        <v>326</v>
      </c>
      <c r="G1" s="1339"/>
      <c r="H1" s="1339"/>
      <c r="I1" s="1339"/>
      <c r="J1" s="1339"/>
      <c r="K1" s="1339"/>
      <c r="L1" s="1339"/>
      <c r="M1" s="1339"/>
      <c r="N1" s="1339"/>
      <c r="O1" s="1339"/>
      <c r="P1" s="1339"/>
      <c r="Q1" s="1339"/>
      <c r="R1" s="1339"/>
      <c r="S1" s="1339"/>
      <c r="T1" s="1339"/>
      <c r="U1" s="1339"/>
      <c r="V1" s="1339"/>
      <c r="W1" s="1339"/>
      <c r="X1" s="1339"/>
      <c r="Y1" s="1339"/>
      <c r="Z1" s="1339"/>
    </row>
    <row r="2" spans="1:48" ht="36" customHeight="1" thickBot="1">
      <c r="A2" s="23"/>
      <c r="B2" s="23"/>
      <c r="C2" s="23"/>
      <c r="D2" s="162"/>
      <c r="E2" s="427"/>
      <c r="F2" s="1347"/>
      <c r="G2" s="1347"/>
      <c r="H2" s="1347"/>
      <c r="I2" s="582"/>
      <c r="J2" s="1340" t="s">
        <v>328</v>
      </c>
      <c r="K2" s="1340"/>
      <c r="L2" s="1340"/>
      <c r="M2" s="1340"/>
      <c r="N2" s="1340"/>
      <c r="O2" s="1340"/>
      <c r="P2" s="1340"/>
      <c r="Q2" s="1340"/>
      <c r="R2" s="1340"/>
      <c r="S2" s="582"/>
      <c r="T2" s="583"/>
      <c r="U2" s="582"/>
      <c r="V2" s="582"/>
      <c r="W2" s="582"/>
      <c r="X2" s="582"/>
      <c r="Y2" s="582"/>
      <c r="Z2" s="446"/>
      <c r="AH2" s="25"/>
      <c r="AU2" s="29"/>
      <c r="AV2" s="29"/>
    </row>
    <row r="3" spans="1:48" ht="124.9" customHeight="1" thickBot="1">
      <c r="A3" s="23"/>
      <c r="B3" s="23"/>
      <c r="C3" s="23"/>
      <c r="D3" s="162"/>
      <c r="E3" s="581"/>
      <c r="F3" s="1328" t="s">
        <v>582</v>
      </c>
      <c r="G3" s="1328"/>
      <c r="H3" s="1328"/>
      <c r="I3" s="1328"/>
      <c r="J3" s="1328"/>
      <c r="K3" s="1328"/>
      <c r="L3" s="1328"/>
      <c r="M3" s="1328"/>
      <c r="N3" s="1328"/>
      <c r="O3" s="1328"/>
      <c r="P3" s="1328"/>
      <c r="Q3" s="1328"/>
      <c r="R3" s="1328"/>
      <c r="S3" s="1328"/>
      <c r="T3" s="1328"/>
      <c r="U3" s="1328"/>
      <c r="V3" s="1328"/>
      <c r="W3" s="1328"/>
      <c r="X3" s="1328"/>
      <c r="Y3" s="1329"/>
      <c r="Z3" s="444"/>
      <c r="AH3" s="25"/>
      <c r="AU3" s="29"/>
      <c r="AV3" s="29"/>
    </row>
    <row r="4" spans="1:48" ht="15.75" thickBot="1">
      <c r="A4" s="23"/>
      <c r="B4" s="23"/>
      <c r="C4" s="23"/>
      <c r="D4" s="162"/>
      <c r="E4" s="428"/>
      <c r="F4" s="429"/>
      <c r="G4" s="429"/>
      <c r="H4" s="430"/>
      <c r="I4" s="429"/>
      <c r="J4" s="429"/>
      <c r="K4" s="429"/>
      <c r="L4" s="429"/>
      <c r="M4" s="429"/>
      <c r="N4" s="429"/>
      <c r="O4" s="429"/>
      <c r="P4" s="429"/>
      <c r="Q4" s="429"/>
      <c r="R4" s="429"/>
      <c r="S4" s="429"/>
      <c r="T4" s="429"/>
      <c r="U4" s="429"/>
      <c r="V4" s="429"/>
      <c r="W4" s="429"/>
      <c r="X4" s="429"/>
      <c r="Y4" s="429"/>
      <c r="Z4" s="444"/>
      <c r="AD4" s="5"/>
      <c r="AF4" s="127"/>
      <c r="AG4" s="30"/>
      <c r="AH4" s="30"/>
      <c r="AI4" s="30"/>
      <c r="AJ4" s="30"/>
      <c r="AK4" s="30"/>
      <c r="AL4" s="30"/>
      <c r="AM4" s="5"/>
      <c r="AN4" s="30"/>
      <c r="AO4" s="127"/>
      <c r="AP4" s="30"/>
      <c r="AQ4" s="30"/>
      <c r="AS4" s="30"/>
      <c r="AU4" s="29"/>
      <c r="AV4" s="29"/>
    </row>
    <row r="5" spans="1:48" ht="15.75">
      <c r="A5" s="23"/>
      <c r="B5" s="23"/>
      <c r="C5" s="23"/>
      <c r="D5" s="162"/>
      <c r="E5" s="451"/>
      <c r="F5" s="429"/>
      <c r="G5" s="430"/>
      <c r="H5" s="634" t="s">
        <v>327</v>
      </c>
      <c r="I5" s="429"/>
      <c r="J5" s="1350" t="s">
        <v>322</v>
      </c>
      <c r="K5" s="1351"/>
      <c r="L5" s="1351"/>
      <c r="M5" s="1351"/>
      <c r="N5" s="1351"/>
      <c r="O5" s="1351"/>
      <c r="P5" s="1351"/>
      <c r="Q5" s="1351"/>
      <c r="R5" s="1352"/>
      <c r="S5" s="432"/>
      <c r="T5" s="445" t="s">
        <v>497</v>
      </c>
      <c r="U5" s="429"/>
      <c r="V5" s="429"/>
      <c r="W5" s="429"/>
      <c r="X5" s="429"/>
      <c r="Y5" s="429"/>
      <c r="Z5" s="444"/>
      <c r="AD5" s="5"/>
      <c r="AF5" s="127"/>
      <c r="AG5" s="30"/>
      <c r="AH5" s="30"/>
      <c r="AI5" s="30"/>
      <c r="AJ5" s="30"/>
      <c r="AK5" s="30"/>
      <c r="AL5" s="30"/>
      <c r="AM5" s="5"/>
      <c r="AN5" s="30"/>
      <c r="AO5" s="128"/>
      <c r="AP5" s="30"/>
      <c r="AQ5" s="30"/>
      <c r="AS5" s="30"/>
      <c r="AU5" s="29"/>
      <c r="AV5" s="29"/>
    </row>
    <row r="6" spans="1:48" ht="17.100000000000001" customHeight="1">
      <c r="A6" s="23"/>
      <c r="B6" s="23"/>
      <c r="C6" s="23"/>
      <c r="D6" s="162"/>
      <c r="E6" s="428"/>
      <c r="F6" s="429"/>
      <c r="G6" s="431" t="s">
        <v>24</v>
      </c>
      <c r="H6" s="1243"/>
      <c r="I6" s="1075"/>
      <c r="J6" s="1077"/>
      <c r="K6" s="1078"/>
      <c r="L6" s="1078"/>
      <c r="M6" s="1078"/>
      <c r="N6" s="32"/>
      <c r="O6" s="32"/>
      <c r="P6" s="32"/>
      <c r="Q6" s="1078"/>
      <c r="R6" s="138"/>
      <c r="S6" s="1079"/>
      <c r="T6" s="1290"/>
      <c r="U6" s="1291"/>
      <c r="V6" s="1291"/>
      <c r="W6" s="1291"/>
      <c r="X6" s="1291"/>
      <c r="Y6" s="1292"/>
      <c r="Z6" s="444"/>
      <c r="AC6" s="33"/>
      <c r="AD6" s="34"/>
      <c r="AE6" s="34"/>
      <c r="AF6" s="34"/>
      <c r="AG6" s="34"/>
      <c r="AH6" s="34"/>
      <c r="AI6" s="34"/>
      <c r="AJ6" s="34"/>
      <c r="AK6" s="34"/>
      <c r="AL6" s="34"/>
      <c r="AM6" s="34"/>
      <c r="AN6" s="34"/>
      <c r="AO6" s="34"/>
      <c r="AP6" s="34"/>
      <c r="AQ6" s="34"/>
      <c r="AS6" s="34"/>
      <c r="AV6" s="29"/>
    </row>
    <row r="7" spans="1:48" ht="17.100000000000001" customHeight="1">
      <c r="A7" s="23"/>
      <c r="B7" s="23"/>
      <c r="C7" s="23"/>
      <c r="D7" s="162"/>
      <c r="E7" s="428"/>
      <c r="F7" s="429"/>
      <c r="G7" s="431" t="s">
        <v>25</v>
      </c>
      <c r="H7" s="1243" t="s">
        <v>727</v>
      </c>
      <c r="I7" s="1076"/>
      <c r="J7" s="1080"/>
      <c r="K7" s="1078"/>
      <c r="L7" s="1078"/>
      <c r="M7" s="1078"/>
      <c r="N7" s="32"/>
      <c r="O7" s="32"/>
      <c r="P7" s="32"/>
      <c r="Q7" s="1078"/>
      <c r="R7" s="138"/>
      <c r="S7" s="442"/>
      <c r="T7" s="1293"/>
      <c r="U7" s="1294"/>
      <c r="V7" s="1294"/>
      <c r="W7" s="1294"/>
      <c r="X7" s="1294"/>
      <c r="Y7" s="1295"/>
      <c r="Z7" s="444"/>
      <c r="AC7" s="5"/>
      <c r="AG7" s="129"/>
      <c r="AI7" s="5"/>
      <c r="AM7" s="5"/>
      <c r="AO7" s="130"/>
      <c r="AQ7" s="5"/>
      <c r="AV7" s="29"/>
    </row>
    <row r="8" spans="1:48" ht="17.100000000000001" customHeight="1">
      <c r="A8" s="23"/>
      <c r="B8" s="23"/>
      <c r="C8" s="23"/>
      <c r="D8" s="162"/>
      <c r="E8" s="428"/>
      <c r="F8" s="429"/>
      <c r="G8" s="431" t="s">
        <v>28</v>
      </c>
      <c r="H8" s="1243" t="s">
        <v>727</v>
      </c>
      <c r="I8" s="1075"/>
      <c r="J8" s="1077"/>
      <c r="K8" s="1078"/>
      <c r="L8" s="1078"/>
      <c r="M8" s="1078"/>
      <c r="N8" s="32"/>
      <c r="O8" s="32"/>
      <c r="P8" s="32"/>
      <c r="Q8" s="1078"/>
      <c r="R8" s="138"/>
      <c r="S8" s="442"/>
      <c r="T8" s="1293"/>
      <c r="U8" s="1294"/>
      <c r="V8" s="1294"/>
      <c r="W8" s="1294"/>
      <c r="X8" s="1294"/>
      <c r="Y8" s="1295"/>
      <c r="Z8" s="444"/>
      <c r="AC8" s="5"/>
      <c r="AG8" s="129"/>
      <c r="AI8" s="5"/>
      <c r="AM8" s="5"/>
      <c r="AO8" s="130"/>
      <c r="AV8" s="29"/>
    </row>
    <row r="9" spans="1:48" ht="17.100000000000001" customHeight="1">
      <c r="A9" s="23"/>
      <c r="B9" s="23"/>
      <c r="C9" s="23"/>
      <c r="D9" s="162"/>
      <c r="E9" s="428"/>
      <c r="F9" s="429"/>
      <c r="G9" s="431" t="s">
        <v>26</v>
      </c>
      <c r="H9" s="1243" t="s">
        <v>727</v>
      </c>
      <c r="I9" s="1075"/>
      <c r="J9" s="1077"/>
      <c r="K9" s="1078"/>
      <c r="L9" s="1078"/>
      <c r="M9" s="1078"/>
      <c r="N9" s="32"/>
      <c r="O9" s="32"/>
      <c r="P9" s="32"/>
      <c r="Q9" s="147"/>
      <c r="R9" s="138"/>
      <c r="S9" s="442"/>
      <c r="T9" s="1293"/>
      <c r="U9" s="1294"/>
      <c r="V9" s="1294"/>
      <c r="W9" s="1294"/>
      <c r="X9" s="1294"/>
      <c r="Y9" s="1295"/>
      <c r="Z9" s="444"/>
      <c r="AC9" s="5"/>
      <c r="AG9" s="131"/>
      <c r="AI9" s="5"/>
      <c r="AM9" s="5"/>
      <c r="AO9" s="129"/>
      <c r="AV9" s="29"/>
    </row>
    <row r="10" spans="1:48" ht="17.100000000000001" customHeight="1" thickBot="1">
      <c r="A10" s="23"/>
      <c r="B10" s="23"/>
      <c r="C10" s="23"/>
      <c r="D10" s="162"/>
      <c r="E10" s="428"/>
      <c r="F10" s="429"/>
      <c r="G10" s="431" t="s">
        <v>318</v>
      </c>
      <c r="H10" s="1244"/>
      <c r="I10" s="1075"/>
      <c r="J10" s="1081"/>
      <c r="K10" s="1082"/>
      <c r="L10" s="1082"/>
      <c r="M10" s="1082"/>
      <c r="N10" s="139"/>
      <c r="O10" s="139"/>
      <c r="P10" s="139"/>
      <c r="Q10" s="140"/>
      <c r="R10" s="141"/>
      <c r="S10" s="442"/>
      <c r="T10" s="1296"/>
      <c r="U10" s="1297"/>
      <c r="V10" s="1297"/>
      <c r="W10" s="1297"/>
      <c r="X10" s="1297"/>
      <c r="Y10" s="1298"/>
      <c r="Z10" s="444"/>
      <c r="AC10" s="5"/>
      <c r="AG10" s="131"/>
      <c r="AI10" s="5"/>
      <c r="AM10" s="5"/>
      <c r="AO10" s="129"/>
      <c r="AV10" s="29"/>
    </row>
    <row r="11" spans="1:48" ht="15.75" customHeight="1">
      <c r="A11" s="23"/>
      <c r="B11" s="23"/>
      <c r="C11" s="23"/>
      <c r="D11" s="162"/>
      <c r="E11" s="428"/>
      <c r="F11" s="429"/>
      <c r="G11" s="431" t="s">
        <v>923</v>
      </c>
      <c r="H11" s="1244"/>
      <c r="I11" s="1075"/>
      <c r="J11" s="1075"/>
      <c r="K11" s="1075"/>
      <c r="L11" s="1075"/>
      <c r="M11" s="1075"/>
      <c r="N11" s="442"/>
      <c r="O11" s="442"/>
      <c r="P11" s="442"/>
      <c r="Q11" s="443"/>
      <c r="R11" s="442"/>
      <c r="S11" s="442"/>
      <c r="T11" s="442"/>
      <c r="U11" s="442"/>
      <c r="V11" s="442"/>
      <c r="W11" s="442"/>
      <c r="X11" s="442"/>
      <c r="Y11" s="442"/>
      <c r="Z11" s="444"/>
      <c r="AC11" s="5"/>
      <c r="AG11" s="131"/>
      <c r="AI11" s="5"/>
      <c r="AM11" s="5"/>
      <c r="AO11" s="129"/>
      <c r="AV11" s="29"/>
    </row>
    <row r="12" spans="1:48" ht="24.75" customHeight="1">
      <c r="A12" s="23"/>
      <c r="B12" s="23"/>
      <c r="C12" s="23"/>
      <c r="D12" s="162"/>
      <c r="E12" s="428"/>
      <c r="F12" s="432"/>
      <c r="G12" s="429"/>
      <c r="H12" s="152"/>
      <c r="I12" s="153" t="s">
        <v>31</v>
      </c>
      <c r="J12" s="153" t="s">
        <v>132</v>
      </c>
      <c r="K12" s="153" t="s">
        <v>32</v>
      </c>
      <c r="L12" s="1336"/>
      <c r="M12" s="1337"/>
      <c r="N12" s="1314" t="s">
        <v>329</v>
      </c>
      <c r="O12" s="1314"/>
      <c r="P12" s="1314"/>
      <c r="Q12" s="1314"/>
      <c r="R12" s="1314"/>
      <c r="S12" s="1314"/>
      <c r="T12" s="1314"/>
      <c r="U12" s="1314"/>
      <c r="V12" s="1314"/>
      <c r="W12" s="1314"/>
      <c r="X12" s="1314"/>
      <c r="Y12" s="1315"/>
      <c r="Z12" s="444"/>
      <c r="AA12" s="34"/>
      <c r="AB12" s="34"/>
      <c r="AC12" s="34"/>
      <c r="AD12" s="34"/>
      <c r="AE12" s="34"/>
      <c r="AF12" s="34"/>
      <c r="AG12" s="34"/>
      <c r="AH12" s="34"/>
      <c r="AI12" s="34"/>
      <c r="AJ12" s="34"/>
      <c r="AK12" s="34"/>
      <c r="AL12" s="34"/>
      <c r="AM12" s="34"/>
      <c r="AN12" s="34"/>
      <c r="AO12" s="34"/>
      <c r="AP12" s="34"/>
      <c r="AQ12" s="34"/>
      <c r="AR12" s="34"/>
      <c r="AS12" s="34"/>
      <c r="AT12" s="34"/>
      <c r="AV12" s="29"/>
    </row>
    <row r="13" spans="1:48" ht="15.75">
      <c r="A13" s="78"/>
      <c r="B13" s="78"/>
      <c r="C13" s="78"/>
      <c r="D13" s="161"/>
      <c r="E13" s="428"/>
      <c r="F13" s="429"/>
      <c r="G13" s="429"/>
      <c r="H13" s="154" t="s">
        <v>271</v>
      </c>
      <c r="I13" s="155" t="s">
        <v>37</v>
      </c>
      <c r="J13" s="155" t="s">
        <v>127</v>
      </c>
      <c r="K13" s="155" t="s">
        <v>38</v>
      </c>
      <c r="L13" s="155" t="s">
        <v>123</v>
      </c>
      <c r="M13" s="237" t="s">
        <v>122</v>
      </c>
      <c r="N13" s="155" t="s">
        <v>91</v>
      </c>
      <c r="O13" s="155" t="s">
        <v>40</v>
      </c>
      <c r="P13" s="155" t="s">
        <v>41</v>
      </c>
      <c r="Q13" s="155" t="s">
        <v>42</v>
      </c>
      <c r="R13" s="155" t="s">
        <v>94</v>
      </c>
      <c r="S13" s="155" t="s">
        <v>330</v>
      </c>
      <c r="T13" s="155" t="s">
        <v>96</v>
      </c>
      <c r="U13" s="155" t="s">
        <v>97</v>
      </c>
      <c r="V13" s="155" t="s">
        <v>98</v>
      </c>
      <c r="W13" s="155" t="s">
        <v>331</v>
      </c>
      <c r="X13" s="155" t="s">
        <v>332</v>
      </c>
      <c r="Y13" s="156" t="s">
        <v>90</v>
      </c>
      <c r="Z13" s="444"/>
      <c r="AA13" s="6"/>
      <c r="AB13" s="5"/>
      <c r="AC13" s="7"/>
      <c r="AD13" s="5"/>
      <c r="AE13" s="6"/>
      <c r="AF13" s="5"/>
      <c r="AG13" s="6"/>
      <c r="AH13" s="5"/>
      <c r="AI13" s="6"/>
      <c r="AJ13" s="5"/>
      <c r="AL13" s="5"/>
      <c r="AM13" s="6"/>
      <c r="AN13" s="5"/>
      <c r="AO13" s="6"/>
      <c r="AP13" s="5"/>
      <c r="AQ13" s="6"/>
      <c r="AR13" s="5"/>
      <c r="AS13" s="7"/>
      <c r="AT13" s="5"/>
      <c r="AV13" s="29"/>
    </row>
    <row r="14" spans="1:48">
      <c r="A14" s="78"/>
      <c r="B14" s="78"/>
      <c r="C14" s="78"/>
      <c r="D14" s="163"/>
      <c r="E14" s="433"/>
      <c r="F14" s="429"/>
      <c r="G14" s="429"/>
      <c r="H14" s="149"/>
      <c r="I14" s="150"/>
      <c r="J14" s="150"/>
      <c r="K14" s="150"/>
      <c r="L14" s="150"/>
      <c r="M14" s="238"/>
      <c r="N14" s="150"/>
      <c r="O14" s="150"/>
      <c r="P14" s="150"/>
      <c r="Q14" s="150"/>
      <c r="R14" s="150"/>
      <c r="S14" s="150"/>
      <c r="T14" s="150"/>
      <c r="U14" s="150"/>
      <c r="V14" s="150"/>
      <c r="W14" s="150"/>
      <c r="X14" s="150"/>
      <c r="Y14" s="151"/>
      <c r="Z14" s="444"/>
      <c r="AA14" s="6"/>
      <c r="AB14" s="5"/>
      <c r="AD14" s="5"/>
      <c r="AE14" s="6"/>
      <c r="AF14" s="5"/>
      <c r="AG14" s="7"/>
      <c r="AH14" s="5"/>
      <c r="AI14" s="7"/>
      <c r="AJ14" s="5"/>
      <c r="AK14" s="6"/>
      <c r="AL14" s="5"/>
      <c r="AM14" s="7"/>
      <c r="AN14" s="5"/>
      <c r="AO14" s="7"/>
      <c r="AP14" s="5"/>
      <c r="AQ14" s="6"/>
      <c r="AR14" s="5"/>
      <c r="AS14" s="7"/>
      <c r="AT14" s="5"/>
      <c r="AV14" s="29"/>
    </row>
    <row r="15" spans="1:48" ht="20.100000000000001" hidden="1" customHeight="1">
      <c r="A15" s="78"/>
      <c r="B15" s="78"/>
      <c r="C15" s="78"/>
      <c r="D15" s="163"/>
      <c r="E15" s="433"/>
      <c r="F15" s="429"/>
      <c r="G15" s="429"/>
      <c r="H15" s="1048" t="s">
        <v>319</v>
      </c>
      <c r="I15" s="261"/>
      <c r="J15" s="262"/>
      <c r="K15" s="1053"/>
      <c r="L15" s="259">
        <f>I15*J15*K15/100</f>
        <v>0</v>
      </c>
      <c r="M15" s="1054">
        <f>SUM(N15:Y15)</f>
        <v>0</v>
      </c>
      <c r="N15" s="1055">
        <f>$L15*30*Calculations!$B$8</f>
        <v>0</v>
      </c>
      <c r="O15" s="259">
        <f>$L15*31*Calculations!$C$8</f>
        <v>0</v>
      </c>
      <c r="P15" s="259">
        <f>$L15*30*Calculations!$D$8</f>
        <v>0</v>
      </c>
      <c r="Q15" s="259">
        <f>$L15*31*Calculations!$E$8</f>
        <v>0</v>
      </c>
      <c r="R15" s="259">
        <f>$L15*31*Calculations!$F$8</f>
        <v>0</v>
      </c>
      <c r="S15" s="259">
        <f>$L15*30*Calculations!$G$8</f>
        <v>0</v>
      </c>
      <c r="T15" s="259">
        <f>$L15*31*Calculations!$H$8</f>
        <v>0</v>
      </c>
      <c r="U15" s="259">
        <f>$L15*30*Calculations!$I$8</f>
        <v>0</v>
      </c>
      <c r="V15" s="259">
        <f>$L15*31*Calculations!$J$8</f>
        <v>0</v>
      </c>
      <c r="W15" s="259">
        <f>$L15*31*Calculations!$K$8</f>
        <v>0</v>
      </c>
      <c r="X15" s="259">
        <f>$L15*28*Calculations!$L$8</f>
        <v>0</v>
      </c>
      <c r="Y15" s="259">
        <f>$L15*31*Calculations!$M$8</f>
        <v>0</v>
      </c>
      <c r="Z15" s="444"/>
      <c r="AB15" s="5"/>
      <c r="AD15" s="5"/>
      <c r="AF15" s="5"/>
      <c r="AG15" s="6"/>
      <c r="AH15" s="5"/>
      <c r="AI15" s="6"/>
      <c r="AJ15" s="5"/>
      <c r="AK15" s="6"/>
      <c r="AL15" s="5"/>
      <c r="AM15" s="7"/>
      <c r="AN15" s="5"/>
      <c r="AO15" s="7"/>
      <c r="AP15" s="5"/>
      <c r="AQ15" s="8"/>
      <c r="AR15" s="5"/>
      <c r="AS15" s="7"/>
      <c r="AT15" s="5"/>
      <c r="AV15" s="29"/>
    </row>
    <row r="16" spans="1:48" ht="15" hidden="1" customHeight="1">
      <c r="A16" s="78"/>
      <c r="B16" s="78"/>
      <c r="C16" s="78"/>
      <c r="D16" s="164"/>
      <c r="E16" s="434"/>
      <c r="F16" s="435"/>
      <c r="G16" s="429"/>
      <c r="H16" s="1259" t="str">
        <f>IF(Calculations!B71=TRUE, "Selected Management = Grazing System all Year",IF(Calculations!B72=TRUE,"Selected Management = Alternative Pasture from:",IF(Calculations!B73=TRUE,"Selected Management = Dry Lot from:")))</f>
        <v>Selected Management = Grazing System all Year</v>
      </c>
      <c r="I16" s="1260"/>
      <c r="J16" s="717" t="str">
        <f>IF(OR(Calculations!B72=TRUE,Calculations!B73=TRUE),IF(Calculations!B87=1,"Jan -",IF(Calculations!B87=2,"Feb -",IF(Calculations!B87=3,"Mar -",IF(Calculations!B87=4,"Apr -",IF(Calculations!B87=5,"May -",IF(Calculations!B87=6,"Jun -",IF(Calculations!B87=7,"Jul -",IF(Calculations!B87=8,"Aug -",IF(Calculations!B87=9,"Sep -",IF(Calculations!B87=10,"Oct -",IF(Calculations!B87=11,"Nov -",IF(Calculations!B87=12,"Dec -")))))))))))),"")</f>
        <v/>
      </c>
      <c r="K16" s="724" t="str">
        <f>IF(OR(Calculations!B72=TRUE,Calculations!B73=TRUE),IF(Calculations!B88=1,"Jan",IF(Calculations!B88=2,"Feb",IF(Calculations!B88=3,"Mar",IF(Calculations!B88=4,"Apr",IF(Calculations!B88=5,"May",IF(Calculations!B88=6,"Jun",IF(Calculations!B88=7,"Jul",IF(Calculations!B88=8,"Aug",IF(Calculations!B88=9,"Sep",IF(Calculations!B88=10,"Oct",IF(Calculations!B88=11,"Nov",IF(Calculations!B88=12,"Dec")))))))))))),"")</f>
        <v/>
      </c>
      <c r="L16" s="718"/>
      <c r="M16" s="618"/>
      <c r="N16" s="618"/>
      <c r="O16" s="618"/>
      <c r="P16" s="618"/>
      <c r="Q16" s="618"/>
      <c r="R16" s="618"/>
      <c r="S16" s="618"/>
      <c r="T16" s="618"/>
      <c r="U16" s="618"/>
      <c r="V16" s="618"/>
      <c r="W16" s="618"/>
      <c r="X16" s="618"/>
      <c r="Y16" s="619"/>
      <c r="Z16" s="444"/>
      <c r="AB16" s="5"/>
      <c r="AD16" s="5"/>
      <c r="AF16" s="5"/>
      <c r="AH16" s="5"/>
      <c r="AI16" s="8"/>
      <c r="AJ16" s="5"/>
      <c r="AL16" s="5"/>
      <c r="AM16" s="6"/>
      <c r="AN16" s="5"/>
      <c r="AO16" s="6"/>
      <c r="AP16" s="5"/>
      <c r="AR16" s="5"/>
      <c r="AS16" s="7"/>
      <c r="AT16" s="5"/>
      <c r="AV16" s="29"/>
    </row>
    <row r="17" spans="1:65" ht="20.100000000000001" hidden="1" customHeight="1">
      <c r="A17" s="78"/>
      <c r="B17" s="78"/>
      <c r="C17" s="78"/>
      <c r="D17" s="161"/>
      <c r="E17" s="428"/>
      <c r="F17" s="429"/>
      <c r="G17" s="429"/>
      <c r="H17" s="1048" t="s">
        <v>320</v>
      </c>
      <c r="I17" s="261"/>
      <c r="J17" s="262"/>
      <c r="K17" s="1252"/>
      <c r="L17" s="259">
        <f>I17*J17*K17/100</f>
        <v>0</v>
      </c>
      <c r="M17" s="1054">
        <f>SUM(N17:Y17)</f>
        <v>0</v>
      </c>
      <c r="N17" s="1055">
        <f>$L17*30*Calculations!$B$10</f>
        <v>0</v>
      </c>
      <c r="O17" s="259">
        <f>$L17*31*Calculations!$C$10</f>
        <v>0</v>
      </c>
      <c r="P17" s="259">
        <f>$L17*30*Calculations!$D$10</f>
        <v>0</v>
      </c>
      <c r="Q17" s="259">
        <f>$L17*31*Calculations!$E$10</f>
        <v>0</v>
      </c>
      <c r="R17" s="259">
        <f>$L17*31*Calculations!$F$10</f>
        <v>0</v>
      </c>
      <c r="S17" s="259">
        <f>$L17*30*Calculations!$G$10</f>
        <v>0</v>
      </c>
      <c r="T17" s="259">
        <f>$L17*31*Calculations!$H$10</f>
        <v>0</v>
      </c>
      <c r="U17" s="259">
        <f>$L17*30*Calculations!$I$10</f>
        <v>0</v>
      </c>
      <c r="V17" s="259">
        <f>$L17*31*Calculations!$J$10</f>
        <v>0</v>
      </c>
      <c r="W17" s="259">
        <f>$L17*31*Calculations!$K$10</f>
        <v>0</v>
      </c>
      <c r="X17" s="259">
        <f>$L17*28*Calculations!$L$10</f>
        <v>0</v>
      </c>
      <c r="Y17" s="259">
        <f>$L17*31*Calculations!$M$10</f>
        <v>0</v>
      </c>
      <c r="Z17" s="444"/>
      <c r="AA17" s="34"/>
      <c r="AB17" s="5"/>
      <c r="AC17" s="34"/>
      <c r="AD17" s="5"/>
      <c r="AE17" s="34"/>
      <c r="AF17" s="5"/>
      <c r="AG17" s="34"/>
      <c r="AH17" s="5"/>
      <c r="AI17" s="34"/>
      <c r="AJ17" s="5"/>
      <c r="AK17" s="34"/>
      <c r="AL17" s="5"/>
      <c r="AM17" s="34"/>
      <c r="AN17" s="5"/>
      <c r="AO17" s="34"/>
      <c r="AP17" s="5"/>
      <c r="AQ17" s="34"/>
      <c r="AR17" s="5"/>
      <c r="AS17" s="34"/>
      <c r="AT17" s="5"/>
      <c r="AV17" s="29"/>
    </row>
    <row r="18" spans="1:65" ht="15" hidden="1" customHeight="1">
      <c r="A18" s="78"/>
      <c r="B18" s="79"/>
      <c r="C18" s="79"/>
      <c r="D18" s="161"/>
      <c r="E18" s="428"/>
      <c r="F18" s="429"/>
      <c r="G18" s="429"/>
      <c r="H18" s="1259" t="str">
        <f>IF(Calculations!B76=TRUE, "Selected Management = Grazing System all Year",IF(Calculations!B77=TRUE,"Selected Management = Alternative Pasture from:",IF(Calculations!B78=TRUE,"Selected Management = Dry Lot from:")))</f>
        <v>Selected Management = Grazing System all Year</v>
      </c>
      <c r="I18" s="1260"/>
      <c r="J18" s="717" t="str">
        <f>IF(OR(Calculations!B77=TRUE,Calculations!B78=TRUE),IF(Calculations!B91=1,"Jan -",IF(Calculations!B91=2,"Feb -",IF(Calculations!B91=3,"Mar -",IF(Calculations!B91=4,"Apr -",IF(Calculations!B91=5,"May -",IF(Calculations!B91=6,"Jun -",IF(Calculations!B91=7,"Jul -",IF(Calculations!B91=8,"Aug -",IF(Calculations!B91=9,"Sep -",IF(Calculations!B91=10,"Oct -",IF(Calculations!B91=11,"Nov -",IF(Calculations!B91=12,"Dec -")))))))))))),"")</f>
        <v/>
      </c>
      <c r="K18" s="724" t="str">
        <f>IF(OR(Calculations!B77=TRUE,Calculations!B78=TRUE),IF(Calculations!B92=1,"Jan",IF(Calculations!B92=2,"Feb",IF(Calculations!B92=3,"Mar",IF(Calculations!B92=4,"Apr",IF(Calculations!B92=5,"May",IF(Calculations!B92=6,"Jun",IF(Calculations!B92=7,"Jul",IF(Calculations!B92=8,"Aug",IF(Calculations!B92=9,"Sep",IF(Calculations!B92=10,"Oct",IF(Calculations!B92=11,"Nov",IF(Calculations!B92=12,"Dec")))))))))))),"")</f>
        <v/>
      </c>
      <c r="L18" s="718"/>
      <c r="M18" s="618"/>
      <c r="N18" s="618"/>
      <c r="O18" s="618"/>
      <c r="P18" s="618"/>
      <c r="Q18" s="618"/>
      <c r="R18" s="618"/>
      <c r="S18" s="618"/>
      <c r="T18" s="618"/>
      <c r="U18" s="618"/>
      <c r="V18" s="618"/>
      <c r="W18" s="618"/>
      <c r="X18" s="618"/>
      <c r="Y18" s="619"/>
      <c r="Z18" s="444"/>
      <c r="AA18" s="6"/>
      <c r="AB18" s="5"/>
      <c r="AC18" s="21"/>
      <c r="AD18" s="5"/>
      <c r="AE18" s="132"/>
      <c r="AF18" s="5"/>
      <c r="AG18" s="133"/>
      <c r="AH18" s="5"/>
      <c r="AI18" s="3"/>
      <c r="AJ18" s="5"/>
      <c r="AK18" s="37"/>
      <c r="AL18" s="5"/>
      <c r="AM18" s="9"/>
      <c r="AN18" s="5"/>
      <c r="AO18" s="9"/>
      <c r="AP18" s="5"/>
      <c r="AQ18" s="3"/>
      <c r="AR18" s="5"/>
      <c r="AS18" s="7"/>
      <c r="AT18" s="5"/>
      <c r="AV18" s="29"/>
    </row>
    <row r="19" spans="1:65" ht="20.100000000000001" hidden="1" customHeight="1">
      <c r="A19" s="78"/>
      <c r="B19" s="79"/>
      <c r="C19" s="79"/>
      <c r="D19" s="163"/>
      <c r="E19" s="433"/>
      <c r="F19" s="429"/>
      <c r="G19" s="429"/>
      <c r="H19" s="1048" t="s">
        <v>321</v>
      </c>
      <c r="I19" s="261"/>
      <c r="J19" s="262"/>
      <c r="K19" s="1053"/>
      <c r="L19" s="259">
        <f>I19*J19*K19/100</f>
        <v>0</v>
      </c>
      <c r="M19" s="1054">
        <f>SUM(N19:Y19)</f>
        <v>0</v>
      </c>
      <c r="N19" s="1055">
        <f>$L19*30*Calculations!$B$12</f>
        <v>0</v>
      </c>
      <c r="O19" s="259">
        <f>$L19*31*Calculations!$C$12</f>
        <v>0</v>
      </c>
      <c r="P19" s="259">
        <f>$L19*30*Calculations!$D$12</f>
        <v>0</v>
      </c>
      <c r="Q19" s="259">
        <f>$L19*31*Calculations!$E$12</f>
        <v>0</v>
      </c>
      <c r="R19" s="259">
        <f>$L19*31*Calculations!$F$12</f>
        <v>0</v>
      </c>
      <c r="S19" s="259">
        <f>$L19*30*Calculations!$G$12</f>
        <v>0</v>
      </c>
      <c r="T19" s="259">
        <f>$L19*31*Calculations!$H$12</f>
        <v>0</v>
      </c>
      <c r="U19" s="259">
        <f>$L19*30*Calculations!$I$12</f>
        <v>0</v>
      </c>
      <c r="V19" s="259">
        <f>$L19*31*Calculations!$J$12</f>
        <v>0</v>
      </c>
      <c r="W19" s="259">
        <f>$L19*31*Calculations!$K$12</f>
        <v>0</v>
      </c>
      <c r="X19" s="259">
        <f>$L19*28*Calculations!$L$12</f>
        <v>0</v>
      </c>
      <c r="Y19" s="259">
        <f>$L19*31*Calculations!$M$12</f>
        <v>0</v>
      </c>
      <c r="Z19" s="444"/>
      <c r="AA19" s="6"/>
      <c r="AB19" s="5"/>
      <c r="AC19" s="21"/>
      <c r="AD19" s="5"/>
      <c r="AE19" s="132"/>
      <c r="AF19" s="5"/>
      <c r="AG19" s="133"/>
      <c r="AH19" s="5"/>
      <c r="AI19" s="3"/>
      <c r="AJ19" s="5"/>
      <c r="AK19" s="37"/>
      <c r="AL19" s="5"/>
      <c r="AM19" s="9"/>
      <c r="AN19" s="5"/>
      <c r="AO19" s="9"/>
      <c r="AP19" s="5"/>
      <c r="AQ19" s="3"/>
      <c r="AR19" s="5"/>
      <c r="AS19" s="7"/>
      <c r="AT19" s="5"/>
      <c r="AV19" s="29"/>
    </row>
    <row r="20" spans="1:65" ht="15" hidden="1" customHeight="1">
      <c r="A20" s="78"/>
      <c r="B20" s="79"/>
      <c r="C20" s="79"/>
      <c r="D20" s="163"/>
      <c r="E20" s="433"/>
      <c r="F20" s="429"/>
      <c r="G20" s="429"/>
      <c r="H20" s="1259" t="str">
        <f>IF(Calculations!B81=TRUE, "Selected Management = Grazing System all Year",IF(Calculations!B82=TRUE,"Selected Management = Alternative Pasture from:",IF(Calculations!B83=TRUE,"Selected Management = Dry Lot from:")))</f>
        <v>Selected Management = Grazing System all Year</v>
      </c>
      <c r="I20" s="1260"/>
      <c r="J20" s="717" t="str">
        <f>IF(OR(Calculations!B82=TRUE,Calculations!B83=TRUE),IF(Calculations!B95=1,"Jan -",IF(Calculations!B95=2,"Feb -",IF(Calculations!B95=3,"Mar -",IF(Calculations!B95=4,"Apr -",IF(Calculations!B95=5,"May -",IF(Calculations!B95=6,"Jun -",IF(Calculations!B95=7,"Jul -",IF(Calculations!B95=8,"Aug -",IF(Calculations!B95=9,"Sep -",IF(Calculations!B95=10,"Oct -",IF(Calculations!B95=11,"Nov -",IF(Calculations!B95=12,"Dec -")))))))))))),"")</f>
        <v/>
      </c>
      <c r="K20" s="724" t="str">
        <f>IF(OR(Calculations!B82=TRUE,Calculations!B83=TRUE),IF(Calculations!B96=1,"Jan",IF(Calculations!B96=2,"Feb",IF(Calculations!B96=3,"Mar",IF(Calculations!B96=4,"Apr",IF(Calculations!B96=5,"May",IF(Calculations!B96=6,"Jun",IF(Calculations!B96=7,"Jul",IF(Calculations!B96=8,"Aug",IF(Calculations!B96=9,"Sep",IF(Calculations!B96=10,"Oct",IF(Calculations!B96=11,"Nov",IF(Calculations!B96=12,"Dec")))))))))))),"")</f>
        <v/>
      </c>
      <c r="L20" s="718"/>
      <c r="M20" s="618"/>
      <c r="N20" s="618"/>
      <c r="O20" s="618"/>
      <c r="P20" s="618"/>
      <c r="Q20" s="618"/>
      <c r="R20" s="618"/>
      <c r="S20" s="618"/>
      <c r="T20" s="618"/>
      <c r="U20" s="618"/>
      <c r="V20" s="618"/>
      <c r="W20" s="618"/>
      <c r="X20" s="618"/>
      <c r="Y20" s="619"/>
      <c r="Z20" s="444"/>
      <c r="AA20" s="132"/>
      <c r="AB20" s="5"/>
      <c r="AC20" s="21"/>
      <c r="AD20" s="5"/>
      <c r="AE20" s="132"/>
      <c r="AF20" s="5"/>
      <c r="AG20" s="133"/>
      <c r="AH20" s="5"/>
      <c r="AI20" s="3"/>
      <c r="AJ20" s="5"/>
      <c r="AK20" s="37"/>
      <c r="AL20" s="5"/>
      <c r="AM20" s="9"/>
      <c r="AN20" s="5"/>
      <c r="AO20" s="9"/>
      <c r="AP20" s="5"/>
      <c r="AQ20" s="3"/>
      <c r="AR20" s="5"/>
      <c r="AS20" s="7"/>
      <c r="AT20" s="5"/>
      <c r="AV20" s="29"/>
    </row>
    <row r="21" spans="1:65" ht="20.100000000000001" hidden="1" customHeight="1">
      <c r="A21" s="80"/>
      <c r="B21" s="80"/>
      <c r="C21" s="80"/>
      <c r="D21" s="164"/>
      <c r="E21" s="434"/>
      <c r="F21" s="435"/>
      <c r="G21" s="429"/>
      <c r="H21" s="1049" t="s">
        <v>315</v>
      </c>
      <c r="I21" s="261"/>
      <c r="J21" s="1056" t="b">
        <f>IF(I21&gt;0,Calculations!$B$117)</f>
        <v>0</v>
      </c>
      <c r="K21" s="1053"/>
      <c r="L21" s="259">
        <f>M21/(MAX(Calculations!$A$26:$L$26))</f>
        <v>0</v>
      </c>
      <c r="M21" s="1057">
        <f>SUM(N21:Y21)</f>
        <v>0</v>
      </c>
      <c r="N21" s="1058">
        <f>(Calculations!A$25)*$K21*Calculations!A$23*$I21/100</f>
        <v>0</v>
      </c>
      <c r="O21" s="1059">
        <f>(Calculations!B$25)*$K21*Calculations!B$23*$I21/100</f>
        <v>0</v>
      </c>
      <c r="P21" s="1059">
        <f>(Calculations!C$25)*$K21*Calculations!C$23*$I21/100</f>
        <v>0</v>
      </c>
      <c r="Q21" s="1059">
        <f>(Calculations!D$25)*$K21*Calculations!D$23*$I21/100</f>
        <v>0</v>
      </c>
      <c r="R21" s="1059">
        <f>(Calculations!E$25)*$K21*Calculations!E$23*$I21/100</f>
        <v>0</v>
      </c>
      <c r="S21" s="1059">
        <f>(Calculations!F$25)*$K21*Calculations!F$23*$I21/100</f>
        <v>0</v>
      </c>
      <c r="T21" s="1059">
        <f>(Calculations!G$25)*$K21*Calculations!G$23*$I21/100</f>
        <v>0</v>
      </c>
      <c r="U21" s="1059">
        <f>(Calculations!H$25)*$K21*Calculations!H$23*$I21/100</f>
        <v>0</v>
      </c>
      <c r="V21" s="1059">
        <f>(Calculations!I$25)*$K21*Calculations!I$23*$I21/100</f>
        <v>0</v>
      </c>
      <c r="W21" s="1059">
        <f>(Calculations!J$25)*$K21*Calculations!J$23*$I21/100</f>
        <v>0</v>
      </c>
      <c r="X21" s="1059">
        <f>(Calculations!K$25)*$K21*Calculations!K$23*$I21/100</f>
        <v>0</v>
      </c>
      <c r="Y21" s="1059">
        <f>(Calculations!L$25)*$K21*Calculations!L$23*$I21/100</f>
        <v>0</v>
      </c>
      <c r="Z21" s="444"/>
      <c r="AA21" s="132"/>
      <c r="AB21" s="5"/>
      <c r="AC21" s="21"/>
      <c r="AD21" s="5"/>
      <c r="AE21" s="132"/>
      <c r="AF21" s="5"/>
      <c r="AG21" s="133"/>
      <c r="AH21" s="5"/>
      <c r="AI21" s="3"/>
      <c r="AJ21" s="5"/>
      <c r="AK21" s="37"/>
      <c r="AL21" s="5"/>
      <c r="AM21" s="9"/>
      <c r="AN21" s="5"/>
      <c r="AO21" s="9"/>
      <c r="AP21" s="5"/>
      <c r="AQ21" s="3"/>
      <c r="AR21" s="5"/>
      <c r="AS21" s="7"/>
      <c r="AT21" s="5"/>
      <c r="AV21" s="29"/>
    </row>
    <row r="22" spans="1:65" ht="15" hidden="1" customHeight="1">
      <c r="A22" s="78"/>
      <c r="B22" s="78"/>
      <c r="C22" s="78"/>
      <c r="D22" s="161"/>
      <c r="E22" s="428"/>
      <c r="F22" s="429"/>
      <c r="G22" s="429"/>
      <c r="H22" s="620"/>
      <c r="I22" s="621"/>
      <c r="J22" s="622"/>
      <c r="K22" s="624"/>
      <c r="L22" s="625"/>
      <c r="M22" s="625"/>
      <c r="N22" s="625"/>
      <c r="O22" s="625"/>
      <c r="P22" s="625"/>
      <c r="Q22" s="625"/>
      <c r="R22" s="625"/>
      <c r="S22" s="625"/>
      <c r="T22" s="625"/>
      <c r="U22" s="625"/>
      <c r="V22" s="625"/>
      <c r="W22" s="625"/>
      <c r="X22" s="625"/>
      <c r="Y22" s="626"/>
      <c r="Z22" s="444"/>
      <c r="AA22" s="132"/>
      <c r="AB22" s="5"/>
      <c r="AC22" s="21"/>
      <c r="AD22" s="5"/>
      <c r="AE22" s="132"/>
      <c r="AF22" s="5"/>
      <c r="AG22" s="133"/>
      <c r="AH22" s="5"/>
      <c r="AI22" s="3"/>
      <c r="AJ22" s="5"/>
      <c r="AK22" s="37"/>
      <c r="AL22" s="5"/>
      <c r="AM22" s="9"/>
      <c r="AN22" s="5"/>
      <c r="AO22" s="9"/>
      <c r="AP22" s="5"/>
      <c r="AQ22" s="3"/>
      <c r="AR22" s="5"/>
      <c r="AS22" s="7"/>
      <c r="AT22" s="5"/>
      <c r="AV22" s="29"/>
      <c r="BB22" s="35"/>
      <c r="BC22" s="35"/>
      <c r="BD22" s="35"/>
      <c r="BE22" s="35"/>
      <c r="BF22" s="35"/>
      <c r="BG22" s="35"/>
      <c r="BH22" s="35"/>
      <c r="BI22" s="35"/>
      <c r="BJ22" s="35"/>
      <c r="BK22" s="35"/>
      <c r="BL22" s="35"/>
      <c r="BM22" s="35"/>
    </row>
    <row r="23" spans="1:65" ht="20.100000000000001" hidden="1" customHeight="1">
      <c r="A23" s="78"/>
      <c r="B23" s="78"/>
      <c r="C23" s="78"/>
      <c r="D23" s="161"/>
      <c r="E23" s="428"/>
      <c r="F23" s="429"/>
      <c r="G23" s="429"/>
      <c r="H23" s="1048" t="s">
        <v>316</v>
      </c>
      <c r="I23" s="261"/>
      <c r="J23" s="1056" t="b">
        <f>IF(I23&gt;0,Calculations!$B$118)</f>
        <v>0</v>
      </c>
      <c r="K23" s="1053"/>
      <c r="L23" s="259">
        <f>M23/(MAX(Calculations!$A$29:$L$29))</f>
        <v>0</v>
      </c>
      <c r="M23" s="1057">
        <f>SUM(N23:Y23)</f>
        <v>0</v>
      </c>
      <c r="N23" s="1058">
        <f>(Calculations!A$28)*$K23*Calculations!A$23*$I23/100</f>
        <v>0</v>
      </c>
      <c r="O23" s="1059">
        <f>(Calculations!B$28)*$K23*Calculations!B$23*$I23/100</f>
        <v>0</v>
      </c>
      <c r="P23" s="1059">
        <f>(Calculations!C$28)*$K23*Calculations!C$23*$I23/100</f>
        <v>0</v>
      </c>
      <c r="Q23" s="1059">
        <f>(Calculations!D$28)*$K23*Calculations!D$23*$I23/100</f>
        <v>0</v>
      </c>
      <c r="R23" s="1059">
        <f>(Calculations!E$28)*$K23*Calculations!E$23*$I23/100</f>
        <v>0</v>
      </c>
      <c r="S23" s="1059">
        <f>(Calculations!F$28)*$K23*Calculations!F$23*$I23/100</f>
        <v>0</v>
      </c>
      <c r="T23" s="1059">
        <f>(Calculations!G$28)*$K23*Calculations!G$23*$I23/100</f>
        <v>0</v>
      </c>
      <c r="U23" s="1059">
        <f>(Calculations!H$28)*$K23*Calculations!H$23*$I23/100</f>
        <v>0</v>
      </c>
      <c r="V23" s="1059">
        <f>(Calculations!I$28)*$K23*Calculations!I$23*$I23/100</f>
        <v>0</v>
      </c>
      <c r="W23" s="1059">
        <f>(Calculations!J$28)*$K23*Calculations!J$23*$I23/100</f>
        <v>0</v>
      </c>
      <c r="X23" s="1059">
        <f>(Calculations!K$28)*$K23*Calculations!K$23*$I23/100</f>
        <v>0</v>
      </c>
      <c r="Y23" s="1059">
        <f>(Calculations!L$28)*$K23*Calculations!L$23*$I23/100</f>
        <v>0</v>
      </c>
      <c r="Z23" s="444"/>
      <c r="AA23" s="132"/>
      <c r="AB23" s="5"/>
      <c r="AC23" s="21"/>
      <c r="AD23" s="5"/>
      <c r="AE23" s="132"/>
      <c r="AF23" s="5"/>
      <c r="AG23" s="133"/>
      <c r="AH23" s="5"/>
      <c r="AI23" s="3"/>
      <c r="AJ23" s="5"/>
      <c r="AK23" s="37"/>
      <c r="AL23" s="5"/>
      <c r="AM23" s="9"/>
      <c r="AN23" s="5"/>
      <c r="AO23" s="9"/>
      <c r="AP23" s="5"/>
      <c r="AQ23" s="3"/>
      <c r="AR23" s="5"/>
      <c r="AS23" s="7"/>
      <c r="AT23" s="5"/>
      <c r="AV23" s="29"/>
    </row>
    <row r="24" spans="1:65" ht="15" hidden="1" customHeight="1">
      <c r="A24" s="78"/>
      <c r="B24" s="78"/>
      <c r="C24" s="78"/>
      <c r="D24" s="161"/>
      <c r="E24" s="428"/>
      <c r="F24" s="429"/>
      <c r="G24" s="429"/>
      <c r="H24" s="620"/>
      <c r="I24" s="621"/>
      <c r="J24" s="622"/>
      <c r="K24" s="624"/>
      <c r="L24" s="625"/>
      <c r="M24" s="625"/>
      <c r="N24" s="625"/>
      <c r="O24" s="625"/>
      <c r="P24" s="625"/>
      <c r="Q24" s="625"/>
      <c r="R24" s="625"/>
      <c r="S24" s="625"/>
      <c r="T24" s="625"/>
      <c r="U24" s="625"/>
      <c r="V24" s="625"/>
      <c r="W24" s="625"/>
      <c r="X24" s="625"/>
      <c r="Y24" s="626"/>
      <c r="Z24" s="444"/>
      <c r="AA24" s="132"/>
      <c r="AB24" s="5"/>
      <c r="AC24" s="21"/>
      <c r="AD24" s="5"/>
      <c r="AE24" s="132"/>
      <c r="AF24" s="5"/>
      <c r="AG24" s="133"/>
      <c r="AH24" s="5"/>
      <c r="AI24" s="3"/>
      <c r="AJ24" s="5"/>
      <c r="AK24" s="37"/>
      <c r="AL24" s="5"/>
      <c r="AM24" s="9"/>
      <c r="AN24" s="5"/>
      <c r="AO24" s="9"/>
      <c r="AP24" s="5"/>
      <c r="AQ24" s="3"/>
      <c r="AR24" s="5"/>
      <c r="AS24" s="7"/>
      <c r="AT24" s="5"/>
      <c r="AV24" s="29"/>
    </row>
    <row r="25" spans="1:65" ht="19.5" hidden="1" customHeight="1">
      <c r="A25" s="78"/>
      <c r="B25" s="78"/>
      <c r="C25" s="78"/>
      <c r="D25" s="161"/>
      <c r="E25" s="428"/>
      <c r="F25" s="429"/>
      <c r="G25" s="429"/>
      <c r="H25" s="1048" t="s">
        <v>581</v>
      </c>
      <c r="I25" s="261"/>
      <c r="J25" s="262"/>
      <c r="K25" s="77"/>
      <c r="L25" s="77"/>
      <c r="M25" s="1054">
        <f>SUM(N25:Y25)</f>
        <v>0</v>
      </c>
      <c r="N25" s="1062">
        <f>IF(Calculations!$D$45&lt;Calculations!$D$46,(IF(Calculations!$D$45&lt;=4,(IF(Calculations!$D$46&gt;=4,L26*30,L27*30)),L27*30)),IF(Calculations!$D$46&gt;=4,L26*30,IF(Calculations!$D$45&lt;=4,L26*30,L27*30)))</f>
        <v>0</v>
      </c>
      <c r="O25" s="1063">
        <f>IF(Calculations!$D$45&lt;Calculations!$D$46,(IF(Calculations!$D$45&lt;=5,(IF(Calculations!$D$46&gt;=5,L26*31,L27*31)),L27*31)),IF(Calculations!$D$46&gt;=5,L26*31,IF(Calculations!$D$45&lt;=5,L26*31,L27*31)))</f>
        <v>0</v>
      </c>
      <c r="P25" s="1063">
        <f>IF(Calculations!$D$45&lt;Calculations!$D$46,(IF(Calculations!$D$45&lt;=6,(IF(Calculations!$D$46&gt;=6,L26*30,L27*30)),L27*30)),IF(Calculations!$D$46&gt;=6,L26*30,IF(Calculations!$D$45&lt;=6,L26*30,L27*30)))</f>
        <v>0</v>
      </c>
      <c r="Q25" s="1063">
        <f>IF(Calculations!$D$45&lt;Calculations!$D$46,(IF(Calculations!$D$45&lt;=7,(IF(Calculations!$D$46&gt;=7,L26*31,L27*31)),L27*31)),IF(Calculations!$D$46&gt;=7,L26*31,IF(Calculations!$D$45&lt;=7,L26*31,L27*31)))</f>
        <v>0</v>
      </c>
      <c r="R25" s="1063">
        <f>IF(Calculations!$D$45&lt;Calculations!$D$46,(IF(Calculations!$D$45&lt;=8,(IF(Calculations!$D$46&gt;=8,L26*31,L27*31)),L27*31)),IF(Calculations!$D$46&gt;=8,L26*31,IF(Calculations!$D$45&lt;=8,L26*31,L27*31)))</f>
        <v>0</v>
      </c>
      <c r="S25" s="1063">
        <f>IF(Calculations!$D$45&lt;Calculations!$D$46,(IF(Calculations!$D$45&lt;=9,(IF(Calculations!$D$46&gt;=9,L26*30,L27*30)),L27*30)),IF(Calculations!$D$46&gt;=9,L26*30,IF(Calculations!$D$45&lt;=9,L26*30,L27*30)))</f>
        <v>0</v>
      </c>
      <c r="T25" s="1063">
        <f>IF(Calculations!$D$45&lt;Calculations!$D$46,(IF(Calculations!$D$45&lt;=10,(IF(Calculations!$D$46&gt;=10,L26*31,L27*31)),L27*31)),IF(Calculations!$D$46&gt;=10,L26*31,IF(Calculations!$D$45&lt;=10,L26*31,L27*31)))</f>
        <v>0</v>
      </c>
      <c r="U25" s="1063">
        <f>IF(Calculations!$D$45&lt;Calculations!$D$46,(IF(Calculations!$D$45&lt;=11,(IF(Calculations!$D$46&gt;=11,L26*30,L27*30)),L27*30)),IF(Calculations!$D$46&gt;=11,L26*30,IF(Calculations!$D$45&lt;=11,L26*30,L27*30)))</f>
        <v>0</v>
      </c>
      <c r="V25" s="1063">
        <f>IF(Calculations!$D$45&lt;Calculations!$D$46,(IF(Calculations!$D$45&lt;=12,(IF(Calculations!$D$46&gt;=12,L26*31,L27*31)),L27*31)),IF(Calculations!$D$46&gt;=12,L26*31,IF(Calculations!$D$45&lt;=12,L26*31,L27*31)))</f>
        <v>0</v>
      </c>
      <c r="W25" s="1063">
        <f>IF(Calculations!$D$45&lt;Calculations!$D$46,(IF(Calculations!$D$45&lt;=1,(IF(Calculations!$D$46&gt;=1,L26*31,L27*31)),L27*31)),IF(Calculations!$D$46&gt;=1,L26*31,IF(Calculations!$D$45&lt;=1,L26*31,L27*31)))</f>
        <v>0</v>
      </c>
      <c r="X25" s="1063">
        <f>IF(Calculations!$D$45&lt;Calculations!$D$46,(IF(Calculations!$D$45&lt;=2,(IF(Calculations!$D$46&gt;=2,L26*28,L27*28)),L27*28)),IF(Calculations!$D$46&gt;=2,L26*28,IF(Calculations!$D$45&lt;=2,L26*28,L27*28)))</f>
        <v>0</v>
      </c>
      <c r="Y25" s="1063">
        <f>IF(Calculations!$D$45&lt;Calculations!$D$46,(IF(Calculations!$D$45&lt;=3,(IF(Calculations!$D$46&gt;=3,L26*31,L27*31)),L27*31)),IF(Calculations!$D$46&gt;=3,L26*31,IF(Calculations!$D$45&lt;=3,L26*31,L27*31)))</f>
        <v>0</v>
      </c>
      <c r="Z25" s="444"/>
      <c r="AA25" s="132"/>
      <c r="AB25" s="5"/>
      <c r="AC25" s="21"/>
      <c r="AD25" s="5"/>
      <c r="AE25" s="132"/>
      <c r="AF25" s="5"/>
      <c r="AG25" s="133"/>
      <c r="AH25" s="5"/>
      <c r="AI25" s="3"/>
      <c r="AJ25" s="5"/>
      <c r="AK25" s="37"/>
      <c r="AL25" s="5"/>
      <c r="AM25" s="9"/>
      <c r="AN25" s="5"/>
      <c r="AO25" s="9"/>
      <c r="AP25" s="5"/>
      <c r="AQ25" s="3"/>
      <c r="AR25" s="5"/>
      <c r="AS25" s="7"/>
      <c r="AT25" s="5"/>
      <c r="AV25" s="29"/>
    </row>
    <row r="26" spans="1:65" ht="20.25" hidden="1" customHeight="1">
      <c r="A26" s="23"/>
      <c r="B26" s="23"/>
      <c r="C26" s="23"/>
      <c r="D26" s="162"/>
      <c r="E26" s="428"/>
      <c r="F26" s="429"/>
      <c r="G26" s="429"/>
      <c r="H26" s="1316" t="s">
        <v>290</v>
      </c>
      <c r="I26" s="1317"/>
      <c r="J26" s="1318"/>
      <c r="K26" s="1060"/>
      <c r="L26" s="1097">
        <f>I25*J25*K26/100</f>
        <v>0</v>
      </c>
      <c r="M26" s="200"/>
      <c r="N26" s="200"/>
      <c r="O26" s="200"/>
      <c r="P26" s="200"/>
      <c r="Q26" s="200"/>
      <c r="R26" s="200"/>
      <c r="S26" s="200"/>
      <c r="T26" s="200"/>
      <c r="U26" s="200"/>
      <c r="V26" s="200"/>
      <c r="W26" s="200"/>
      <c r="X26" s="200"/>
      <c r="Y26" s="201"/>
      <c r="Z26" s="444"/>
      <c r="AA26" s="132"/>
      <c r="AB26" s="5"/>
      <c r="AC26" s="21"/>
      <c r="AD26" s="5"/>
      <c r="AE26" s="132"/>
      <c r="AF26" s="5"/>
      <c r="AG26" s="133"/>
      <c r="AH26" s="5"/>
      <c r="AI26" s="3"/>
      <c r="AJ26" s="5"/>
      <c r="AK26" s="37"/>
      <c r="AL26" s="5"/>
      <c r="AM26" s="9"/>
      <c r="AN26" s="5"/>
      <c r="AO26" s="9"/>
      <c r="AP26" s="5"/>
      <c r="AQ26" s="3"/>
      <c r="AR26" s="5"/>
      <c r="AS26" s="7"/>
      <c r="AT26" s="5"/>
      <c r="AV26" s="29"/>
    </row>
    <row r="27" spans="1:65" ht="20.25" hidden="1" customHeight="1">
      <c r="A27" s="27"/>
      <c r="B27" s="50"/>
      <c r="C27" s="23"/>
      <c r="D27" s="162"/>
      <c r="E27" s="428"/>
      <c r="F27" s="429"/>
      <c r="G27" s="429"/>
      <c r="H27" s="1316" t="s">
        <v>291</v>
      </c>
      <c r="I27" s="1317"/>
      <c r="J27" s="1318"/>
      <c r="K27" s="1053"/>
      <c r="L27" s="1061">
        <f>I25*J25*K27/100</f>
        <v>0</v>
      </c>
      <c r="M27" s="202"/>
      <c r="N27" s="202"/>
      <c r="O27" s="202"/>
      <c r="P27" s="202"/>
      <c r="Q27" s="202"/>
      <c r="R27" s="202"/>
      <c r="S27" s="202"/>
      <c r="T27" s="202"/>
      <c r="U27" s="202"/>
      <c r="V27" s="202"/>
      <c r="W27" s="202"/>
      <c r="X27" s="202"/>
      <c r="Y27" s="203"/>
      <c r="Z27" s="444"/>
      <c r="AA27" s="132"/>
      <c r="AB27" s="5"/>
      <c r="AC27" s="21"/>
      <c r="AD27" s="5"/>
      <c r="AE27" s="132"/>
      <c r="AF27" s="5"/>
      <c r="AG27" s="133"/>
      <c r="AH27" s="5"/>
      <c r="AI27" s="3"/>
      <c r="AJ27" s="5"/>
      <c r="AK27" s="37"/>
      <c r="AL27" s="5"/>
      <c r="AM27" s="9"/>
      <c r="AN27" s="5"/>
      <c r="AO27" s="9"/>
      <c r="AP27" s="5"/>
      <c r="AQ27" s="3"/>
      <c r="AR27" s="5"/>
      <c r="AS27" s="7"/>
      <c r="AT27" s="5"/>
      <c r="AV27" s="29"/>
      <c r="AW27" s="31"/>
      <c r="AX27" s="31"/>
      <c r="AY27" s="31"/>
      <c r="AZ27" s="31"/>
    </row>
    <row r="28" spans="1:65" ht="15" hidden="1" customHeight="1">
      <c r="A28" s="27"/>
      <c r="B28" s="50"/>
      <c r="C28" s="23"/>
      <c r="D28" s="162"/>
      <c r="E28" s="428"/>
      <c r="F28" s="429"/>
      <c r="G28" s="429"/>
      <c r="H28" s="1259" t="str">
        <f>IF(Calculations!G45=TRUE, "Selected Management = Grazing System all Year",IF(Calculations!H45=TRUE,"Selected Management = Alternative Pasture from:",IF(Calculations!I45=TRUE,"Selected Management = Dry Lot from:")))</f>
        <v>Selected Management = Grazing System all Year</v>
      </c>
      <c r="I28" s="1260"/>
      <c r="J28" s="717" t="str">
        <f>IF(OR(Calculations!H45=TRUE,Calculations!I45=TRUE),IF(Calculations!D46=1,"Feb -",IF(Calculations!D46=2,"Mar -",IF(Calculations!D46=3,"Apr -",IF(Calculations!D46=4,"May -",IF(Calculations!D46=5,"Jun -",IF(Calculations!D46=6,"Jul -",IF(Calculations!D46=7,"Aug -",IF(Calculations!D46=8,"Sep -",IF(Calculations!D46=9,"Oct -",IF(Calculations!D46=10,"Nov -",IF(Calculations!D46=11,"Dec -",IF(Calculations!D46=12,"Jan -")))))))))))),"")</f>
        <v/>
      </c>
      <c r="K28" s="724" t="str">
        <f>IF(OR(Calculations!H45=TRUE,Calculations!I45=TRUE),IF(Calculations!D45=1,"Dec",IF(Calculations!D45=2,"Jan",IF(Calculations!D45=3,"Feb",IF(Calculations!D45=4,"Mar",IF(Calculations!D45=5,"Apr",IF(Calculations!D45=6,"May",IF(Calculations!D45=7,"Jun",IF(Calculations!D45=8,"Jul",IF(Calculations!D45=9,"Aug",IF(Calculations!D45=10,"Sep",IF(Calculations!D45=11,"Oct",IF(Calculations!D45=12,"Nov")))))))))))),"")</f>
        <v/>
      </c>
      <c r="L28" s="633"/>
      <c r="M28" s="627"/>
      <c r="N28" s="627"/>
      <c r="O28" s="627"/>
      <c r="P28" s="627"/>
      <c r="Q28" s="627"/>
      <c r="R28" s="627"/>
      <c r="S28" s="627"/>
      <c r="T28" s="627"/>
      <c r="U28" s="627"/>
      <c r="V28" s="627"/>
      <c r="W28" s="627"/>
      <c r="X28" s="627"/>
      <c r="Y28" s="628"/>
      <c r="Z28" s="444"/>
      <c r="AA28" s="132"/>
      <c r="AB28" s="5"/>
      <c r="AC28" s="21"/>
      <c r="AD28" s="5"/>
      <c r="AE28" s="132"/>
      <c r="AF28" s="5"/>
      <c r="AG28" s="133"/>
      <c r="AH28" s="5"/>
      <c r="AI28" s="3"/>
      <c r="AJ28" s="5"/>
      <c r="AK28" s="37"/>
      <c r="AL28" s="5"/>
      <c r="AM28" s="9"/>
      <c r="AN28" s="5"/>
      <c r="AO28" s="9"/>
      <c r="AP28" s="5"/>
      <c r="AQ28" s="3"/>
      <c r="AR28" s="5"/>
      <c r="AS28" s="7"/>
      <c r="AT28" s="5"/>
      <c r="AV28" s="29"/>
      <c r="AW28" s="31"/>
      <c r="AX28" s="31"/>
      <c r="AY28" s="31"/>
      <c r="AZ28" s="31"/>
    </row>
    <row r="29" spans="1:65" ht="19.5" hidden="1" customHeight="1">
      <c r="A29" s="27"/>
      <c r="B29" s="50"/>
      <c r="C29" s="23"/>
      <c r="D29" s="162"/>
      <c r="E29" s="428"/>
      <c r="F29" s="429"/>
      <c r="G29" s="429"/>
      <c r="H29" s="1050" t="s">
        <v>362</v>
      </c>
      <c r="I29" s="1039"/>
      <c r="J29" s="419"/>
      <c r="K29" s="1064"/>
      <c r="L29" s="259">
        <f>I29*J29*K29/100</f>
        <v>0</v>
      </c>
      <c r="M29" s="1054">
        <f>SUM(N29:Y29)</f>
        <v>0</v>
      </c>
      <c r="N29" s="1055">
        <f>$L29*30</f>
        <v>0</v>
      </c>
      <c r="O29" s="259">
        <f>$L29*31</f>
        <v>0</v>
      </c>
      <c r="P29" s="259">
        <f>$L29*30</f>
        <v>0</v>
      </c>
      <c r="Q29" s="259">
        <f t="shared" ref="Q29:R39" si="0">$L29*31</f>
        <v>0</v>
      </c>
      <c r="R29" s="259">
        <f t="shared" si="0"/>
        <v>0</v>
      </c>
      <c r="S29" s="259">
        <f>$L29*30</f>
        <v>0</v>
      </c>
      <c r="T29" s="259">
        <f>$L29*31</f>
        <v>0</v>
      </c>
      <c r="U29" s="259">
        <f>$L29*30</f>
        <v>0</v>
      </c>
      <c r="V29" s="259">
        <f t="shared" ref="V29:W39" si="1">$L29*31</f>
        <v>0</v>
      </c>
      <c r="W29" s="259">
        <f t="shared" si="1"/>
        <v>0</v>
      </c>
      <c r="X29" s="259">
        <f>$L29*28</f>
        <v>0</v>
      </c>
      <c r="Y29" s="259">
        <f>$L29*31</f>
        <v>0</v>
      </c>
      <c r="Z29" s="444"/>
      <c r="AA29" s="132"/>
      <c r="AB29" s="5"/>
      <c r="AC29" s="21"/>
      <c r="AD29" s="5"/>
      <c r="AE29" s="132"/>
      <c r="AF29" s="5"/>
      <c r="AG29" s="133"/>
      <c r="AH29" s="5"/>
      <c r="AI29" s="3"/>
      <c r="AJ29" s="5"/>
      <c r="AK29" s="37"/>
      <c r="AL29" s="5"/>
      <c r="AM29" s="9"/>
      <c r="AN29" s="5"/>
      <c r="AO29" s="9"/>
      <c r="AP29" s="5"/>
      <c r="AQ29" s="3"/>
      <c r="AR29" s="5"/>
      <c r="AS29" s="7"/>
      <c r="AT29" s="5"/>
      <c r="AV29" s="29"/>
      <c r="AW29" s="31"/>
      <c r="AX29" s="31"/>
      <c r="AY29" s="31"/>
      <c r="AZ29" s="31"/>
    </row>
    <row r="30" spans="1:65" ht="15" hidden="1" customHeight="1">
      <c r="A30" s="27"/>
      <c r="B30" s="50"/>
      <c r="C30" s="23"/>
      <c r="D30" s="162"/>
      <c r="E30" s="428"/>
      <c r="F30" s="429"/>
      <c r="G30" s="429"/>
      <c r="H30" s="1259" t="str">
        <f>IF(Calculations!G54=TRUE, "Selected Management = Grazing System all Year",IF(Calculations!H54=TRUE,"Selected Management = Alternative Pasture from:",IF(Calculations!I54=TRUE,"Selected Management = Dry Lot from:")))</f>
        <v>Selected Management = Grazing System all Year</v>
      </c>
      <c r="I30" s="1260"/>
      <c r="J30" s="717" t="str">
        <f>IF(OR(Calculations!H54=TRUE,Calculations!I54=TRUE),IF(Calculations!D50=1,"Jan -",IF(Calculations!D50=2,"Feb -",IF(Calculations!D50=3,"Mar -",IF(Calculations!D50=4,"Apr -",IF(Calculations!D50=5,"May -",IF(Calculations!D50=6,"Jun -",IF(Calculations!D50=7,"Jul -",IF(Calculations!D50=8,"Aug -",IF(Calculations!D50=9,"Sep -",IF(Calculations!D50=10,"Oct -",IF(Calculations!D50=11,"Nov -",IF(Calculations!D50=12,"Dec -")))))))))))),"")</f>
        <v/>
      </c>
      <c r="K30" s="724" t="str">
        <f>IF(OR(Calculations!H54=TRUE,Calculations!I54=TRUE),IF(Calculations!D51=1,"Jan",IF(Calculations!D51=2,"Feb",IF(Calculations!D51=3,"Mar",IF(Calculations!D51=4,"Apr",IF(Calculations!D51=5,"May",IF(Calculations!D51=6,"Jun",IF(Calculations!D51=7,"Jul",IF(Calculations!D51=8,"Aug",IF(Calculations!D51=9,"Sep",IF(Calculations!D51=10,"Oct",IF(Calculations!D51=11,"Nov",IF(Calculations!D51=12,"Dec")))))))))))),"")</f>
        <v/>
      </c>
      <c r="L30" s="633"/>
      <c r="M30" s="627"/>
      <c r="N30" s="627"/>
      <c r="O30" s="627"/>
      <c r="P30" s="627"/>
      <c r="Q30" s="627"/>
      <c r="R30" s="627"/>
      <c r="S30" s="627"/>
      <c r="T30" s="627"/>
      <c r="U30" s="627"/>
      <c r="V30" s="627"/>
      <c r="W30" s="627"/>
      <c r="X30" s="627"/>
      <c r="Y30" s="628"/>
      <c r="Z30" s="444"/>
      <c r="AA30" s="132"/>
      <c r="AB30" s="5"/>
      <c r="AC30" s="21"/>
      <c r="AD30" s="5"/>
      <c r="AE30" s="132"/>
      <c r="AF30" s="5"/>
      <c r="AG30" s="133"/>
      <c r="AH30" s="5"/>
      <c r="AI30" s="3"/>
      <c r="AJ30" s="5"/>
      <c r="AK30" s="37"/>
      <c r="AL30" s="5"/>
      <c r="AM30" s="9"/>
      <c r="AN30" s="5"/>
      <c r="AO30" s="9"/>
      <c r="AP30" s="5"/>
      <c r="AQ30" s="3"/>
      <c r="AR30" s="5"/>
      <c r="AS30" s="7"/>
      <c r="AT30" s="5"/>
      <c r="AV30" s="29"/>
      <c r="AW30" s="31"/>
      <c r="AX30" s="31"/>
      <c r="AY30" s="31"/>
      <c r="AZ30" s="31"/>
    </row>
    <row r="31" spans="1:65" ht="20.100000000000001" hidden="1" customHeight="1">
      <c r="A31" s="27"/>
      <c r="B31" s="23"/>
      <c r="C31" s="23"/>
      <c r="D31" s="162"/>
      <c r="E31" s="428"/>
      <c r="F31" s="429"/>
      <c r="G31" s="429"/>
      <c r="H31" s="1048" t="s">
        <v>360</v>
      </c>
      <c r="I31" s="261"/>
      <c r="J31" s="262"/>
      <c r="K31" s="1053"/>
      <c r="L31" s="259">
        <f>I31*J31*K31/100</f>
        <v>0</v>
      </c>
      <c r="M31" s="1054">
        <f>SUM(N31:Y31)</f>
        <v>0</v>
      </c>
      <c r="N31" s="1055">
        <f>$L31*30</f>
        <v>0</v>
      </c>
      <c r="O31" s="259">
        <f>$L31*31</f>
        <v>0</v>
      </c>
      <c r="P31" s="259">
        <f>$L31*30</f>
        <v>0</v>
      </c>
      <c r="Q31" s="259">
        <f t="shared" si="0"/>
        <v>0</v>
      </c>
      <c r="R31" s="259">
        <f t="shared" si="0"/>
        <v>0</v>
      </c>
      <c r="S31" s="259">
        <f>$L31*30</f>
        <v>0</v>
      </c>
      <c r="T31" s="259">
        <f>$L31*31</f>
        <v>0</v>
      </c>
      <c r="U31" s="259">
        <f>$L31*30</f>
        <v>0</v>
      </c>
      <c r="V31" s="259">
        <f t="shared" si="1"/>
        <v>0</v>
      </c>
      <c r="W31" s="259">
        <f t="shared" si="1"/>
        <v>0</v>
      </c>
      <c r="X31" s="259">
        <f>$L31*28</f>
        <v>0</v>
      </c>
      <c r="Y31" s="259">
        <f>$L31*31</f>
        <v>0</v>
      </c>
      <c r="Z31" s="444"/>
      <c r="AA31" s="132"/>
      <c r="AB31" s="5"/>
      <c r="AC31" s="21"/>
      <c r="AD31" s="5"/>
      <c r="AE31" s="132"/>
      <c r="AF31" s="5"/>
      <c r="AG31" s="133"/>
      <c r="AH31" s="5"/>
      <c r="AI31" s="3"/>
      <c r="AJ31" s="5"/>
      <c r="AK31" s="37"/>
      <c r="AL31" s="5"/>
      <c r="AM31" s="9"/>
      <c r="AN31" s="5"/>
      <c r="AO31" s="9"/>
      <c r="AP31" s="5"/>
      <c r="AQ31" s="3"/>
      <c r="AR31" s="5"/>
      <c r="AS31" s="7"/>
      <c r="AT31" s="5"/>
      <c r="AV31" s="29"/>
    </row>
    <row r="32" spans="1:65" ht="15" hidden="1" customHeight="1">
      <c r="A32" s="51"/>
      <c r="B32" s="50"/>
      <c r="C32" s="23"/>
      <c r="D32" s="162"/>
      <c r="E32" s="428"/>
      <c r="F32" s="429"/>
      <c r="G32" s="429"/>
      <c r="H32" s="1259" t="b">
        <f>IF(Calculations!G50=TRUE,"Selected Management = Moved to Alternative Pasture",IF(Calculations!H50=TRUE,"Selected Management = Moved to Dry Lot"))</f>
        <v>0</v>
      </c>
      <c r="I32" s="1260"/>
      <c r="J32" s="622"/>
      <c r="K32" s="623"/>
      <c r="L32" s="627"/>
      <c r="M32" s="627"/>
      <c r="N32" s="627"/>
      <c r="O32" s="618"/>
      <c r="P32" s="618"/>
      <c r="Q32" s="618"/>
      <c r="R32" s="618"/>
      <c r="S32" s="618"/>
      <c r="T32" s="618"/>
      <c r="U32" s="618"/>
      <c r="V32" s="618"/>
      <c r="W32" s="618"/>
      <c r="X32" s="618"/>
      <c r="Y32" s="619"/>
      <c r="Z32" s="444"/>
      <c r="AA32" s="132"/>
      <c r="AB32" s="5"/>
      <c r="AC32" s="21"/>
      <c r="AD32" s="5"/>
      <c r="AE32" s="132"/>
      <c r="AF32" s="5"/>
      <c r="AG32" s="133"/>
      <c r="AH32" s="5"/>
      <c r="AI32" s="3"/>
      <c r="AJ32" s="5"/>
      <c r="AK32" s="37"/>
      <c r="AL32" s="5"/>
      <c r="AM32" s="9"/>
      <c r="AN32" s="5"/>
      <c r="AO32" s="9"/>
      <c r="AP32" s="5"/>
      <c r="AQ32" s="3"/>
      <c r="AR32" s="5"/>
      <c r="AS32" s="7"/>
      <c r="AT32" s="5"/>
      <c r="AV32" s="29"/>
    </row>
    <row r="33" spans="1:48" ht="20.100000000000001" hidden="1" customHeight="1">
      <c r="A33" s="51"/>
      <c r="B33" s="50"/>
      <c r="C33" s="23"/>
      <c r="D33" s="162"/>
      <c r="E33" s="428"/>
      <c r="F33" s="429"/>
      <c r="G33" s="429"/>
      <c r="H33" s="1048" t="s">
        <v>36</v>
      </c>
      <c r="I33" s="261"/>
      <c r="J33" s="262"/>
      <c r="K33" s="1053"/>
      <c r="L33" s="259">
        <f>I33*J33*K33/100</f>
        <v>0</v>
      </c>
      <c r="M33" s="1054">
        <f>SUM(N33:Y33)</f>
        <v>0</v>
      </c>
      <c r="N33" s="1055">
        <f>$L33*30</f>
        <v>0</v>
      </c>
      <c r="O33" s="259">
        <f>$L33*31</f>
        <v>0</v>
      </c>
      <c r="P33" s="259">
        <f>$L33*30</f>
        <v>0</v>
      </c>
      <c r="Q33" s="259">
        <f t="shared" si="0"/>
        <v>0</v>
      </c>
      <c r="R33" s="259">
        <f t="shared" si="0"/>
        <v>0</v>
      </c>
      <c r="S33" s="259">
        <f>$L33*30</f>
        <v>0</v>
      </c>
      <c r="T33" s="259">
        <f>$L33*31</f>
        <v>0</v>
      </c>
      <c r="U33" s="259">
        <f>$L33*30</f>
        <v>0</v>
      </c>
      <c r="V33" s="259">
        <f t="shared" si="1"/>
        <v>0</v>
      </c>
      <c r="W33" s="259">
        <f t="shared" si="1"/>
        <v>0</v>
      </c>
      <c r="X33" s="259">
        <f>$L33*28</f>
        <v>0</v>
      </c>
      <c r="Y33" s="259">
        <f>$L33*31</f>
        <v>0</v>
      </c>
      <c r="Z33" s="444"/>
      <c r="AA33" s="135"/>
      <c r="AB33" s="34"/>
      <c r="AC33" s="21"/>
      <c r="AD33" s="5"/>
      <c r="AE33" s="132"/>
      <c r="AF33" s="5"/>
      <c r="AG33" s="133"/>
      <c r="AH33" s="5"/>
      <c r="AI33" s="3"/>
      <c r="AJ33" s="5"/>
      <c r="AK33" s="37"/>
      <c r="AL33" s="5"/>
      <c r="AM33" s="9"/>
      <c r="AN33" s="5"/>
      <c r="AO33" s="9"/>
      <c r="AP33" s="5"/>
      <c r="AQ33" s="3"/>
      <c r="AR33" s="5"/>
      <c r="AS33" s="7"/>
      <c r="AT33" s="5"/>
      <c r="AV33" s="29"/>
    </row>
    <row r="34" spans="1:48" ht="15" hidden="1" customHeight="1">
      <c r="A34" s="51"/>
      <c r="B34" s="50"/>
      <c r="C34" s="23"/>
      <c r="D34" s="162"/>
      <c r="E34" s="428"/>
      <c r="F34" s="429"/>
      <c r="G34" s="429"/>
      <c r="H34" s="1259" t="str">
        <f>IF(Calculations!B55=TRUE, "Selected Management = Grazing System all Year",IF(OR(Calculations!B56=TRUE,Calculations!B58=TRUE),"Selected Management = Alternative Pasture from:",IF(OR(Calculations!B57=TRUE,Calculations!B59=TRUE),"Selected Management = Dry Lot from:")))</f>
        <v>Selected Management = Grazing System all Year</v>
      </c>
      <c r="I34" s="1260"/>
      <c r="J34" s="717" t="str">
        <f>IF(OR(Calculations!B56=TRUE,Calculations!B57=TRUE,Calculations!B58=TRUE,Calculations!B59=TRUE),IF(Calculations!B63=1,"Feb -",IF(Calculations!B63=2,"Mar -",IF(Calculations!B63=3,"Apr -",IF(Calculations!B63=4,"May -",IF(Calculations!B63=5,"Jun -",IF(Calculations!B63=6,"Jul -",IF(Calculations!B63=7,"Aug -",IF(Calculations!B63=8,"Sep -",IF(Calculations!B63=9,"Oct -",IF(Calculations!B63=10,"Nov -",IF(Calculations!B63=11,"Dec -",IF(Calculations!B63=12,"Jan -")))))))))))),"")</f>
        <v/>
      </c>
      <c r="K34" s="724" t="b">
        <f>IF(OR(Calculations!B56=TRUE,Calculations!B57=TRUE),IF(Calculations!B62=1,"Dec",IF(Calculations!B62=2,"Jan",IF(Calculations!B62=3,"Feb",IF(Calculations!B62=4,"Mar",IF(Calculations!B62=5,"Apr",IF(Calculations!B62=6,"May",IF(Calculations!B62=7,"Jun",IF(Calculations!B62=8,"Jul",IF(Calculations!B62=9,"Aug",IF(Calculations!B62=10,"Sep",IF(Calculations!B62=11,"Oct",IF(Calculations!B62=12,"Nov")))))))))))),IF(OR(,Calculations!B58=TRUE,Calculations!B59=TRUE),IF(Calculations!B65=1,"Dec",IF(Calculations!B65=2,"Jan",IF(Calculations!B65=3,"Feb",IF(Calculations!B65=4,"Mar",IF(Calculations!B65=5,"Apr",IF(Calculations!B65=6,"May",IF(Calculations!B65=7,"Jun",IF(Calculations!B65=8,"Jul",IF(Calculations!B65=9,"Aug",IF(Calculations!B65=10,"Sep",IF(Calculations!B65=11,"Oct",IF(Calculations!B65=12,"Nov"))))))))))))))</f>
        <v>0</v>
      </c>
      <c r="L34" s="617" t="str">
        <f>IF(OR(Calculations!B58=TRUE,Calculations!B59=TRUE)=TRUE,"and","")</f>
        <v/>
      </c>
      <c r="M34" s="719" t="str">
        <f>IF(OR(Calculations!B58=TRUE,Calculations!B59=TRUE),IF(Calculations!B66=1,"Feb -",IF(Calculations!B66=2,"Mar -",IF(Calculations!B66=3,"Apr -",IF(Calculations!B66=4,"May -",IF(Calculations!B66=5,"Jun -",IF(Calculations!B66=6,"Jul -",IF(Calculations!B66=7,"Aug -",IF(Calculations!B66=8,"Sep -",IF(Calculations!B66=9,"Oct -",IF(Calculations!B66=10,"Nov -",IF(Calculations!B66=11,"Dec -",IF(Calculations!B66=12,"Jan -")))))))))))),"")</f>
        <v/>
      </c>
      <c r="N34" s="718" t="str">
        <f>IF(OR(Calculations!B58=TRUE,Calculations!B59=TRUE),IF(Calculations!B62=1,"Dec",IF(Calculations!B62=2,"Jan",IF(Calculations!B62=3,"Feb",IF(Calculations!B62=4,"Mar",IF(Calculations!B62=5,"Apr",IF(Calculations!B62=6,"May",IF(Calculations!B62=7,"Jun",IF(Calculations!B62=8,"Jul",IF(Calculations!B62=9,"Aug",IF(Calculations!B62=10,"Sep",IF(Calculations!B62=11,"Oct",IF(Calculations!B62=12,"Nov")))))))))))),"")</f>
        <v/>
      </c>
      <c r="O34" s="617"/>
      <c r="P34" s="617"/>
      <c r="Q34" s="618"/>
      <c r="R34" s="618"/>
      <c r="S34" s="618"/>
      <c r="T34" s="618"/>
      <c r="U34" s="618"/>
      <c r="V34" s="618"/>
      <c r="W34" s="618"/>
      <c r="X34" s="618"/>
      <c r="Y34" s="619"/>
      <c r="Z34" s="444"/>
      <c r="AA34" s="135"/>
      <c r="AB34" s="34"/>
      <c r="AC34" s="21"/>
      <c r="AD34" s="5"/>
      <c r="AE34" s="132"/>
      <c r="AF34" s="5"/>
      <c r="AG34" s="133"/>
      <c r="AH34" s="5"/>
      <c r="AI34" s="3"/>
      <c r="AJ34" s="5"/>
      <c r="AK34" s="37"/>
      <c r="AL34" s="5"/>
      <c r="AM34" s="9"/>
      <c r="AN34" s="5"/>
      <c r="AO34" s="9"/>
      <c r="AP34" s="5"/>
      <c r="AQ34" s="3"/>
      <c r="AR34" s="5"/>
      <c r="AS34" s="7"/>
      <c r="AT34" s="5"/>
      <c r="AV34" s="29"/>
    </row>
    <row r="35" spans="1:48" ht="20.100000000000001" hidden="1" customHeight="1">
      <c r="A35" s="51"/>
      <c r="B35" s="50"/>
      <c r="C35" s="23"/>
      <c r="D35" s="162"/>
      <c r="E35" s="428"/>
      <c r="F35" s="429"/>
      <c r="G35" s="429"/>
      <c r="H35" s="1048" t="s">
        <v>52</v>
      </c>
      <c r="I35" s="261"/>
      <c r="J35" s="262"/>
      <c r="K35" s="1053"/>
      <c r="L35" s="259">
        <f>I35*J35*K35/100</f>
        <v>0</v>
      </c>
      <c r="M35" s="1057">
        <f>SUM(N35:Y35)</f>
        <v>0</v>
      </c>
      <c r="N35" s="1065">
        <f>$L35*30</f>
        <v>0</v>
      </c>
      <c r="O35" s="259">
        <f>$L35*31</f>
        <v>0</v>
      </c>
      <c r="P35" s="259">
        <f>$L35*30</f>
        <v>0</v>
      </c>
      <c r="Q35" s="259">
        <f t="shared" si="0"/>
        <v>0</v>
      </c>
      <c r="R35" s="259">
        <f t="shared" si="0"/>
        <v>0</v>
      </c>
      <c r="S35" s="259">
        <f>$L35*30</f>
        <v>0</v>
      </c>
      <c r="T35" s="259">
        <f>$L35*31</f>
        <v>0</v>
      </c>
      <c r="U35" s="259">
        <f>$L35*30</f>
        <v>0</v>
      </c>
      <c r="V35" s="259">
        <f t="shared" si="1"/>
        <v>0</v>
      </c>
      <c r="W35" s="259">
        <f t="shared" si="1"/>
        <v>0</v>
      </c>
      <c r="X35" s="259">
        <f>$L35*28</f>
        <v>0</v>
      </c>
      <c r="Y35" s="259">
        <f>$L35*31</f>
        <v>0</v>
      </c>
      <c r="Z35" s="444"/>
      <c r="AA35" s="5"/>
      <c r="AB35" s="30"/>
      <c r="AC35" s="21"/>
      <c r="AD35" s="5"/>
      <c r="AE35" s="132"/>
      <c r="AF35" s="5"/>
      <c r="AG35" s="133"/>
      <c r="AH35" s="5"/>
      <c r="AI35" s="3"/>
      <c r="AJ35" s="5"/>
      <c r="AK35" s="37"/>
      <c r="AL35" s="5"/>
      <c r="AM35" s="9"/>
      <c r="AN35" s="5"/>
      <c r="AO35" s="9"/>
      <c r="AP35" s="5"/>
      <c r="AQ35" s="3"/>
      <c r="AR35" s="5"/>
      <c r="AS35" s="7"/>
      <c r="AT35" s="5"/>
      <c r="AV35" s="29"/>
    </row>
    <row r="36" spans="1:48" ht="15" hidden="1" customHeight="1">
      <c r="A36" s="51"/>
      <c r="B36" s="50"/>
      <c r="C36" s="23"/>
      <c r="D36" s="162"/>
      <c r="E36" s="428"/>
      <c r="F36" s="429"/>
      <c r="G36" s="429"/>
      <c r="H36" s="1259" t="str">
        <f>IF(Calculations!B99=TRUE, "Selected Management = Grazing System all Year",IF(Calculations!B100=TRUE,"Selected Management = Alternative Pasture from:",IF(Calculations!B101=TRUE,"Selected Management = Dry Lot from:")))</f>
        <v>Selected Management = Grazing System all Year</v>
      </c>
      <c r="I36" s="1260"/>
      <c r="J36" s="717" t="str">
        <f>IF(OR(Calculations!B100=TRUE,Calculations!B101=TRUE),IF(Calculations!B102=1,"Jan -",IF(Calculations!B102=2,"Feb -",IF(Calculations!B102=3,"Mar -",IF(Calculations!B102=4,"Apr -",IF(Calculations!B102=5,"May -",IF(Calculations!B102=6,"Jun -",IF(Calculations!B102=7,"Jul -",IF(Calculations!B102=8,"Aug -",IF(Calculations!B102=9,"Sep -",IF(Calculations!B102=10,"Oct -",IF(Calculations!B102=11,"Nov -",IF(Calculations!B102=12,"Dec -")))))))))))),"")</f>
        <v/>
      </c>
      <c r="K36" s="724" t="str">
        <f>IF(OR(Calculations!B100=TRUE,Calculations!B101=TRUE),IF(Calculations!B103=1,"Jan",IF(Calculations!B103=2,"Feb",IF(Calculations!B103=3,"Mar",IF(Calculations!B103=4,"Apr",IF(Calculations!B103=5,"May",IF(Calculations!B103=6,"Jun",IF(Calculations!B103=7,"Jul",IF(Calculations!B103=8,"Aug",IF(Calculations!B103=9,"Sep",IF(Calculations!B103=10,"Oct",IF(Calculations!B103=11,"Nov",IF(Calculations!B103=12,"Dec")))))))))))),"")</f>
        <v/>
      </c>
      <c r="L36" s="617"/>
      <c r="M36" s="618"/>
      <c r="N36" s="618"/>
      <c r="O36" s="618"/>
      <c r="P36" s="618"/>
      <c r="Q36" s="618"/>
      <c r="R36" s="618"/>
      <c r="S36" s="618"/>
      <c r="T36" s="618"/>
      <c r="U36" s="618"/>
      <c r="V36" s="618"/>
      <c r="W36" s="618"/>
      <c r="X36" s="618"/>
      <c r="Y36" s="619"/>
      <c r="Z36" s="444"/>
      <c r="AA36" s="5"/>
      <c r="AB36" s="30"/>
      <c r="AC36" s="21"/>
      <c r="AD36" s="5"/>
      <c r="AE36" s="132"/>
      <c r="AF36" s="5"/>
      <c r="AG36" s="133"/>
      <c r="AH36" s="5"/>
      <c r="AI36" s="3"/>
      <c r="AJ36" s="5"/>
      <c r="AK36" s="37"/>
      <c r="AL36" s="5"/>
      <c r="AM36" s="9"/>
      <c r="AN36" s="5"/>
      <c r="AO36" s="9"/>
      <c r="AP36" s="5"/>
      <c r="AQ36" s="3"/>
      <c r="AR36" s="5"/>
      <c r="AS36" s="7"/>
      <c r="AT36" s="5"/>
      <c r="AV36" s="29"/>
    </row>
    <row r="37" spans="1:48" ht="20.100000000000001" hidden="1" customHeight="1">
      <c r="A37" s="51"/>
      <c r="B37" s="50"/>
      <c r="C37" s="23"/>
      <c r="D37" s="162"/>
      <c r="E37" s="428"/>
      <c r="F37" s="429"/>
      <c r="G37" s="429"/>
      <c r="H37" s="1048" t="s">
        <v>54</v>
      </c>
      <c r="I37" s="261"/>
      <c r="J37" s="262"/>
      <c r="K37" s="1053"/>
      <c r="L37" s="259">
        <f>I37*J37*K37/100</f>
        <v>0</v>
      </c>
      <c r="M37" s="1057">
        <f>SUM(N37:Y37)</f>
        <v>0</v>
      </c>
      <c r="N37" s="1065">
        <f>$L37*30</f>
        <v>0</v>
      </c>
      <c r="O37" s="259">
        <f>$L37*31</f>
        <v>0</v>
      </c>
      <c r="P37" s="259">
        <f>$L37*30</f>
        <v>0</v>
      </c>
      <c r="Q37" s="259">
        <f t="shared" si="0"/>
        <v>0</v>
      </c>
      <c r="R37" s="259">
        <f t="shared" si="0"/>
        <v>0</v>
      </c>
      <c r="S37" s="259">
        <f>$L37*30</f>
        <v>0</v>
      </c>
      <c r="T37" s="259">
        <f>$L37*31</f>
        <v>0</v>
      </c>
      <c r="U37" s="259">
        <f>$L37*30</f>
        <v>0</v>
      </c>
      <c r="V37" s="259">
        <f t="shared" si="1"/>
        <v>0</v>
      </c>
      <c r="W37" s="259">
        <f t="shared" si="1"/>
        <v>0</v>
      </c>
      <c r="X37" s="259">
        <f>$L37*28</f>
        <v>0</v>
      </c>
      <c r="Y37" s="259">
        <f>$L37*31</f>
        <v>0</v>
      </c>
      <c r="Z37" s="444"/>
      <c r="AA37" s="5"/>
      <c r="AB37" s="6"/>
      <c r="AC37" s="21"/>
      <c r="AD37" s="5"/>
      <c r="AE37" s="132"/>
      <c r="AF37" s="5"/>
      <c r="AG37" s="133"/>
      <c r="AH37" s="5"/>
      <c r="AI37" s="3"/>
      <c r="AJ37" s="5"/>
      <c r="AK37" s="37"/>
      <c r="AL37" s="5"/>
      <c r="AM37" s="9"/>
      <c r="AN37" s="5"/>
      <c r="AO37" s="9"/>
      <c r="AP37" s="5"/>
      <c r="AQ37" s="3"/>
      <c r="AR37" s="5"/>
      <c r="AS37" s="7"/>
      <c r="AT37" s="5"/>
      <c r="AV37" s="29"/>
    </row>
    <row r="38" spans="1:48" ht="15" hidden="1" customHeight="1">
      <c r="A38" s="51"/>
      <c r="B38" s="50"/>
      <c r="C38" s="23"/>
      <c r="D38" s="162"/>
      <c r="E38" s="428"/>
      <c r="F38" s="429"/>
      <c r="G38" s="429"/>
      <c r="H38" s="629"/>
      <c r="I38" s="621"/>
      <c r="J38" s="622"/>
      <c r="K38" s="623"/>
      <c r="L38" s="618"/>
      <c r="M38" s="618"/>
      <c r="N38" s="618"/>
      <c r="O38" s="618"/>
      <c r="P38" s="618"/>
      <c r="Q38" s="618"/>
      <c r="R38" s="618"/>
      <c r="S38" s="618"/>
      <c r="T38" s="618"/>
      <c r="U38" s="618"/>
      <c r="V38" s="618"/>
      <c r="W38" s="618"/>
      <c r="X38" s="618"/>
      <c r="Y38" s="619"/>
      <c r="Z38" s="444"/>
      <c r="AA38" s="5"/>
      <c r="AB38" s="6"/>
      <c r="AC38" s="21"/>
      <c r="AD38" s="5"/>
      <c r="AE38" s="132"/>
      <c r="AF38" s="5"/>
      <c r="AG38" s="133"/>
      <c r="AH38" s="5"/>
      <c r="AI38" s="3"/>
      <c r="AJ38" s="5"/>
      <c r="AK38" s="37"/>
      <c r="AL38" s="5"/>
      <c r="AM38" s="9"/>
      <c r="AN38" s="5"/>
      <c r="AO38" s="9"/>
      <c r="AP38" s="5"/>
      <c r="AQ38" s="3"/>
      <c r="AR38" s="5"/>
      <c r="AS38" s="7"/>
      <c r="AT38" s="5"/>
      <c r="AV38" s="29"/>
    </row>
    <row r="39" spans="1:48" ht="20.100000000000001" hidden="1" customHeight="1">
      <c r="A39" s="51"/>
      <c r="B39" s="50"/>
      <c r="C39" s="23"/>
      <c r="D39" s="162"/>
      <c r="E39" s="428"/>
      <c r="F39" s="429"/>
      <c r="G39" s="436"/>
      <c r="H39" s="1048" t="s">
        <v>55</v>
      </c>
      <c r="I39" s="261"/>
      <c r="J39" s="262"/>
      <c r="K39" s="1053"/>
      <c r="L39" s="259">
        <f>I39*J39*K39/100</f>
        <v>0</v>
      </c>
      <c r="M39" s="1057">
        <f>SUM(N39:Y39)</f>
        <v>0</v>
      </c>
      <c r="N39" s="1065">
        <f>$L39*30</f>
        <v>0</v>
      </c>
      <c r="O39" s="259">
        <f>$L39*31</f>
        <v>0</v>
      </c>
      <c r="P39" s="259">
        <f>$L39*30</f>
        <v>0</v>
      </c>
      <c r="Q39" s="259">
        <f t="shared" si="0"/>
        <v>0</v>
      </c>
      <c r="R39" s="259">
        <f t="shared" si="0"/>
        <v>0</v>
      </c>
      <c r="S39" s="259">
        <f>$L39*30</f>
        <v>0</v>
      </c>
      <c r="T39" s="259">
        <f>$L39*31</f>
        <v>0</v>
      </c>
      <c r="U39" s="259">
        <f>$L39*30</f>
        <v>0</v>
      </c>
      <c r="V39" s="259">
        <f t="shared" si="1"/>
        <v>0</v>
      </c>
      <c r="W39" s="259">
        <f t="shared" si="1"/>
        <v>0</v>
      </c>
      <c r="X39" s="259">
        <f>$L39*28</f>
        <v>0</v>
      </c>
      <c r="Y39" s="259">
        <f>$L39*31</f>
        <v>0</v>
      </c>
      <c r="Z39" s="444"/>
      <c r="AC39" s="21"/>
      <c r="AD39" s="5"/>
      <c r="AE39" s="132"/>
      <c r="AF39" s="5"/>
      <c r="AG39" s="133"/>
      <c r="AH39" s="5"/>
      <c r="AI39" s="3"/>
      <c r="AJ39" s="5"/>
      <c r="AK39" s="37"/>
      <c r="AL39" s="5"/>
      <c r="AM39" s="9"/>
      <c r="AN39" s="5"/>
      <c r="AO39" s="9"/>
      <c r="AP39" s="5"/>
      <c r="AQ39" s="3"/>
      <c r="AR39" s="5"/>
      <c r="AS39" s="7"/>
      <c r="AT39" s="5"/>
      <c r="AV39" s="29"/>
    </row>
    <row r="40" spans="1:48" ht="15" hidden="1" customHeight="1">
      <c r="A40" s="51"/>
      <c r="B40" s="50"/>
      <c r="C40" s="23"/>
      <c r="D40" s="162"/>
      <c r="E40" s="428"/>
      <c r="F40" s="429"/>
      <c r="G40" s="429"/>
      <c r="H40" s="630"/>
      <c r="I40" s="631"/>
      <c r="J40" s="631"/>
      <c r="K40" s="631"/>
      <c r="L40" s="631"/>
      <c r="M40" s="631"/>
      <c r="N40" s="631"/>
      <c r="O40" s="631"/>
      <c r="P40" s="631"/>
      <c r="Q40" s="631"/>
      <c r="R40" s="631"/>
      <c r="S40" s="631"/>
      <c r="T40" s="631"/>
      <c r="U40" s="631"/>
      <c r="V40" s="631"/>
      <c r="W40" s="631"/>
      <c r="X40" s="631"/>
      <c r="Y40" s="632"/>
      <c r="Z40" s="444"/>
      <c r="AA40" s="34"/>
      <c r="AB40" s="34"/>
      <c r="AC40" s="137"/>
      <c r="AD40" s="5"/>
      <c r="AE40" s="132"/>
      <c r="AF40" s="5"/>
      <c r="AG40" s="133"/>
      <c r="AH40" s="5"/>
      <c r="AI40" s="3"/>
      <c r="AJ40" s="5"/>
      <c r="AK40" s="37"/>
      <c r="AL40" s="5"/>
      <c r="AM40" s="9"/>
      <c r="AN40" s="5"/>
      <c r="AO40" s="9"/>
      <c r="AP40" s="5"/>
      <c r="AQ40" s="3"/>
      <c r="AR40" s="5"/>
      <c r="AS40" s="7"/>
      <c r="AT40" s="5"/>
      <c r="AU40" s="3"/>
      <c r="AV40" s="29"/>
    </row>
    <row r="41" spans="1:48" ht="20.25" customHeight="1">
      <c r="A41" s="51"/>
      <c r="B41" s="50"/>
      <c r="C41" s="23"/>
      <c r="D41" s="162"/>
      <c r="E41" s="428"/>
      <c r="F41" s="429"/>
      <c r="G41" s="429"/>
      <c r="H41" s="1066" t="s">
        <v>346</v>
      </c>
      <c r="I41" s="1066">
        <f>SUBTOTAL(109,I15:I39)</f>
        <v>0</v>
      </c>
      <c r="J41" s="1067">
        <f>Calculations!B127</f>
        <v>0</v>
      </c>
      <c r="K41" s="1068">
        <f>IF(Calculations!B125=0,0,L41/Calculations!B125*100)</f>
        <v>0</v>
      </c>
      <c r="L41" s="1067">
        <f>IF(SeasonalDairyCheck=FALSE,SUBTOTAL(109,L15:L39),SUBTOTAL(109,L15:L23)+SUBTOTAL(109,L29:L39)+SUBTOTAL(101,L26:L27))</f>
        <v>0</v>
      </c>
      <c r="M41" s="1069">
        <f>SUM(N41:Y41)</f>
        <v>0</v>
      </c>
      <c r="N41" s="1070">
        <f>SUBTOTAL(109,N15:N39)</f>
        <v>0</v>
      </c>
      <c r="O41" s="1067">
        <f t="shared" ref="O41:Y41" si="2">SUBTOTAL(109,O15:O39)</f>
        <v>0</v>
      </c>
      <c r="P41" s="1067">
        <f t="shared" si="2"/>
        <v>0</v>
      </c>
      <c r="Q41" s="1067">
        <f t="shared" si="2"/>
        <v>0</v>
      </c>
      <c r="R41" s="1067">
        <f t="shared" si="2"/>
        <v>0</v>
      </c>
      <c r="S41" s="1067">
        <f t="shared" si="2"/>
        <v>0</v>
      </c>
      <c r="T41" s="1067">
        <f t="shared" si="2"/>
        <v>0</v>
      </c>
      <c r="U41" s="1067">
        <f t="shared" si="2"/>
        <v>0</v>
      </c>
      <c r="V41" s="1067">
        <f t="shared" si="2"/>
        <v>0</v>
      </c>
      <c r="W41" s="1067">
        <f t="shared" si="2"/>
        <v>0</v>
      </c>
      <c r="X41" s="1067">
        <f t="shared" si="2"/>
        <v>0</v>
      </c>
      <c r="Y41" s="1067">
        <f t="shared" si="2"/>
        <v>0</v>
      </c>
      <c r="Z41" s="444"/>
      <c r="AD41" s="5"/>
      <c r="AE41" s="132"/>
      <c r="AF41" s="5"/>
      <c r="AG41" s="133"/>
      <c r="AH41" s="5"/>
      <c r="AI41" s="3"/>
      <c r="AJ41" s="5"/>
      <c r="AK41" s="37"/>
      <c r="AL41" s="5"/>
      <c r="AM41" s="9"/>
      <c r="AN41" s="5"/>
      <c r="AO41" s="9"/>
      <c r="AP41" s="5"/>
      <c r="AQ41" s="3"/>
      <c r="AR41" s="5"/>
      <c r="AS41" s="7"/>
      <c r="AT41" s="5"/>
      <c r="AU41" s="3"/>
      <c r="AV41" s="29"/>
    </row>
    <row r="42" spans="1:48" ht="20.25" customHeight="1">
      <c r="A42" s="51"/>
      <c r="B42" s="50"/>
      <c r="C42" s="23"/>
      <c r="D42" s="162"/>
      <c r="E42" s="437"/>
      <c r="F42" s="438"/>
      <c r="G42" s="429"/>
      <c r="H42" s="448"/>
      <c r="I42" s="1320"/>
      <c r="J42" s="1320"/>
      <c r="K42" s="449"/>
      <c r="L42" s="442"/>
      <c r="M42" s="442"/>
      <c r="N42" s="442"/>
      <c r="O42" s="442"/>
      <c r="P42" s="442"/>
      <c r="Q42" s="442"/>
      <c r="R42" s="442"/>
      <c r="S42" s="442"/>
      <c r="T42" s="442"/>
      <c r="U42" s="442"/>
      <c r="V42" s="442"/>
      <c r="W42" s="442"/>
      <c r="X42" s="442"/>
      <c r="Y42" s="442"/>
      <c r="Z42" s="444"/>
      <c r="AD42" s="5"/>
      <c r="AE42" s="132"/>
      <c r="AF42" s="5"/>
      <c r="AG42" s="133"/>
      <c r="AH42" s="5"/>
      <c r="AI42" s="3"/>
      <c r="AJ42" s="5"/>
      <c r="AK42" s="37"/>
      <c r="AL42" s="5"/>
      <c r="AM42" s="9"/>
      <c r="AN42" s="5"/>
      <c r="AO42" s="9"/>
      <c r="AP42" s="5"/>
      <c r="AQ42" s="3"/>
      <c r="AR42" s="5"/>
      <c r="AS42" s="7"/>
      <c r="AT42" s="5"/>
      <c r="AU42" s="3"/>
      <c r="AV42" s="29"/>
    </row>
    <row r="43" spans="1:48" ht="14.25" hidden="1" customHeight="1">
      <c r="A43" s="51"/>
      <c r="B43" s="50"/>
      <c r="C43" s="23"/>
      <c r="D43" s="162"/>
      <c r="E43" s="428"/>
      <c r="F43" s="429"/>
      <c r="G43" s="429"/>
      <c r="H43" s="1338" t="s">
        <v>361</v>
      </c>
      <c r="I43" s="1338"/>
      <c r="J43" s="1338"/>
      <c r="K43" s="1338"/>
      <c r="L43" s="1338"/>
      <c r="M43" s="1338"/>
      <c r="N43" s="209" t="str">
        <f>IF(Calculations!G45=TRUE,"P",IF(Calculations!$D$45&lt;Calculations!$D$46,(IF(Calculations!$D$45&lt;=4,(IF(Calculations!$D$46&gt;=4,"P","A")),"A")),IF(Calculations!$D$46&gt;=4,"P",IF(Calculations!$D$45&lt;=4,"P","A"))))</f>
        <v>P</v>
      </c>
      <c r="O43" s="209" t="str">
        <f>IF(Calculations!G45=TRUE,"P",IF(Calculations!$D$45&lt;Calculations!$D$46,(IF(Calculations!$D$45&lt;=5,(IF(Calculations!$D$46&gt;=5,"P","A")),"A")),IF(Calculations!$D$46&gt;=5,"P",IF(Calculations!$D$45&lt;=5,"P","A"))))</f>
        <v>P</v>
      </c>
      <c r="P43" s="209" t="str">
        <f>IF(Calculations!G45=TRUE,"P",IF(Calculations!$D$45&lt;Calculations!$D$46,(IF(Calculations!$D$45&lt;=6,(IF(Calculations!$D$46&gt;=6,"P","A")),"A")),IF(Calculations!$D$46&gt;=6,"P",IF(Calculations!$D$45&lt;=6,"P","A"))))</f>
        <v>P</v>
      </c>
      <c r="Q43" s="209" t="str">
        <f>IF(Calculations!G45=TRUE,"P",IF(Calculations!$D$45&lt;Calculations!$D$46,(IF(Calculations!$D$45&lt;=7,(IF(Calculations!$D$46&gt;=7,"P","A")),"A")),IF(Calculations!$D$46&gt;=7,"P",IF(Calculations!$D$45&lt;=7,"P","A"))))</f>
        <v>P</v>
      </c>
      <c r="R43" s="209" t="str">
        <f>IF(Calculations!G45=TRUE,"P",IF(Calculations!$D$45&lt;Calculations!$D$46,(IF(Calculations!$D$45&lt;=8,(IF(Calculations!$D$46&gt;=8,"P","A")),"A")),IF(Calculations!$D$46&gt;=8,"P",IF(Calculations!$D$45&lt;=8,"P","A"))))</f>
        <v>P</v>
      </c>
      <c r="S43" s="209" t="str">
        <f>IF(Calculations!G45=TRUE,"P",IF(Calculations!$D$45&lt;Calculations!$D$46,(IF(Calculations!$D$45&lt;=9,(IF(Calculations!$D$46&gt;=9,"P","A")),"A")),IF(Calculations!$D$46&gt;=9,"P",IF(Calculations!$D$45&lt;=9,"P","A"))))</f>
        <v>P</v>
      </c>
      <c r="T43" s="209" t="str">
        <f>IF(Calculations!G45=TRUE,"P",IF(Calculations!$D$45&lt;Calculations!$D$46,(IF(Calculations!$D$45&lt;=10,(IF(Calculations!$D$46&gt;=10,"P","A")),"A")),IF(Calculations!$D$46&gt;=10,"P",IF(Calculations!$D$45&lt;=10,"P","A"))))</f>
        <v>P</v>
      </c>
      <c r="U43" s="209" t="str">
        <f>IF(Calculations!G45=TRUE,"P",IF(Calculations!$D$45&lt;Calculations!$D$46,(IF(Calculations!$D$45&lt;=11,(IF(Calculations!$D$46&gt;=11,"P","A")),"A")),IF(Calculations!$D$46&gt;=11,"P",IF(Calculations!$D$45&lt;=11,"P","A"))))</f>
        <v>P</v>
      </c>
      <c r="V43" s="209" t="str">
        <f>IF(Calculations!G45=TRUE,"P",IF(Calculations!$D$45&lt;Calculations!$D$46,(IF(Calculations!$D$45&lt;=12,(IF(Calculations!$D$46&gt;=12,"P","A")),"A")),IF(Calculations!$D$46&gt;=12,"P",IF(Calculations!$D$45&lt;=12,"P","A"))))</f>
        <v>P</v>
      </c>
      <c r="W43" s="209" t="str">
        <f>IF(Calculations!G45=TRUE,"P",IF(Calculations!$D$45&lt;Calculations!$D$46,(IF(Calculations!$D$45&lt;=1,(IF(Calculations!$D$46&gt;=1,"P","A")),"A")),IF(Calculations!$D$46&gt;=1,"P",IF(Calculations!$D$45&lt;=1,"P","A"))))</f>
        <v>P</v>
      </c>
      <c r="X43" s="209" t="str">
        <f>IF(Calculations!G45=TRUE,"P",IF(Calculations!$D$45&lt;Calculations!$D$46,(IF(Calculations!$D$45&lt;=2,(IF(Calculations!$D$46&gt;=2,"P","A")),"A")),IF(Calculations!$D$46&gt;=2,"P",IF(Calculations!$D$45&lt;=2,"P","A"))))</f>
        <v>P</v>
      </c>
      <c r="Y43" s="209" t="str">
        <f>IF(Calculations!G45=TRUE,"P",IF(Calculations!$D$45&lt;Calculations!$D$46,(IF(Calculations!$D$45&lt;=3,(IF(Calculations!$D$46&gt;=3,"P","A")),"A")),IF(Calculations!$D$46&gt;=3,"P",IF(Calculations!$D$45&lt;=3,"P","A"))))</f>
        <v>P</v>
      </c>
      <c r="Z43" s="444"/>
      <c r="AD43" s="5"/>
      <c r="AE43" s="132"/>
      <c r="AF43" s="5"/>
      <c r="AG43" s="133"/>
      <c r="AH43" s="5"/>
      <c r="AI43" s="3"/>
      <c r="AJ43" s="5"/>
      <c r="AK43" s="37"/>
      <c r="AL43" s="5"/>
      <c r="AM43" s="9"/>
      <c r="AN43" s="5"/>
      <c r="AO43" s="9"/>
      <c r="AP43" s="5"/>
      <c r="AQ43" s="3"/>
      <c r="AR43" s="5"/>
      <c r="AS43" s="7"/>
      <c r="AT43" s="5"/>
      <c r="AU43" s="3"/>
      <c r="AV43" s="29"/>
    </row>
    <row r="44" spans="1:48" ht="14.25" hidden="1" customHeight="1">
      <c r="A44" s="51"/>
      <c r="B44" s="50"/>
      <c r="C44" s="23"/>
      <c r="D44" s="162"/>
      <c r="E44" s="428"/>
      <c r="F44" s="429"/>
      <c r="G44" s="429"/>
      <c r="H44" s="1262" t="s">
        <v>386</v>
      </c>
      <c r="I44" s="1262"/>
      <c r="J44" s="1262"/>
      <c r="K44" s="1262"/>
      <c r="L44" s="1262"/>
      <c r="M44" s="1262"/>
      <c r="N44" s="209">
        <f>IF(Calculations!$L$44=TRUE,IF(N43="P",N25,0),0)</f>
        <v>0</v>
      </c>
      <c r="O44" s="209">
        <f>IF(Calculations!$L$44=TRUE,IF(O43="P",O25,0),0)</f>
        <v>0</v>
      </c>
      <c r="P44" s="209">
        <f>IF(Calculations!$L$44=TRUE,IF(P43="P",P25,0),0)</f>
        <v>0</v>
      </c>
      <c r="Q44" s="209">
        <f>IF(Calculations!$L$44=TRUE,IF(Q43="P",Q25,0),0)</f>
        <v>0</v>
      </c>
      <c r="R44" s="209">
        <f>IF(Calculations!$L$44=TRUE,IF(R43="P",R25,0),0)</f>
        <v>0</v>
      </c>
      <c r="S44" s="209">
        <f>IF(Calculations!$L$44=TRUE,IF(S43="P",S25,0),0)</f>
        <v>0</v>
      </c>
      <c r="T44" s="209">
        <f>IF(Calculations!$L$44=TRUE,IF(T43="P",T25,0),0)</f>
        <v>0</v>
      </c>
      <c r="U44" s="209">
        <f>IF(Calculations!$L$44=TRUE,IF(U43="P",U25,0),0)</f>
        <v>0</v>
      </c>
      <c r="V44" s="209">
        <f>IF(Calculations!$L$44=TRUE,IF(V43="P",V25,0),0)</f>
        <v>0</v>
      </c>
      <c r="W44" s="209">
        <f>IF(Calculations!$L$44=TRUE,IF(W43="P",W25,0),0)</f>
        <v>0</v>
      </c>
      <c r="X44" s="209">
        <f>IF(Calculations!$L$44=TRUE,IF(X43="P",X25,0),0)</f>
        <v>0</v>
      </c>
      <c r="Y44" s="209">
        <f>IF(Calculations!$L$44=TRUE,IF(Y43="P",Y25,0),0)</f>
        <v>0</v>
      </c>
      <c r="Z44" s="444"/>
      <c r="AD44" s="5"/>
      <c r="AE44" s="132"/>
      <c r="AF44" s="5"/>
      <c r="AG44" s="133"/>
      <c r="AH44" s="5"/>
      <c r="AI44" s="3"/>
      <c r="AJ44" s="5"/>
      <c r="AK44" s="37"/>
      <c r="AL44" s="5"/>
      <c r="AM44" s="9"/>
      <c r="AN44" s="5"/>
      <c r="AO44" s="9"/>
      <c r="AP44" s="5"/>
      <c r="AQ44" s="3"/>
      <c r="AR44" s="5"/>
      <c r="AS44" s="7"/>
      <c r="AT44" s="5"/>
      <c r="AU44" s="3"/>
      <c r="AV44" s="29"/>
    </row>
    <row r="45" spans="1:48" ht="14.25" hidden="1" customHeight="1">
      <c r="A45" s="51"/>
      <c r="B45" s="50"/>
      <c r="C45" s="23"/>
      <c r="D45" s="162"/>
      <c r="E45" s="428"/>
      <c r="F45" s="429"/>
      <c r="G45" s="429"/>
      <c r="H45" s="1262" t="s">
        <v>406</v>
      </c>
      <c r="I45" s="1262"/>
      <c r="J45" s="1262"/>
      <c r="K45" s="1262"/>
      <c r="L45" s="1262"/>
      <c r="M45" s="1262"/>
      <c r="N45" s="209">
        <f>IF(Calculations!$L$44=TRUE,IF(AND(N43="A",Calculations!$H$45=TRUE),N25,0),0)</f>
        <v>0</v>
      </c>
      <c r="O45" s="209">
        <f>IF(Calculations!$L$44=TRUE,IF(AND(O43="A",Calculations!$H$45=TRUE),O25,0),0)</f>
        <v>0</v>
      </c>
      <c r="P45" s="209">
        <f>IF(Calculations!$L$44=TRUE,IF(AND(P43="A",Calculations!$H$45=TRUE),P25,0),0)</f>
        <v>0</v>
      </c>
      <c r="Q45" s="209">
        <f>IF(Calculations!$L$44=TRUE,IF(AND(Q43="A",Calculations!$H$45=TRUE),Q25,0),0)</f>
        <v>0</v>
      </c>
      <c r="R45" s="209">
        <f>IF(Calculations!$L$44=TRUE,IF(AND(R43="A",Calculations!$H$45=TRUE),R25,0),0)</f>
        <v>0</v>
      </c>
      <c r="S45" s="209">
        <f>IF(Calculations!$L$44=TRUE,IF(AND(S43="A",Calculations!$H$45=TRUE),S25,0),0)</f>
        <v>0</v>
      </c>
      <c r="T45" s="209">
        <f>IF(Calculations!$L$44=TRUE,IF(AND(T43="A",Calculations!$H$45=TRUE),T25,0),0)</f>
        <v>0</v>
      </c>
      <c r="U45" s="209">
        <f>IF(Calculations!$L$44=TRUE,IF(AND(U43="A",Calculations!$H$45=TRUE),U25,0),0)</f>
        <v>0</v>
      </c>
      <c r="V45" s="209">
        <f>IF(Calculations!$L$44=TRUE,IF(AND(V43="A",Calculations!$H$45=TRUE),V25,0),0)</f>
        <v>0</v>
      </c>
      <c r="W45" s="209">
        <f>IF(Calculations!$L$44=TRUE,IF(AND(W43="A",Calculations!$H$45=TRUE),W25,0),0)</f>
        <v>0</v>
      </c>
      <c r="X45" s="209">
        <f>IF(Calculations!$L$44=TRUE,IF(AND(X43="A",Calculations!$H$45=TRUE),X25,0),0)</f>
        <v>0</v>
      </c>
      <c r="Y45" s="209">
        <f>IF(Calculations!$L$44=TRUE,IF(AND(Y43="A",Calculations!$H$45=TRUE),Y25,0),0)</f>
        <v>0</v>
      </c>
      <c r="Z45" s="444"/>
      <c r="AD45" s="5"/>
      <c r="AE45" s="132"/>
      <c r="AF45" s="5"/>
      <c r="AG45" s="133"/>
      <c r="AH45" s="5"/>
      <c r="AI45" s="3"/>
      <c r="AJ45" s="5"/>
      <c r="AK45" s="37"/>
      <c r="AL45" s="5"/>
      <c r="AM45" s="9"/>
      <c r="AN45" s="5"/>
      <c r="AO45" s="9"/>
      <c r="AP45" s="5"/>
      <c r="AQ45" s="3"/>
      <c r="AR45" s="5"/>
      <c r="AS45" s="7"/>
      <c r="AT45" s="5"/>
      <c r="AU45" s="3"/>
      <c r="AV45" s="29"/>
    </row>
    <row r="46" spans="1:48" ht="14.25" hidden="1" customHeight="1">
      <c r="A46" s="51"/>
      <c r="B46" s="50"/>
      <c r="C46" s="23"/>
      <c r="D46" s="162"/>
      <c r="E46" s="428"/>
      <c r="F46" s="429"/>
      <c r="G46" s="429"/>
      <c r="H46" s="1262" t="s">
        <v>407</v>
      </c>
      <c r="I46" s="1262"/>
      <c r="J46" s="1262"/>
      <c r="K46" s="1262"/>
      <c r="L46" s="1262"/>
      <c r="M46" s="1262"/>
      <c r="N46" s="209">
        <f>IF(Calculations!$L$44=TRUE,IF(AND(N43="A",Calculations!$I$45=TRUE),N25,0),0)</f>
        <v>0</v>
      </c>
      <c r="O46" s="209">
        <f>IF(Calculations!$L$44=TRUE,IF(AND(O43="A",Calculations!$I$45=TRUE),O25,0),0)</f>
        <v>0</v>
      </c>
      <c r="P46" s="209">
        <f>IF(Calculations!$L$44=TRUE,IF(AND(P43="A",Calculations!$I$45=TRUE),P25,0),0)</f>
        <v>0</v>
      </c>
      <c r="Q46" s="209">
        <f>IF(Calculations!$L$44=TRUE,IF(AND(Q43="A",Calculations!$I$45=TRUE),Q25,0),0)</f>
        <v>0</v>
      </c>
      <c r="R46" s="209">
        <f>IF(Calculations!$L$44=TRUE,IF(AND(R43="A",Calculations!$I$45=TRUE),R25,0),0)</f>
        <v>0</v>
      </c>
      <c r="S46" s="209">
        <f>IF(Calculations!$L$44=TRUE,IF(AND(S43="A",Calculations!$I$45=TRUE),S25,0),0)</f>
        <v>0</v>
      </c>
      <c r="T46" s="209">
        <f>IF(Calculations!$L$44=TRUE,IF(AND(T43="A",Calculations!$I$45=TRUE),T25,0),0)</f>
        <v>0</v>
      </c>
      <c r="U46" s="209">
        <f>IF(Calculations!$L$44=TRUE,IF(AND(U43="A",Calculations!$I$45=TRUE),U25,0),0)</f>
        <v>0</v>
      </c>
      <c r="V46" s="209">
        <f>IF(Calculations!$L$44=TRUE,IF(AND(V43="A",Calculations!$I$45=TRUE),V25,0),0)</f>
        <v>0</v>
      </c>
      <c r="W46" s="209">
        <f>IF(Calculations!$L$44=TRUE,IF(AND(W43="A",Calculations!$I$45=TRUE),W25,0),0)</f>
        <v>0</v>
      </c>
      <c r="X46" s="209">
        <f>IF(Calculations!$L$44=TRUE,IF(AND(X43="A",Calculations!$I$45=TRUE),X25,0),0)</f>
        <v>0</v>
      </c>
      <c r="Y46" s="209">
        <f>IF(Calculations!$L$44=TRUE,IF(AND(Y43="A",Calculations!$I$45=TRUE),Y25,0),0)</f>
        <v>0</v>
      </c>
      <c r="Z46" s="444"/>
      <c r="AD46" s="5"/>
      <c r="AE46" s="132"/>
      <c r="AF46" s="5"/>
      <c r="AG46" s="133"/>
      <c r="AH46" s="5"/>
      <c r="AI46" s="3"/>
      <c r="AJ46" s="5"/>
      <c r="AK46" s="37"/>
      <c r="AL46" s="5"/>
      <c r="AM46" s="9"/>
      <c r="AN46" s="5"/>
      <c r="AO46" s="9"/>
      <c r="AP46" s="5"/>
      <c r="AQ46" s="3"/>
      <c r="AR46" s="5"/>
      <c r="AS46" s="7"/>
      <c r="AT46" s="5"/>
      <c r="AU46" s="3"/>
      <c r="AV46" s="29"/>
    </row>
    <row r="47" spans="1:48" ht="14.25" hidden="1" customHeight="1">
      <c r="A47" s="51"/>
      <c r="B47" s="50"/>
      <c r="C47" s="23"/>
      <c r="D47" s="162"/>
      <c r="E47" s="428"/>
      <c r="F47" s="429"/>
      <c r="G47" s="429"/>
      <c r="H47" s="1262"/>
      <c r="I47" s="1262"/>
      <c r="J47" s="1262"/>
      <c r="K47" s="1262"/>
      <c r="L47" s="1262"/>
      <c r="M47" s="1262"/>
      <c r="N47" s="209"/>
      <c r="O47" s="209"/>
      <c r="P47" s="209"/>
      <c r="Q47" s="209"/>
      <c r="R47" s="209"/>
      <c r="S47" s="209"/>
      <c r="T47" s="209"/>
      <c r="U47" s="209"/>
      <c r="V47" s="209"/>
      <c r="W47" s="209"/>
      <c r="X47" s="209"/>
      <c r="Y47" s="209"/>
      <c r="Z47" s="444"/>
      <c r="AD47" s="5"/>
      <c r="AE47" s="132"/>
      <c r="AF47" s="5"/>
      <c r="AG47" s="133"/>
      <c r="AH47" s="5"/>
      <c r="AI47" s="3"/>
      <c r="AJ47" s="5"/>
      <c r="AK47" s="37"/>
      <c r="AL47" s="5"/>
      <c r="AM47" s="9"/>
      <c r="AN47" s="5"/>
      <c r="AO47" s="9"/>
      <c r="AP47" s="5"/>
      <c r="AQ47" s="3"/>
      <c r="AR47" s="5"/>
      <c r="AS47" s="7"/>
      <c r="AT47" s="5"/>
      <c r="AU47" s="3"/>
      <c r="AV47" s="29"/>
    </row>
    <row r="48" spans="1:48" ht="14.25" hidden="1" customHeight="1">
      <c r="A48" s="51"/>
      <c r="B48" s="50"/>
      <c r="C48" s="23"/>
      <c r="D48" s="162"/>
      <c r="E48" s="428"/>
      <c r="F48" s="429"/>
      <c r="G48" s="429"/>
      <c r="H48" s="228"/>
      <c r="I48" s="228"/>
      <c r="J48" s="228"/>
      <c r="K48" s="228"/>
      <c r="L48" s="228"/>
      <c r="M48" s="231" t="s">
        <v>387</v>
      </c>
      <c r="N48" s="209"/>
      <c r="O48" s="209"/>
      <c r="P48" s="209"/>
      <c r="Q48" s="209"/>
      <c r="R48" s="209"/>
      <c r="S48" s="209"/>
      <c r="T48" s="209"/>
      <c r="U48" s="209"/>
      <c r="V48" s="209"/>
      <c r="W48" s="209"/>
      <c r="X48" s="209"/>
      <c r="Y48" s="209"/>
      <c r="Z48" s="444"/>
      <c r="AD48" s="5"/>
      <c r="AE48" s="132"/>
      <c r="AF48" s="5"/>
      <c r="AG48" s="133"/>
      <c r="AH48" s="5"/>
      <c r="AI48" s="3"/>
      <c r="AJ48" s="5"/>
      <c r="AK48" s="37"/>
      <c r="AL48" s="5"/>
      <c r="AM48" s="9"/>
      <c r="AN48" s="5"/>
      <c r="AO48" s="9"/>
      <c r="AP48" s="5"/>
      <c r="AQ48" s="3"/>
      <c r="AR48" s="5"/>
      <c r="AS48" s="7"/>
      <c r="AT48" s="5"/>
      <c r="AU48" s="3"/>
      <c r="AV48" s="29"/>
    </row>
    <row r="49" spans="1:48" ht="14.25" hidden="1" customHeight="1">
      <c r="A49" s="51"/>
      <c r="B49" s="50"/>
      <c r="C49" s="23"/>
      <c r="D49" s="162"/>
      <c r="E49" s="428"/>
      <c r="F49" s="429"/>
      <c r="G49" s="429"/>
      <c r="H49" s="1262" t="s">
        <v>362</v>
      </c>
      <c r="I49" s="1262"/>
      <c r="J49" s="1262"/>
      <c r="K49" s="1262"/>
      <c r="L49" s="1262"/>
      <c r="M49" s="1262"/>
      <c r="N49" s="209" t="str">
        <f>IF(Calculations!G54=TRUE,"P",IF(Calculations!$D$50&lt;Calculations!$D$51,(IF(Calculations!$D$50&lt;=4,(IF(Calculations!$D$51&gt;=4,"A","P")),"P")),IF(Calculations!$D$51&gt;=4,"A",IF(Calculations!$D$50&lt;=4,"A","P"))))</f>
        <v>P</v>
      </c>
      <c r="O49" s="209" t="str">
        <f>IF(Calculations!G54=TRUE,"P",IF(Calculations!$D$50&lt;Calculations!$D$51,(IF(Calculations!$D$50&lt;=5,(IF(Calculations!$D$51&gt;=5,"A","P")),"P")),IF(Calculations!$D$51&gt;=5,"A",IF(Calculations!$D$50&lt;=5,"A","P"))))</f>
        <v>P</v>
      </c>
      <c r="P49" s="209" t="str">
        <f>IF(Calculations!G54=TRUE,"P",IF(Calculations!$D$50&lt;Calculations!$D$51,(IF(Calculations!$D$50&lt;=6,(IF(Calculations!$D$51&gt;=6,"A","P")),"P")),IF(Calculations!$D$51&gt;=6,"A",IF(Calculations!$D$50&lt;=6,"A","P"))))</f>
        <v>P</v>
      </c>
      <c r="Q49" s="209" t="str">
        <f>IF(Calculations!G54=TRUE,"P",IF(Calculations!$D$50&lt;Calculations!$D$51,(IF(Calculations!$D$50&lt;=7,(IF(Calculations!$D$51&gt;=7,"A","P")),"P")),IF(Calculations!$D$51&gt;=7,"A",IF(Calculations!$D$50&lt;=7,"A","P"))))</f>
        <v>P</v>
      </c>
      <c r="R49" s="209" t="str">
        <f>IF(Calculations!G54=TRUE,"P",IF(Calculations!$D$50&lt;Calculations!$D$51,(IF(Calculations!$D$50&lt;=8,(IF(Calculations!$D$51&gt;=8,"A","P")),"P")),IF(Calculations!$D$51&gt;=8,"A",IF(Calculations!$D$50&lt;=8,"A","P"))))</f>
        <v>P</v>
      </c>
      <c r="S49" s="209" t="str">
        <f>IF(Calculations!G54=TRUE,"P",IF(Calculations!$D$50&lt;Calculations!$D$51,(IF(Calculations!$D$50&lt;=9,(IF(Calculations!$D$51&gt;=9,"A","P")),"P")),IF(Calculations!$D$51&gt;=9,"A",IF(Calculations!$D$50&lt;=9,"A","P"))))</f>
        <v>P</v>
      </c>
      <c r="T49" s="209" t="str">
        <f>IF(Calculations!G54=TRUE,"P",IF(Calculations!$D$50&lt;Calculations!$D$51,(IF(Calculations!$D$50&lt;=10,(IF(Calculations!$D$51&gt;=10,"A","P")),"P")),IF(Calculations!$D$51&gt;=10,"A",IF(Calculations!$D$50&lt;=10,"A","P"))))</f>
        <v>P</v>
      </c>
      <c r="U49" s="209" t="str">
        <f>IF(Calculations!G54=TRUE,"P",IF(Calculations!$D$50&lt;Calculations!$D$51,(IF(Calculations!$D$50&lt;=11,(IF(Calculations!$D$51&gt;=11,"A","P")),"P")),IF(Calculations!$D$51&gt;=11,"A",IF(Calculations!$D$50&lt;=11,"A","P"))))</f>
        <v>P</v>
      </c>
      <c r="V49" s="209" t="str">
        <f>IF(Calculations!G54=TRUE,"P",IF(Calculations!$D$50&lt;Calculations!$D$51,(IF(Calculations!$D$50&lt;=12,(IF(Calculations!$D$51&gt;=12,"A","P")),"P")),IF(Calculations!$D$51&gt;=12,"A",IF(Calculations!$D$50&lt;=12,"A","P"))))</f>
        <v>P</v>
      </c>
      <c r="W49" s="209" t="str">
        <f>IF(Calculations!G54=TRUE,"P",IF(Calculations!$D$50&lt;Calculations!$D$51,(IF(Calculations!$D$50&lt;=1,(IF(Calculations!$D$51&gt;=1,"A","P")),"P")),IF(Calculations!$D$51&gt;=1,"A",IF(Calculations!$D$50&lt;=1,"A","P"))))</f>
        <v>P</v>
      </c>
      <c r="X49" s="209" t="str">
        <f>IF(Calculations!G54=TRUE,"P",IF(Calculations!$D$50&lt;Calculations!$D$51,(IF(Calculations!$D$50&lt;=2,(IF(Calculations!$D$51&gt;=2,"A","P")),"P")),IF(Calculations!$D$51&gt;=2,"A",IF(Calculations!$D$50&lt;=2,"A","P"))))</f>
        <v>P</v>
      </c>
      <c r="Y49" s="209" t="str">
        <f>IF(Calculations!G54=TRUE,"P",IF(Calculations!$D$50&lt;Calculations!$D$51,(IF(Calculations!$D$50&lt;=3,(IF(Calculations!$D$51&gt;=3,"A","P")),"P")),IF(Calculations!$D$51&gt;=3,"A",IF(Calculations!$D$50&lt;=3,"A","P"))))</f>
        <v>P</v>
      </c>
      <c r="Z49" s="444"/>
      <c r="AD49" s="5"/>
      <c r="AE49" s="132"/>
      <c r="AF49" s="5"/>
      <c r="AG49" s="133"/>
      <c r="AH49" s="5"/>
      <c r="AI49" s="3"/>
      <c r="AJ49" s="5"/>
      <c r="AK49" s="37"/>
      <c r="AL49" s="5"/>
      <c r="AM49" s="9"/>
      <c r="AN49" s="5"/>
      <c r="AO49" s="9"/>
      <c r="AP49" s="5"/>
      <c r="AQ49" s="3"/>
      <c r="AR49" s="5"/>
      <c r="AS49" s="7"/>
      <c r="AT49" s="5"/>
      <c r="AU49" s="3"/>
      <c r="AV49" s="29"/>
    </row>
    <row r="50" spans="1:48" ht="14.25" hidden="1" customHeight="1">
      <c r="A50" s="51"/>
      <c r="B50" s="50"/>
      <c r="C50" s="23"/>
      <c r="D50" s="162"/>
      <c r="E50" s="428"/>
      <c r="F50" s="429"/>
      <c r="G50" s="429"/>
      <c r="H50" s="1262" t="s">
        <v>370</v>
      </c>
      <c r="I50" s="1262"/>
      <c r="J50" s="1262"/>
      <c r="K50" s="1262"/>
      <c r="L50" s="1262"/>
      <c r="M50" s="1262"/>
      <c r="N50" s="209">
        <f>IF(Calculations!$L$45=TRUE,IF(N49="P",N29,0),0)</f>
        <v>0</v>
      </c>
      <c r="O50" s="209">
        <f>IF(Calculations!$L$45=TRUE,IF(O49="P",O29,0),0)</f>
        <v>0</v>
      </c>
      <c r="P50" s="209">
        <f>IF(Calculations!$L$45=TRUE,IF(P49="P",P29,0),0)</f>
        <v>0</v>
      </c>
      <c r="Q50" s="209">
        <f>IF(Calculations!$L$45=TRUE,IF(Q49="P",Q29,0),0)</f>
        <v>0</v>
      </c>
      <c r="R50" s="209">
        <f>IF(Calculations!$L$45=TRUE,IF(R49="P",R29,0),0)</f>
        <v>0</v>
      </c>
      <c r="S50" s="209">
        <f>IF(Calculations!$L$45=TRUE,IF(S49="P",S29,0),0)</f>
        <v>0</v>
      </c>
      <c r="T50" s="209">
        <f>IF(Calculations!$L$45=TRUE,IF(T49="P",T29,0),0)</f>
        <v>0</v>
      </c>
      <c r="U50" s="209">
        <f>IF(Calculations!$L$45=TRUE,IF(U49="P",U29,0),0)</f>
        <v>0</v>
      </c>
      <c r="V50" s="209">
        <f>IF(Calculations!$L$45=TRUE,IF(V49="P",V29,0),0)</f>
        <v>0</v>
      </c>
      <c r="W50" s="209">
        <f>IF(Calculations!$L$45=TRUE,IF(W49="P",W29,0),0)</f>
        <v>0</v>
      </c>
      <c r="X50" s="209">
        <f>IF(Calculations!$L$45=TRUE,IF(X49="P",X29,0),0)</f>
        <v>0</v>
      </c>
      <c r="Y50" s="209">
        <f>IF(Calculations!$L$45=TRUE,IF(Y49="P",Y29,0),0)</f>
        <v>0</v>
      </c>
      <c r="Z50" s="444"/>
      <c r="AD50" s="5"/>
      <c r="AE50" s="132"/>
      <c r="AF50" s="5"/>
      <c r="AG50" s="133"/>
      <c r="AH50" s="5"/>
      <c r="AI50" s="3"/>
      <c r="AJ50" s="5"/>
      <c r="AK50" s="37"/>
      <c r="AL50" s="5"/>
      <c r="AM50" s="9"/>
      <c r="AN50" s="5"/>
      <c r="AO50" s="9"/>
      <c r="AP50" s="5"/>
      <c r="AQ50" s="3"/>
      <c r="AR50" s="5"/>
      <c r="AS50" s="7"/>
      <c r="AT50" s="5"/>
      <c r="AU50" s="3"/>
      <c r="AV50" s="29"/>
    </row>
    <row r="51" spans="1:48" ht="14.25" hidden="1" customHeight="1">
      <c r="A51" s="51"/>
      <c r="B51" s="50"/>
      <c r="C51" s="23"/>
      <c r="D51" s="162"/>
      <c r="E51" s="428"/>
      <c r="F51" s="429"/>
      <c r="G51" s="429"/>
      <c r="H51" s="1262" t="s">
        <v>408</v>
      </c>
      <c r="I51" s="1262"/>
      <c r="J51" s="1262"/>
      <c r="K51" s="1262"/>
      <c r="L51" s="1262"/>
      <c r="M51" s="1262"/>
      <c r="N51" s="209">
        <f>IF(Calculations!$L$45=TRUE,IF(AND(N50="P",Calculations!$H$54=TRUE),N29,0),0)</f>
        <v>0</v>
      </c>
      <c r="O51" s="209">
        <f>IF(Calculations!$L$45=TRUE,IF(AND(O50="P",Calculations!$H$54=TRUE),O29,0),0)</f>
        <v>0</v>
      </c>
      <c r="P51" s="209">
        <f>IF(Calculations!$L$45=TRUE,IF(AND(P50="P",Calculations!$H$54=TRUE),P29,0),0)</f>
        <v>0</v>
      </c>
      <c r="Q51" s="209">
        <f>IF(Calculations!$L$45=TRUE,IF(AND(Q50="P",Calculations!$H$54=TRUE),Q29,0),0)</f>
        <v>0</v>
      </c>
      <c r="R51" s="209">
        <f>IF(Calculations!$L$45=TRUE,IF(AND(R50="P",Calculations!$H$54=TRUE),R29,0),0)</f>
        <v>0</v>
      </c>
      <c r="S51" s="209">
        <f>IF(Calculations!$L$45=TRUE,IF(AND(S50="P",Calculations!$H$54=TRUE),S29,0),0)</f>
        <v>0</v>
      </c>
      <c r="T51" s="209">
        <f>IF(Calculations!$L$45=TRUE,IF(AND(T50="P",Calculations!$H$54=TRUE),T29,0),0)</f>
        <v>0</v>
      </c>
      <c r="U51" s="209">
        <f>IF(Calculations!$L$45=TRUE,IF(AND(U50="P",Calculations!$H$54=TRUE),U29,0),0)</f>
        <v>0</v>
      </c>
      <c r="V51" s="209">
        <f>IF(Calculations!$L$45=TRUE,IF(AND(V50="P",Calculations!$H$54=TRUE),V29,0),0)</f>
        <v>0</v>
      </c>
      <c r="W51" s="209">
        <f>IF(Calculations!$L$45=TRUE,IF(AND(W50="P",Calculations!$H$54=TRUE),W29,0),0)</f>
        <v>0</v>
      </c>
      <c r="X51" s="209">
        <f>IF(Calculations!$L$45=TRUE,IF(AND(X50="P",Calculations!$H$54=TRUE),X29,0),0)</f>
        <v>0</v>
      </c>
      <c r="Y51" s="209">
        <f>IF(Calculations!$L$45=TRUE,IF(AND(Y50="P",Calculations!$H$54=TRUE),Y29,0),0)</f>
        <v>0</v>
      </c>
      <c r="Z51" s="444"/>
      <c r="AD51" s="5"/>
      <c r="AE51" s="132"/>
      <c r="AF51" s="5"/>
      <c r="AG51" s="133"/>
      <c r="AH51" s="5"/>
      <c r="AI51" s="3"/>
      <c r="AJ51" s="5"/>
      <c r="AK51" s="37"/>
      <c r="AL51" s="5"/>
      <c r="AM51" s="9"/>
      <c r="AN51" s="5"/>
      <c r="AO51" s="9"/>
      <c r="AP51" s="5"/>
      <c r="AQ51" s="3"/>
      <c r="AR51" s="5"/>
      <c r="AS51" s="7"/>
      <c r="AT51" s="5"/>
      <c r="AU51" s="3"/>
      <c r="AV51" s="29"/>
    </row>
    <row r="52" spans="1:48" ht="14.25" hidden="1" customHeight="1">
      <c r="A52" s="51"/>
      <c r="B52" s="50"/>
      <c r="C52" s="23"/>
      <c r="D52" s="162"/>
      <c r="E52" s="428"/>
      <c r="F52" s="429"/>
      <c r="G52" s="429"/>
      <c r="H52" s="1262" t="s">
        <v>409</v>
      </c>
      <c r="I52" s="1262"/>
      <c r="J52" s="1262"/>
      <c r="K52" s="1262"/>
      <c r="L52" s="1262"/>
      <c r="M52" s="1262"/>
      <c r="N52" s="209">
        <f>IF(Calculations!$L$45=TRUE,IF(AND(N50="P",Calculations!$I$54=TRUE),N29,0),0)</f>
        <v>0</v>
      </c>
      <c r="O52" s="209">
        <f>IF(Calculations!$L$45=TRUE,IF(AND(O50="P",Calculations!$I$54=TRUE),O29,0),0)</f>
        <v>0</v>
      </c>
      <c r="P52" s="209">
        <f>IF(Calculations!$L$45=TRUE,IF(AND(P50="P",Calculations!$I$54=TRUE),P29,0),0)</f>
        <v>0</v>
      </c>
      <c r="Q52" s="209">
        <f>IF(Calculations!$L$45=TRUE,IF(AND(Q50="P",Calculations!$I$54=TRUE),Q29,0),0)</f>
        <v>0</v>
      </c>
      <c r="R52" s="209">
        <f>IF(Calculations!$L$45=TRUE,IF(AND(R50="P",Calculations!$I$54=TRUE),R29,0),0)</f>
        <v>0</v>
      </c>
      <c r="S52" s="209">
        <f>IF(Calculations!$L$45=TRUE,IF(AND(S50="P",Calculations!$I$54=TRUE),S29,0),0)</f>
        <v>0</v>
      </c>
      <c r="T52" s="209">
        <f>IF(Calculations!$L$45=TRUE,IF(AND(T50="P",Calculations!$I$54=TRUE),T29,0),0)</f>
        <v>0</v>
      </c>
      <c r="U52" s="209">
        <f>IF(Calculations!$L$45=TRUE,IF(AND(U50="P",Calculations!$I$54=TRUE),U29,0),0)</f>
        <v>0</v>
      </c>
      <c r="V52" s="209">
        <f>IF(Calculations!$L$45=TRUE,IF(AND(V50="P",Calculations!$I$54=TRUE),V29,0),0)</f>
        <v>0</v>
      </c>
      <c r="W52" s="209">
        <f>IF(Calculations!$L$45=TRUE,IF(AND(W50="P",Calculations!$I$54=TRUE),W29,0),0)</f>
        <v>0</v>
      </c>
      <c r="X52" s="209">
        <f>IF(Calculations!$L$45=TRUE,IF(AND(X50="P",Calculations!$I$54=TRUE),X29,0),0)</f>
        <v>0</v>
      </c>
      <c r="Y52" s="209">
        <f>IF(Calculations!$L$45=TRUE,IF(AND(Y50="P",Calculations!$I$54=TRUE),Y29,0),0)</f>
        <v>0</v>
      </c>
      <c r="Z52" s="444"/>
      <c r="AD52" s="5"/>
      <c r="AE52" s="132"/>
      <c r="AF52" s="5"/>
      <c r="AG52" s="133"/>
      <c r="AH52" s="5"/>
      <c r="AI52" s="3"/>
      <c r="AJ52" s="5"/>
      <c r="AK52" s="37"/>
      <c r="AL52" s="5"/>
      <c r="AM52" s="9"/>
      <c r="AN52" s="5"/>
      <c r="AO52" s="9"/>
      <c r="AP52" s="5"/>
      <c r="AQ52" s="3"/>
      <c r="AR52" s="5"/>
      <c r="AS52" s="7"/>
      <c r="AT52" s="5"/>
      <c r="AU52" s="3"/>
      <c r="AV52" s="29"/>
    </row>
    <row r="53" spans="1:48" ht="14.25" hidden="1" customHeight="1">
      <c r="A53" s="51"/>
      <c r="B53" s="50"/>
      <c r="C53" s="23"/>
      <c r="D53" s="162"/>
      <c r="E53" s="428"/>
      <c r="F53" s="429"/>
      <c r="G53" s="429"/>
      <c r="H53" s="226"/>
      <c r="I53" s="226">
        <v>0</v>
      </c>
      <c r="J53" s="226"/>
      <c r="K53" s="226"/>
      <c r="L53" s="226"/>
      <c r="M53" s="226"/>
      <c r="N53" s="209"/>
      <c r="O53" s="209"/>
      <c r="P53" s="209"/>
      <c r="Q53" s="209"/>
      <c r="R53" s="209"/>
      <c r="S53" s="209"/>
      <c r="T53" s="209"/>
      <c r="U53" s="209"/>
      <c r="V53" s="209"/>
      <c r="W53" s="209"/>
      <c r="X53" s="209"/>
      <c r="Y53" s="209"/>
      <c r="Z53" s="444"/>
      <c r="AD53" s="5"/>
      <c r="AE53" s="132"/>
      <c r="AF53" s="5"/>
      <c r="AG53" s="133"/>
      <c r="AH53" s="5"/>
      <c r="AI53" s="3"/>
      <c r="AJ53" s="5"/>
      <c r="AK53" s="37"/>
      <c r="AL53" s="5"/>
      <c r="AM53" s="9"/>
      <c r="AN53" s="5"/>
      <c r="AO53" s="9"/>
      <c r="AP53" s="5"/>
      <c r="AQ53" s="3"/>
      <c r="AR53" s="5"/>
      <c r="AS53" s="7"/>
      <c r="AT53" s="5"/>
      <c r="AU53" s="3"/>
      <c r="AV53" s="29"/>
    </row>
    <row r="54" spans="1:48" ht="14.25" hidden="1" customHeight="1">
      <c r="A54" s="51"/>
      <c r="B54" s="50"/>
      <c r="C54" s="23"/>
      <c r="D54" s="162"/>
      <c r="E54" s="428"/>
      <c r="F54" s="429"/>
      <c r="G54" s="429"/>
      <c r="H54" s="1262" t="s">
        <v>410</v>
      </c>
      <c r="I54" s="1262"/>
      <c r="J54" s="1262"/>
      <c r="K54" s="1262"/>
      <c r="L54" s="1262"/>
      <c r="M54" s="1262"/>
      <c r="N54" s="209">
        <f>IF(Calculations!$L$45=TRUE,IF(Calculations!$G$50=TRUE,N31,0),0)</f>
        <v>0</v>
      </c>
      <c r="O54" s="209">
        <f>IF(Calculations!$L$45=TRUE,IF(Calculations!$G$50=TRUE,O31,0),0)</f>
        <v>0</v>
      </c>
      <c r="P54" s="209">
        <f>IF(Calculations!$L$45=TRUE,IF(Calculations!$G$50=TRUE,P31,0),0)</f>
        <v>0</v>
      </c>
      <c r="Q54" s="209">
        <f>IF(Calculations!$L$45=TRUE,IF(Calculations!$G$50=TRUE,Q31,0),0)</f>
        <v>0</v>
      </c>
      <c r="R54" s="209">
        <f>IF(Calculations!$L$45=TRUE,IF(Calculations!$G$50=TRUE,R31,0),0)</f>
        <v>0</v>
      </c>
      <c r="S54" s="209">
        <f>IF(Calculations!$L$45=TRUE,IF(Calculations!$G$50=TRUE,S31,0),0)</f>
        <v>0</v>
      </c>
      <c r="T54" s="209">
        <f>IF(Calculations!$L$45=TRUE,IF(Calculations!$G$50=TRUE,T31,0),0)</f>
        <v>0</v>
      </c>
      <c r="U54" s="209">
        <f>IF(Calculations!$L$45=TRUE,IF(Calculations!$G$50=TRUE,U31,0),0)</f>
        <v>0</v>
      </c>
      <c r="V54" s="209">
        <f>IF(Calculations!$L$45=TRUE,IF(Calculations!$G$50=TRUE,V31,0),0)</f>
        <v>0</v>
      </c>
      <c r="W54" s="209">
        <f>IF(Calculations!$L$45=TRUE,IF(Calculations!$G$50=TRUE,W31,0),0)</f>
        <v>0</v>
      </c>
      <c r="X54" s="209">
        <f>IF(Calculations!$L$45=TRUE,IF(Calculations!$G$50=TRUE,X31,0),0)</f>
        <v>0</v>
      </c>
      <c r="Y54" s="209">
        <f>IF(Calculations!$L$45=TRUE,IF(Calculations!$G$50=TRUE,Y31,0),0)</f>
        <v>0</v>
      </c>
      <c r="Z54" s="444"/>
      <c r="AD54" s="5"/>
      <c r="AE54" s="132"/>
      <c r="AF54" s="5"/>
      <c r="AG54" s="133"/>
      <c r="AH54" s="5"/>
      <c r="AI54" s="3"/>
      <c r="AJ54" s="5"/>
      <c r="AK54" s="37"/>
      <c r="AL54" s="5"/>
      <c r="AM54" s="9"/>
      <c r="AN54" s="5"/>
      <c r="AO54" s="9"/>
      <c r="AP54" s="5"/>
      <c r="AQ54" s="3"/>
      <c r="AR54" s="5"/>
      <c r="AS54" s="7"/>
      <c r="AT54" s="5"/>
      <c r="AU54" s="3"/>
      <c r="AV54" s="29"/>
    </row>
    <row r="55" spans="1:48" ht="14.25" hidden="1" customHeight="1">
      <c r="A55" s="51"/>
      <c r="B55" s="50"/>
      <c r="C55" s="23"/>
      <c r="D55" s="162"/>
      <c r="E55" s="428"/>
      <c r="F55" s="429"/>
      <c r="G55" s="429"/>
      <c r="H55" s="1262" t="s">
        <v>411</v>
      </c>
      <c r="I55" s="1262"/>
      <c r="J55" s="1262"/>
      <c r="K55" s="1262"/>
      <c r="L55" s="1262"/>
      <c r="M55" s="1262"/>
      <c r="N55" s="209">
        <f>IF(Calculations!$L$45=TRUE,IF(Calculations!$H$50=TRUE,N31,0),0)</f>
        <v>0</v>
      </c>
      <c r="O55" s="209">
        <f>IF(Calculations!$L$45=TRUE,IF(Calculations!$H$50=TRUE,O31,0),0)</f>
        <v>0</v>
      </c>
      <c r="P55" s="209">
        <f>IF(Calculations!$L$45=TRUE,IF(Calculations!$H$50=TRUE,P31,0),0)</f>
        <v>0</v>
      </c>
      <c r="Q55" s="209">
        <f>IF(Calculations!$L$45=TRUE,IF(Calculations!$H$50=TRUE,Q31,0),0)</f>
        <v>0</v>
      </c>
      <c r="R55" s="209">
        <f>IF(Calculations!$L$45=TRUE,IF(Calculations!$H$50=TRUE,R31,0),0)</f>
        <v>0</v>
      </c>
      <c r="S55" s="209">
        <f>IF(Calculations!$L$45=TRUE,IF(Calculations!$H$50=TRUE,S31,0),0)</f>
        <v>0</v>
      </c>
      <c r="T55" s="209">
        <f>IF(Calculations!$L$45=TRUE,IF(Calculations!$H$50=TRUE,T31,0),0)</f>
        <v>0</v>
      </c>
      <c r="U55" s="209">
        <f>IF(Calculations!$L$45=TRUE,IF(Calculations!$H$50=TRUE,U31,0),0)</f>
        <v>0</v>
      </c>
      <c r="V55" s="209">
        <f>IF(Calculations!$L$45=TRUE,IF(Calculations!$H$50=TRUE,V31,0),0)</f>
        <v>0</v>
      </c>
      <c r="W55" s="209">
        <f>IF(Calculations!$L$45=TRUE,IF(Calculations!$H$50=TRUE,W31,0),0)</f>
        <v>0</v>
      </c>
      <c r="X55" s="209">
        <f>IF(Calculations!$L$45=TRUE,IF(Calculations!$H$50=TRUE,X31,0),0)</f>
        <v>0</v>
      </c>
      <c r="Y55" s="209">
        <f>IF(Calculations!$L$45=TRUE,IF(Calculations!$H$50=TRUE,Y31,0),0)</f>
        <v>0</v>
      </c>
      <c r="Z55" s="444"/>
      <c r="AD55" s="5"/>
      <c r="AE55" s="132"/>
      <c r="AF55" s="5"/>
      <c r="AG55" s="133"/>
      <c r="AH55" s="5"/>
      <c r="AI55" s="3"/>
      <c r="AJ55" s="5"/>
      <c r="AK55" s="37"/>
      <c r="AL55" s="5"/>
      <c r="AM55" s="9"/>
      <c r="AN55" s="5"/>
      <c r="AO55" s="9"/>
      <c r="AP55" s="5"/>
      <c r="AQ55" s="3"/>
      <c r="AR55" s="5"/>
      <c r="AS55" s="7"/>
      <c r="AT55" s="5"/>
      <c r="AU55" s="3"/>
      <c r="AV55" s="29"/>
    </row>
    <row r="56" spans="1:48" ht="14.25" hidden="1" customHeight="1">
      <c r="A56" s="51"/>
      <c r="B56" s="50"/>
      <c r="C56" s="23"/>
      <c r="D56" s="162"/>
      <c r="E56" s="428"/>
      <c r="F56" s="429"/>
      <c r="G56" s="429"/>
      <c r="H56" s="1262"/>
      <c r="I56" s="1262"/>
      <c r="J56" s="1262"/>
      <c r="K56" s="1262"/>
      <c r="L56" s="1262"/>
      <c r="M56" s="1262"/>
      <c r="N56" s="209"/>
      <c r="O56" s="209"/>
      <c r="P56" s="209"/>
      <c r="Q56" s="209"/>
      <c r="R56" s="209"/>
      <c r="S56" s="209"/>
      <c r="T56" s="209"/>
      <c r="U56" s="209"/>
      <c r="V56" s="209"/>
      <c r="W56" s="209"/>
      <c r="X56" s="209"/>
      <c r="Y56" s="209"/>
      <c r="Z56" s="444"/>
      <c r="AD56" s="5"/>
      <c r="AE56" s="132"/>
      <c r="AF56" s="5"/>
      <c r="AG56" s="133"/>
      <c r="AH56" s="5"/>
      <c r="AI56" s="3"/>
      <c r="AJ56" s="5"/>
      <c r="AK56" s="37"/>
      <c r="AL56" s="5"/>
      <c r="AM56" s="9"/>
      <c r="AN56" s="5"/>
      <c r="AO56" s="9"/>
      <c r="AP56" s="5"/>
      <c r="AQ56" s="3"/>
      <c r="AR56" s="5"/>
      <c r="AS56" s="7"/>
      <c r="AT56" s="5"/>
      <c r="AU56" s="3"/>
      <c r="AV56" s="29"/>
    </row>
    <row r="57" spans="1:48" ht="14.25" hidden="1" customHeight="1">
      <c r="A57" s="51"/>
      <c r="B57" s="50"/>
      <c r="C57" s="23"/>
      <c r="D57" s="162"/>
      <c r="E57" s="428"/>
      <c r="F57" s="429"/>
      <c r="G57" s="429"/>
      <c r="H57" s="1338" t="s">
        <v>36</v>
      </c>
      <c r="I57" s="1338"/>
      <c r="J57" s="1338"/>
      <c r="K57" s="1338"/>
      <c r="L57" s="1338"/>
      <c r="M57" s="1338"/>
      <c r="N57" s="209"/>
      <c r="O57" s="209"/>
      <c r="P57" s="209"/>
      <c r="Q57" s="209"/>
      <c r="R57" s="209"/>
      <c r="S57" s="209"/>
      <c r="T57" s="209"/>
      <c r="U57" s="209"/>
      <c r="V57" s="209"/>
      <c r="W57" s="209"/>
      <c r="X57" s="209"/>
      <c r="Y57" s="209"/>
      <c r="Z57" s="444"/>
      <c r="AD57" s="5"/>
      <c r="AE57" s="132"/>
      <c r="AF57" s="5"/>
      <c r="AG57" s="133"/>
      <c r="AH57" s="5"/>
      <c r="AI57" s="3"/>
      <c r="AJ57" s="5"/>
      <c r="AK57" s="37"/>
      <c r="AL57" s="5"/>
      <c r="AM57" s="9"/>
      <c r="AN57" s="5"/>
      <c r="AO57" s="9"/>
      <c r="AP57" s="5"/>
      <c r="AQ57" s="3"/>
      <c r="AR57" s="5"/>
      <c r="AS57" s="7"/>
      <c r="AT57" s="5"/>
      <c r="AU57" s="3"/>
      <c r="AV57" s="29"/>
    </row>
    <row r="58" spans="1:48" ht="14.25" hidden="1" customHeight="1">
      <c r="A58" s="51"/>
      <c r="B58" s="50"/>
      <c r="C58" s="23"/>
      <c r="D58" s="162"/>
      <c r="E58" s="428"/>
      <c r="F58" s="429"/>
      <c r="G58" s="429"/>
      <c r="H58" s="1262" t="s">
        <v>384</v>
      </c>
      <c r="I58" s="1262"/>
      <c r="J58" s="1262"/>
      <c r="K58" s="1262"/>
      <c r="L58" s="1262"/>
      <c r="M58" s="1262"/>
      <c r="N58" s="230" t="str">
        <f>IF(Calculations!$B$55=TRUE,"P",IF(Calculations!$B$62&lt;Calculations!$B$63,(IF(Calculations!$B$62&lt;=4,(IF(Calculations!$B$63&gt;=4,"P","A")),"A")),IF(Calculations!$B$63&gt;=4,"P",IF(Calculations!$B$62&lt;=4,"P","A"))))</f>
        <v>P</v>
      </c>
      <c r="O58" s="230" t="str">
        <f>IF(Calculations!$B$55=TRUE,"P",IF(Calculations!$B$62&lt;Calculations!$B$63,(IF(Calculations!$B$62&lt;=5,(IF(Calculations!$B$63&gt;=5,"P","A")),"A")),IF(Calculations!$B$63&gt;=5,"P",IF(Calculations!$B$62&lt;=5,"P","A"))))</f>
        <v>P</v>
      </c>
      <c r="P58" s="230" t="str">
        <f>IF(Calculations!$B$55=TRUE,"P",IF(Calculations!$B$62&lt;Calculations!$B$63,(IF(Calculations!$B$62&lt;=6,(IF(Calculations!$B$63&gt;=6,"P","A")),"A")),IF(Calculations!$B$63&gt;=6,"P",IF(Calculations!$B$62&lt;=6,"P","A"))))</f>
        <v>P</v>
      </c>
      <c r="Q58" s="230" t="str">
        <f>IF(Calculations!$B$55=TRUE,"P",IF(Calculations!$B$62&lt;Calculations!$B$63,(IF(Calculations!$B$62&lt;=7,(IF(Calculations!$B$63&gt;=7,"P","A")),"A")),IF(Calculations!$B$63&gt;=7,"P",IF(Calculations!$B$62&lt;=7,"P","A"))))</f>
        <v>P</v>
      </c>
      <c r="R58" s="230" t="str">
        <f>IF(Calculations!$B$55=TRUE,"P",IF(Calculations!$B$62&lt;Calculations!$B$63,(IF(Calculations!$B$62&lt;=8,(IF(Calculations!$B$63&gt;=8,"P","A")),"A")),IF(Calculations!$B$63&gt;=8,"P",IF(Calculations!$B$62&lt;=8,"P","A"))))</f>
        <v>P</v>
      </c>
      <c r="S58" s="230" t="str">
        <f>IF(Calculations!$B$55=TRUE,"P",IF(Calculations!$B$62&lt;Calculations!$B$63,(IF(Calculations!$B$62&lt;=9,(IF(Calculations!$B$63&gt;=9,"P","A")),"A")),IF(Calculations!$B$63&gt;=9,"P",IF(Calculations!$B$62&lt;=9,"P","A"))))</f>
        <v>P</v>
      </c>
      <c r="T58" s="230" t="str">
        <f>IF(Calculations!$B$55=TRUE,"P",IF(Calculations!$B$62&lt;Calculations!$B$63,(IF(Calculations!$B$62&lt;=10,(IF(Calculations!$B$63&gt;=10,"P","A")),"A")),IF(Calculations!$B$63&gt;=10,"P",IF(Calculations!$B$62&lt;=10,"P","A"))))</f>
        <v>P</v>
      </c>
      <c r="U58" s="230" t="str">
        <f>IF(Calculations!$B$55=TRUE,"P",IF(Calculations!$B$62&lt;Calculations!$B$63,(IF(Calculations!$B$62&lt;=11,(IF(Calculations!$B$63&gt;=11,"P","A")),"A")),IF(Calculations!$B$63&gt;=11,"P",IF(Calculations!$B$62&lt;=11,"P","A"))))</f>
        <v>P</v>
      </c>
      <c r="V58" s="230" t="str">
        <f>IF(Calculations!$B$55=TRUE,"P",IF(Calculations!$B$62&lt;Calculations!$B$63,(IF(Calculations!$B$62&lt;=12,(IF(Calculations!$B$63&gt;=12,"P","A")),"A")),IF(Calculations!$B$63&gt;=12,"P",IF(Calculations!$B$62&lt;=12,"P","A"))))</f>
        <v>P</v>
      </c>
      <c r="W58" s="230" t="str">
        <f>IF(Calculations!$B$55=TRUE,"P",IF(Calculations!$B$62&lt;Calculations!$B$63,(IF(Calculations!$B$62&lt;=1,(IF(Calculations!$B$63&gt;=1,"P","A")),"A")),IF(Calculations!$B$63&gt;=1,"P",IF(Calculations!$B$62&lt;=1,"P","A"))))</f>
        <v>P</v>
      </c>
      <c r="X58" s="230" t="str">
        <f>IF(Calculations!$B$55=TRUE,"P",IF(Calculations!$B$62&lt;Calculations!$B$63,(IF(Calculations!$B$62&lt;=2,(IF(Calculations!$B$63&gt;=2,"P","A")),"A")),IF(Calculations!$B$63&gt;=2,"P",IF(Calculations!$B$62&lt;=2,"P","A"))))</f>
        <v>P</v>
      </c>
      <c r="Y58" s="230" t="str">
        <f>IF(Calculations!$B$55=TRUE,"P",IF(Calculations!$B$62&lt;Calculations!$B$63,(IF(Calculations!$B$62&lt;=3,(IF(Calculations!$B$63&gt;=3,"P","A")),"A")),IF(Calculations!$B$63&gt;=3,"P",IF(Calculations!$B$62&lt;=3,"P","A"))))</f>
        <v>P</v>
      </c>
      <c r="Z58" s="444"/>
      <c r="AD58" s="5"/>
      <c r="AE58" s="132"/>
      <c r="AF58" s="5"/>
      <c r="AG58" s="133"/>
      <c r="AH58" s="5"/>
      <c r="AI58" s="3"/>
      <c r="AJ58" s="5"/>
      <c r="AK58" s="37"/>
      <c r="AL58" s="5"/>
      <c r="AM58" s="9"/>
      <c r="AN58" s="5"/>
      <c r="AO58" s="9"/>
      <c r="AP58" s="5"/>
      <c r="AQ58" s="3"/>
      <c r="AR58" s="5"/>
      <c r="AS58" s="7"/>
      <c r="AT58" s="5"/>
      <c r="AU58" s="3"/>
      <c r="AV58" s="29"/>
    </row>
    <row r="59" spans="1:48" ht="14.25" hidden="1" customHeight="1">
      <c r="A59" s="51"/>
      <c r="B59" s="50"/>
      <c r="C59" s="23"/>
      <c r="D59" s="162"/>
      <c r="E59" s="428"/>
      <c r="F59" s="429"/>
      <c r="G59" s="429"/>
      <c r="H59" s="1262" t="s">
        <v>382</v>
      </c>
      <c r="I59" s="1262"/>
      <c r="J59" s="1262"/>
      <c r="K59" s="1262"/>
      <c r="L59" s="1262"/>
      <c r="M59" s="1262"/>
      <c r="N59" s="230">
        <f>IF(OR(Calculations!$B$58=TRUE,Calculations!$B$59=TRUE),IF(Calculations!$B$65&lt;Calculations!$B$66,(IF(Calculations!$B$65&lt;=4,(IF(Calculations!$B$66&gt;=4,"P","A")),"A")),IF(Calculations!$B$66&gt;=4,"P",IF(Calculations!$B$65&lt;=4,"P","A"))),0)</f>
        <v>0</v>
      </c>
      <c r="O59" s="230">
        <f>IF(OR(Calculations!$B$58=TRUE,Calculations!$B$59=TRUE),IF(Calculations!$B$65&lt;Calculations!$B$66,(IF(Calculations!$B$65&lt;=5,(IF(Calculations!$B$66&gt;=5,"P","A")),"A")),IF(Calculations!$B$66&gt;=5,"P",IF(Calculations!$B$65&lt;=5,"P","A"))),0)</f>
        <v>0</v>
      </c>
      <c r="P59" s="230">
        <f>IF(OR(Calculations!$B$58=TRUE,Calculations!$B$59=TRUE),IF(Calculations!$B$65&lt;Calculations!$B$66,(IF(Calculations!$B$65&lt;=6,(IF(Calculations!$B$66&gt;=6,"P","A")),"A")),IF(Calculations!$B$66&gt;=6,"P",IF(Calculations!$B$65&lt;=6,"P","A"))),0)</f>
        <v>0</v>
      </c>
      <c r="Q59" s="230">
        <f>IF(OR(Calculations!$B$58=TRUE,Calculations!$B$59=TRUE),IF(Calculations!$B$65&lt;Calculations!$B$66,(IF(Calculations!$B$65&lt;=7,(IF(Calculations!$B$66&gt;=7,"P","A")),"A")),IF(Calculations!$B$66&gt;=7,"P",IF(Calculations!$B$65&lt;=7,"P","A"))),0)</f>
        <v>0</v>
      </c>
      <c r="R59" s="230">
        <f>IF(OR(Calculations!$B$58=TRUE,Calculations!$B$59=TRUE),IF(Calculations!$B$65&lt;Calculations!$B$66,(IF(Calculations!$B$65&lt;=8,(IF(Calculations!$B$66&gt;=8,"P","A")),"A")),IF(Calculations!$B$66&gt;=8,"P",IF(Calculations!$B$65&lt;=8,"P","A"))),0)</f>
        <v>0</v>
      </c>
      <c r="S59" s="230">
        <f>IF(OR(Calculations!$B$58=TRUE,Calculations!$B$59=TRUE),IF(Calculations!$B$65&lt;Calculations!$B$66,(IF(Calculations!$B$65&lt;=9,(IF(Calculations!$B$66&gt;=9,"P","A")),"A")),IF(Calculations!$B$66&gt;=9,"P",IF(Calculations!$B$65&lt;=9,"P","A"))),0)</f>
        <v>0</v>
      </c>
      <c r="T59" s="230">
        <f>IF(OR(Calculations!$B$58=TRUE,Calculations!$B$59=TRUE),IF(Calculations!$B$65&lt;Calculations!$B$66,(IF(Calculations!$B$65&lt;=10,(IF(Calculations!$B$66&gt;=10,"P","A")),"A")),IF(Calculations!$B$66&gt;=10,"P",IF(Calculations!$B$65&lt;=10,"P","A"))),0)</f>
        <v>0</v>
      </c>
      <c r="U59" s="230">
        <f>IF(OR(Calculations!$B$58=TRUE,Calculations!$B$59=TRUE),IF(Calculations!$B$65&lt;Calculations!$B$66,(IF(Calculations!$B$65&lt;=11,(IF(Calculations!$B$66&gt;=11,"P","A")),"A")),IF(Calculations!$B$66&gt;=11,"P",IF(Calculations!$B$65&lt;=11,"P","A"))),0)</f>
        <v>0</v>
      </c>
      <c r="V59" s="230">
        <f>IF(OR(Calculations!$B$58=TRUE,Calculations!$B$59=TRUE),IF(Calculations!$B$65&lt;Calculations!$B$66,(IF(Calculations!$B$65&lt;=12,(IF(Calculations!$B$66&gt;=12,"P","A")),"A")),IF(Calculations!$B$66&gt;=12,"P",IF(Calculations!$B$65&lt;=12,"P","A"))),0)</f>
        <v>0</v>
      </c>
      <c r="W59" s="230">
        <f>IF(OR(Calculations!$B$58=TRUE,Calculations!$B$59=TRUE),IF(Calculations!$B$65&lt;Calculations!$B$66,(IF(Calculations!$B$65&lt;=1,(IF(Calculations!$B$66&gt;=1,"P","A")),"A")),IF(Calculations!$B$66&gt;=1,"P",IF(Calculations!$B$65&lt;=1,"P","A"))),0)</f>
        <v>0</v>
      </c>
      <c r="X59" s="230">
        <f>IF(OR(Calculations!$B$58=TRUE,Calculations!$B$59=TRUE),IF(Calculations!$B$65&lt;Calculations!$B$66,(IF(Calculations!$B$65&lt;=2,(IF(Calculations!$B$66&gt;=2,"P","A")),"A")),IF(Calculations!$B$66&gt;=2,"P",IF(Calculations!$B$65&lt;=2,"P","A"))),0)</f>
        <v>0</v>
      </c>
      <c r="Y59" s="230">
        <f>IF(OR(Calculations!$B$58=TRUE,Calculations!$B$59=TRUE),IF(Calculations!$B$65&lt;Calculations!$B$66,(IF(Calculations!$B$65&lt;=3,(IF(Calculations!$B$66&gt;=3,"P","A")),"A")),IF(Calculations!$B$66&gt;=3,"P",IF(Calculations!$B$65&lt;=3,"P","A"))),0)</f>
        <v>0</v>
      </c>
      <c r="Z59" s="444"/>
      <c r="AD59" s="5"/>
      <c r="AE59" s="132"/>
      <c r="AF59" s="5"/>
      <c r="AG59" s="133"/>
      <c r="AH59" s="5"/>
      <c r="AI59" s="3"/>
      <c r="AJ59" s="5"/>
      <c r="AK59" s="37"/>
      <c r="AL59" s="5"/>
      <c r="AM59" s="9"/>
      <c r="AN59" s="5"/>
      <c r="AO59" s="9"/>
      <c r="AP59" s="5"/>
      <c r="AQ59" s="3"/>
      <c r="AR59" s="5"/>
      <c r="AS59" s="7"/>
      <c r="AT59" s="5"/>
      <c r="AU59" s="3"/>
      <c r="AV59" s="29"/>
    </row>
    <row r="60" spans="1:48" ht="14.25" hidden="1" customHeight="1">
      <c r="A60" s="51"/>
      <c r="B60" s="50"/>
      <c r="C60" s="23"/>
      <c r="D60" s="162"/>
      <c r="E60" s="428"/>
      <c r="F60" s="429"/>
      <c r="G60" s="429"/>
      <c r="H60" s="1262" t="s">
        <v>383</v>
      </c>
      <c r="I60" s="1262"/>
      <c r="J60" s="1262"/>
      <c r="K60" s="1262"/>
      <c r="L60" s="1262"/>
      <c r="M60" s="1262"/>
      <c r="N60" s="209" t="str">
        <f t="shared" ref="N60:Y60" si="3">IF(N59="",N58,IF(OR(N58="P",N59="P"),"P","A"))</f>
        <v>P</v>
      </c>
      <c r="O60" s="209" t="str">
        <f t="shared" si="3"/>
        <v>P</v>
      </c>
      <c r="P60" s="209" t="str">
        <f t="shared" si="3"/>
        <v>P</v>
      </c>
      <c r="Q60" s="209" t="str">
        <f t="shared" si="3"/>
        <v>P</v>
      </c>
      <c r="R60" s="209" t="str">
        <f t="shared" si="3"/>
        <v>P</v>
      </c>
      <c r="S60" s="209" t="str">
        <f t="shared" si="3"/>
        <v>P</v>
      </c>
      <c r="T60" s="209" t="str">
        <f t="shared" si="3"/>
        <v>P</v>
      </c>
      <c r="U60" s="209" t="str">
        <f t="shared" si="3"/>
        <v>P</v>
      </c>
      <c r="V60" s="209" t="str">
        <f t="shared" si="3"/>
        <v>P</v>
      </c>
      <c r="W60" s="209" t="str">
        <f t="shared" si="3"/>
        <v>P</v>
      </c>
      <c r="X60" s="209" t="str">
        <f t="shared" si="3"/>
        <v>P</v>
      </c>
      <c r="Y60" s="209" t="str">
        <f t="shared" si="3"/>
        <v>P</v>
      </c>
      <c r="Z60" s="444"/>
      <c r="AD60" s="5"/>
      <c r="AE60" s="132"/>
      <c r="AF60" s="5"/>
      <c r="AG60" s="133"/>
      <c r="AH60" s="5"/>
      <c r="AI60" s="3"/>
      <c r="AJ60" s="5"/>
      <c r="AK60" s="37"/>
      <c r="AL60" s="5"/>
      <c r="AM60" s="9"/>
      <c r="AN60" s="5"/>
      <c r="AO60" s="9"/>
      <c r="AP60" s="5"/>
      <c r="AQ60" s="3"/>
      <c r="AR60" s="5"/>
      <c r="AS60" s="7"/>
      <c r="AT60" s="5"/>
      <c r="AU60" s="3"/>
      <c r="AV60" s="29"/>
    </row>
    <row r="61" spans="1:48" ht="14.25" hidden="1" customHeight="1">
      <c r="A61" s="51"/>
      <c r="B61" s="50"/>
      <c r="C61" s="23"/>
      <c r="D61" s="162"/>
      <c r="E61" s="428"/>
      <c r="F61" s="429"/>
      <c r="G61" s="429"/>
      <c r="H61" s="1262" t="s">
        <v>385</v>
      </c>
      <c r="I61" s="1262"/>
      <c r="J61" s="1262"/>
      <c r="K61" s="1262"/>
      <c r="L61" s="1262"/>
      <c r="M61" s="1262"/>
      <c r="N61" s="209">
        <f>IF(Calculations!$L$46=TRUE,IF(N60="P",N33,0),0)</f>
        <v>0</v>
      </c>
      <c r="O61" s="209">
        <f>IF(Calculations!$L$46=TRUE,IF(O60="P",O33,0),0)</f>
        <v>0</v>
      </c>
      <c r="P61" s="209">
        <f>IF(Calculations!$L$46=TRUE,IF(P60="P",P33,0),0)</f>
        <v>0</v>
      </c>
      <c r="Q61" s="209">
        <f>IF(Calculations!$L$46=TRUE,IF(Q60="P",Q33,0),0)</f>
        <v>0</v>
      </c>
      <c r="R61" s="209">
        <f>IF(Calculations!$L$46=TRUE,IF(R60="P",R33,0),0)</f>
        <v>0</v>
      </c>
      <c r="S61" s="209">
        <f>IF(Calculations!$L$46=TRUE,IF(S60="P",S33,0),0)</f>
        <v>0</v>
      </c>
      <c r="T61" s="209">
        <f>IF(Calculations!$L$46=TRUE,IF(T60="P",T33,0),0)</f>
        <v>0</v>
      </c>
      <c r="U61" s="209">
        <f>IF(Calculations!$L$46=TRUE,IF(U60="P",U33,0),0)</f>
        <v>0</v>
      </c>
      <c r="V61" s="209">
        <f>IF(Calculations!$L$46=TRUE,IF(V60="P",V33,0),0)</f>
        <v>0</v>
      </c>
      <c r="W61" s="209">
        <f>IF(Calculations!$L$46=TRUE,IF(W60="P",W33,0),0)</f>
        <v>0</v>
      </c>
      <c r="X61" s="209">
        <f>IF(Calculations!$L$46=TRUE,IF(X60="P",X33,0),0)</f>
        <v>0</v>
      </c>
      <c r="Y61" s="209">
        <f>IF(Calculations!$L$46=TRUE,IF(Y60="P",Y33,0),0)</f>
        <v>0</v>
      </c>
      <c r="Z61" s="444"/>
      <c r="AD61" s="5"/>
      <c r="AE61" s="132"/>
      <c r="AF61" s="5"/>
      <c r="AG61" s="133"/>
      <c r="AH61" s="5"/>
      <c r="AI61" s="3"/>
      <c r="AJ61" s="5"/>
      <c r="AK61" s="37"/>
      <c r="AL61" s="5"/>
      <c r="AM61" s="9"/>
      <c r="AN61" s="5"/>
      <c r="AO61" s="9"/>
      <c r="AP61" s="5"/>
      <c r="AQ61" s="3"/>
      <c r="AR61" s="5"/>
      <c r="AS61" s="7"/>
      <c r="AT61" s="5"/>
      <c r="AU61" s="3"/>
      <c r="AV61" s="29"/>
    </row>
    <row r="62" spans="1:48" ht="14.25" hidden="1" customHeight="1">
      <c r="A62" s="51"/>
      <c r="B62" s="50"/>
      <c r="C62" s="23"/>
      <c r="D62" s="162"/>
      <c r="E62" s="428"/>
      <c r="F62" s="429"/>
      <c r="G62" s="429"/>
      <c r="H62" s="1262" t="s">
        <v>412</v>
      </c>
      <c r="I62" s="1262"/>
      <c r="J62" s="1262"/>
      <c r="K62" s="1262"/>
      <c r="L62" s="1262"/>
      <c r="M62" s="1262"/>
      <c r="N62" s="209">
        <f>IF(Calculations!$L$46=TRUE,IF(AND(N60="A",OR(Calculations!$B$56=TRUE,Calculations!$B$58=TRUE)),N33,0),0)</f>
        <v>0</v>
      </c>
      <c r="O62" s="209">
        <f>IF(Calculations!$L$46=TRUE,IF(AND(O60="A",OR(Calculations!$B$56=TRUE,Calculations!$B$58=TRUE)),O33,0),0)</f>
        <v>0</v>
      </c>
      <c r="P62" s="209">
        <f>IF(Calculations!$L$46=TRUE,IF(AND(P60="A",OR(Calculations!$B$56=TRUE,Calculations!$B$58=TRUE)),P33,0),0)</f>
        <v>0</v>
      </c>
      <c r="Q62" s="209">
        <f>IF(Calculations!$L$46=TRUE,IF(AND(Q60="A",OR(Calculations!$B$56=TRUE,Calculations!$B$58=TRUE)),Q33,0),0)</f>
        <v>0</v>
      </c>
      <c r="R62" s="209">
        <f>IF(Calculations!$L$46=TRUE,IF(AND(R60="A",OR(Calculations!$B$56=TRUE,Calculations!$B$58=TRUE)),R33,0),0)</f>
        <v>0</v>
      </c>
      <c r="S62" s="209">
        <f>IF(Calculations!$L$46=TRUE,IF(AND(S60="A",OR(Calculations!$B$56=TRUE,Calculations!$B$58=TRUE)),S33,0),0)</f>
        <v>0</v>
      </c>
      <c r="T62" s="209">
        <f>IF(Calculations!$L$46=TRUE,IF(AND(T60="A",OR(Calculations!$B$56=TRUE,Calculations!$B$58=TRUE)),T33,0),0)</f>
        <v>0</v>
      </c>
      <c r="U62" s="209">
        <f>IF(Calculations!$L$46=TRUE,IF(AND(U60="A",OR(Calculations!$B$56=TRUE,Calculations!$B$58=TRUE)),U33,0),0)</f>
        <v>0</v>
      </c>
      <c r="V62" s="209">
        <f>IF(Calculations!$L$46=TRUE,IF(AND(V60="A",OR(Calculations!$B$56=TRUE,Calculations!$B$58=TRUE)),V33,0),0)</f>
        <v>0</v>
      </c>
      <c r="W62" s="209">
        <f>IF(Calculations!$L$46=TRUE,IF(AND(W60="A",OR(Calculations!$B$56=TRUE,Calculations!$B$58=TRUE)),W33,0),0)</f>
        <v>0</v>
      </c>
      <c r="X62" s="209">
        <f>IF(Calculations!$L$46=TRUE,IF(AND(X60="A",OR(Calculations!$B$56=TRUE,Calculations!$B$58=TRUE)),X33,0),0)</f>
        <v>0</v>
      </c>
      <c r="Y62" s="209">
        <f>IF(Calculations!$L$46=TRUE,IF(AND(Y60="A",OR(Calculations!$B$56=TRUE,Calculations!$B$58=TRUE)),Y33,0),0)</f>
        <v>0</v>
      </c>
      <c r="Z62" s="444"/>
      <c r="AD62" s="5"/>
      <c r="AE62" s="132"/>
      <c r="AF62" s="5"/>
      <c r="AG62" s="133"/>
      <c r="AH62" s="5"/>
      <c r="AI62" s="3"/>
      <c r="AJ62" s="5"/>
      <c r="AK62" s="37"/>
      <c r="AL62" s="5"/>
      <c r="AM62" s="9"/>
      <c r="AN62" s="5"/>
      <c r="AO62" s="9"/>
      <c r="AP62" s="5"/>
      <c r="AQ62" s="3"/>
      <c r="AR62" s="5"/>
      <c r="AS62" s="7"/>
      <c r="AT62" s="5"/>
      <c r="AU62" s="3"/>
      <c r="AV62" s="29"/>
    </row>
    <row r="63" spans="1:48" ht="14.25" hidden="1" customHeight="1">
      <c r="A63" s="51"/>
      <c r="B63" s="50"/>
      <c r="C63" s="23"/>
      <c r="D63" s="162"/>
      <c r="E63" s="428"/>
      <c r="F63" s="429"/>
      <c r="G63" s="429"/>
      <c r="H63" s="1262" t="s">
        <v>413</v>
      </c>
      <c r="I63" s="1262"/>
      <c r="J63" s="1262"/>
      <c r="K63" s="1262"/>
      <c r="L63" s="1262"/>
      <c r="M63" s="1262"/>
      <c r="N63" s="209">
        <f>IF(Calculations!$L$46=TRUE,IF(AND(N60="A",OR(Calculations!$B$57=TRUE,Calculations!$B$59=TRUE)),N33,0),0)</f>
        <v>0</v>
      </c>
      <c r="O63" s="209">
        <f>IF(Calculations!$L$46=TRUE,IF(AND(O60="A",OR(Calculations!$B$57=TRUE,Calculations!$B$59=TRUE)),O33,0),0)</f>
        <v>0</v>
      </c>
      <c r="P63" s="209">
        <f>IF(Calculations!$L$46=TRUE,IF(AND(P60="A",OR(Calculations!$B$57=TRUE,Calculations!$B$59=TRUE)),P33,0),0)</f>
        <v>0</v>
      </c>
      <c r="Q63" s="209">
        <f>IF(Calculations!$L$46=TRUE,IF(AND(Q60="A",OR(Calculations!$B$57=TRUE,Calculations!$B$59=TRUE)),Q33,0),0)</f>
        <v>0</v>
      </c>
      <c r="R63" s="209">
        <f>IF(Calculations!$L$46=TRUE,IF(AND(R60="A",OR(Calculations!$B$57=TRUE,Calculations!$B$59=TRUE)),R33,0),0)</f>
        <v>0</v>
      </c>
      <c r="S63" s="209">
        <f>IF(Calculations!$L$46=TRUE,IF(AND(S60="A",OR(Calculations!$B$57=TRUE,Calculations!$B$59=TRUE)),S33,0),0)</f>
        <v>0</v>
      </c>
      <c r="T63" s="209">
        <f>IF(Calculations!$L$46=TRUE,IF(AND(T60="A",OR(Calculations!$B$57=TRUE,Calculations!$B$59=TRUE)),T33,0),0)</f>
        <v>0</v>
      </c>
      <c r="U63" s="209">
        <f>IF(Calculations!$L$46=TRUE,IF(AND(U60="A",OR(Calculations!$B$57=TRUE,Calculations!$B$59=TRUE)),U33,0),0)</f>
        <v>0</v>
      </c>
      <c r="V63" s="209">
        <f>IF(Calculations!$L$46=TRUE,IF(AND(V60="A",OR(Calculations!$B$57=TRUE,Calculations!$B$59=TRUE)),V33,0),0)</f>
        <v>0</v>
      </c>
      <c r="W63" s="209">
        <f>IF(Calculations!$L$46=TRUE,IF(AND(W60="A",OR(Calculations!$B$57=TRUE,Calculations!$B$59=TRUE)),W33,0),0)</f>
        <v>0</v>
      </c>
      <c r="X63" s="209">
        <f>IF(Calculations!$L$46=TRUE,IF(AND(X60="A",OR(Calculations!$B$57=TRUE,Calculations!$B$59=TRUE)),X33,0),0)</f>
        <v>0</v>
      </c>
      <c r="Y63" s="209">
        <f>IF(Calculations!$L$46=TRUE,IF(AND(Y60="A",OR(Calculations!$B$57=TRUE,Calculations!$B$59=TRUE)),Y33,0),0)</f>
        <v>0</v>
      </c>
      <c r="Z63" s="444"/>
      <c r="AD63" s="5"/>
      <c r="AE63" s="132"/>
      <c r="AF63" s="5"/>
      <c r="AG63" s="133"/>
      <c r="AH63" s="5"/>
      <c r="AI63" s="3"/>
      <c r="AJ63" s="5"/>
      <c r="AK63" s="37"/>
      <c r="AL63" s="5"/>
      <c r="AM63" s="9"/>
      <c r="AN63" s="5"/>
      <c r="AO63" s="9"/>
      <c r="AP63" s="5"/>
      <c r="AQ63" s="3"/>
      <c r="AR63" s="5"/>
      <c r="AS63" s="7"/>
      <c r="AT63" s="5"/>
      <c r="AU63" s="3"/>
      <c r="AV63" s="29"/>
    </row>
    <row r="64" spans="1:48" ht="14.25" hidden="1" customHeight="1">
      <c r="A64" s="51"/>
      <c r="B64" s="50"/>
      <c r="C64" s="23"/>
      <c r="D64" s="162"/>
      <c r="E64" s="428"/>
      <c r="F64" s="429"/>
      <c r="G64" s="429"/>
      <c r="H64" s="210"/>
      <c r="I64" s="148"/>
      <c r="J64" s="148"/>
      <c r="K64" s="148"/>
      <c r="L64" s="205"/>
      <c r="M64" s="148"/>
      <c r="N64" s="209"/>
      <c r="O64" s="209"/>
      <c r="P64" s="209"/>
      <c r="Q64" s="209"/>
      <c r="R64" s="209"/>
      <c r="S64" s="209"/>
      <c r="T64" s="209"/>
      <c r="U64" s="209"/>
      <c r="V64" s="209"/>
      <c r="W64" s="209"/>
      <c r="X64" s="209"/>
      <c r="Y64" s="209"/>
      <c r="Z64" s="444"/>
      <c r="AD64" s="5"/>
      <c r="AE64" s="132"/>
      <c r="AF64" s="5"/>
      <c r="AG64" s="133"/>
      <c r="AH64" s="5"/>
      <c r="AI64" s="3"/>
      <c r="AJ64" s="5"/>
      <c r="AK64" s="37"/>
      <c r="AL64" s="5"/>
      <c r="AM64" s="9"/>
      <c r="AN64" s="5"/>
      <c r="AO64" s="9"/>
      <c r="AP64" s="5"/>
      <c r="AQ64" s="3"/>
      <c r="AR64" s="5"/>
      <c r="AS64" s="7"/>
      <c r="AT64" s="5"/>
      <c r="AU64" s="3"/>
      <c r="AV64" s="29"/>
    </row>
    <row r="65" spans="1:48" ht="14.25" hidden="1" customHeight="1">
      <c r="A65" s="51"/>
      <c r="B65" s="50"/>
      <c r="C65" s="23"/>
      <c r="D65" s="162"/>
      <c r="E65" s="428"/>
      <c r="F65" s="429"/>
      <c r="G65" s="429"/>
      <c r="H65" s="210"/>
      <c r="I65" s="148"/>
      <c r="J65" s="148"/>
      <c r="K65" s="148"/>
      <c r="L65" s="205"/>
      <c r="M65" s="231" t="s">
        <v>312</v>
      </c>
      <c r="N65" s="209"/>
      <c r="O65" s="209"/>
      <c r="P65" s="209"/>
      <c r="Q65" s="209"/>
      <c r="R65" s="209"/>
      <c r="S65" s="209"/>
      <c r="T65" s="209"/>
      <c r="U65" s="209"/>
      <c r="V65" s="209"/>
      <c r="W65" s="209"/>
      <c r="X65" s="209"/>
      <c r="Y65" s="209"/>
      <c r="Z65" s="444"/>
      <c r="AD65" s="5"/>
      <c r="AE65" s="132"/>
      <c r="AF65" s="5"/>
      <c r="AG65" s="133"/>
      <c r="AH65" s="5"/>
      <c r="AI65" s="3"/>
      <c r="AJ65" s="5"/>
      <c r="AK65" s="37"/>
      <c r="AL65" s="5"/>
      <c r="AM65" s="9"/>
      <c r="AN65" s="5"/>
      <c r="AO65" s="9"/>
      <c r="AP65" s="5"/>
      <c r="AQ65" s="3"/>
      <c r="AR65" s="5"/>
      <c r="AS65" s="7"/>
      <c r="AT65" s="5"/>
      <c r="AU65" s="3"/>
      <c r="AV65" s="29"/>
    </row>
    <row r="66" spans="1:48" ht="14.25" hidden="1" customHeight="1">
      <c r="A66" s="51"/>
      <c r="B66" s="50"/>
      <c r="C66" s="23"/>
      <c r="D66" s="162"/>
      <c r="E66" s="428"/>
      <c r="F66" s="429"/>
      <c r="G66" s="429"/>
      <c r="H66" s="210"/>
      <c r="I66" s="148"/>
      <c r="J66" s="148"/>
      <c r="K66" s="148"/>
      <c r="L66" s="205"/>
      <c r="M66" s="228" t="s">
        <v>394</v>
      </c>
      <c r="N66" s="209" t="str">
        <f>IF(Calculations!B71=TRUE,"P",IF(Calculations!$B$87&lt;Calculations!$B$88,(IF(Calculations!$B$87&lt;=4,(IF(Calculations!$B$88&gt;=4,"A","P")),"P")),IF(Calculations!$B$88&gt;=4,"A",IF(Calculations!$B$87&lt;=4,"A","P"))))</f>
        <v>P</v>
      </c>
      <c r="O66" s="209" t="str">
        <f>IF(Calculations!B71=TRUE,"P",IF(Calculations!$B$87&lt;Calculations!$B$88,(IF(Calculations!$B$87&lt;=5,(IF(Calculations!$B$88&gt;=5,"A","P")),"P")),IF(Calculations!$B$88&gt;=5,"A",IF(Calculations!$B$87&lt;=5,"A","P"))))</f>
        <v>P</v>
      </c>
      <c r="P66" s="209" t="str">
        <f>IF(Calculations!B71=TRUE,"P",IF(Calculations!$B$87&lt;Calculations!$B$88,(IF(Calculations!$B$87&lt;=6,(IF(Calculations!$B$88&gt;=6,"A","P")),"P")),IF(Calculations!$B$88&gt;=6,"A",IF(Calculations!$B$87&lt;=6,"A","P"))))</f>
        <v>P</v>
      </c>
      <c r="Q66" s="209" t="str">
        <f>IF(Calculations!B71=TRUE,"P",IF(Calculations!$B$87&lt;Calculations!$B$88,(IF(Calculations!$B$87&lt;=7,(IF(Calculations!$B$88&gt;=7,"A","P")),"P")),IF(Calculations!$B$88&gt;=7,"A",IF(Calculations!$B$87&lt;=7,"A","P"))))</f>
        <v>P</v>
      </c>
      <c r="R66" s="209" t="str">
        <f>IF(Calculations!B71=TRUE,"P",IF(Calculations!$B$87&lt;Calculations!$B$88,(IF(Calculations!$B$87&lt;=8,(IF(Calculations!$B$88&gt;=8,"A","P")),"P")),IF(Calculations!$B$88&gt;=8,"A",IF(Calculations!$B$87&lt;=8,"A","P"))))</f>
        <v>P</v>
      </c>
      <c r="S66" s="209" t="str">
        <f>IF(Calculations!B71=TRUE,"P",IF(Calculations!$B$87&lt;Calculations!$B$88,(IF(Calculations!$B$87&lt;=9,(IF(Calculations!$B$88&gt;=9,"A","P")),"P")),IF(Calculations!$B$88&gt;=9,"A",IF(Calculations!$B$87&lt;=9,"A","P"))))</f>
        <v>P</v>
      </c>
      <c r="T66" s="209" t="str">
        <f>IF(Calculations!B71=TRUE,"P",IF(Calculations!$B$87&lt;Calculations!$B$88,(IF(Calculations!$B$87&lt;=10,(IF(Calculations!$B$88&gt;=10,"A","P")),"P")),IF(Calculations!$B$88&gt;=10,"A",IF(Calculations!$B$87&lt;=10,"A","P"))))</f>
        <v>P</v>
      </c>
      <c r="U66" s="209" t="str">
        <f>IF(Calculations!B71=TRUE,"P",IF(Calculations!$B$87&lt;Calculations!$B$88,(IF(Calculations!$B$87&lt;=11,(IF(Calculations!$B$88&gt;=11,"A","P")),"P")),IF(Calculations!$B$88&gt;=11,"A",IF(Calculations!$B$87&lt;=11,"A","P"))))</f>
        <v>P</v>
      </c>
      <c r="V66" s="209" t="str">
        <f>IF(Calculations!B71=TRUE,"P",IF(Calculations!$B$87&lt;Calculations!$B$88,(IF(Calculations!$B$87&lt;=12,(IF(Calculations!$B$88&gt;=12,"A","P")),"P")),IF(Calculations!$B$88&gt;=12,"A",IF(Calculations!$B$87&lt;=12,"A","P"))))</f>
        <v>P</v>
      </c>
      <c r="W66" s="209" t="str">
        <f>IF(Calculations!B71=TRUE,"P",IF(Calculations!$B$87&lt;Calculations!$B$88,(IF(Calculations!$B$87&lt;=1,(IF(Calculations!$B$88&gt;=1,"A","P")),"P")),IF(Calculations!$B$88&gt;=1,"A",IF(Calculations!$B$87&lt;=1,"A","P"))))</f>
        <v>P</v>
      </c>
      <c r="X66" s="209" t="str">
        <f>IF(Calculations!B71=TRUE,"P",IF(Calculations!$B$87&lt;Calculations!$B$88,(IF(Calculations!$B$87&lt;=2,(IF(Calculations!$B$88&gt;=2,"A","P")),"P")),IF(Calculations!$B$88&gt;=2,"A",IF(Calculations!$B$87&lt;=2,"A","P"))))</f>
        <v>P</v>
      </c>
      <c r="Y66" s="209" t="str">
        <f>IF(Calculations!B71=TRUE,"P",IF(Calculations!$B$87&lt;Calculations!$B$88,(IF(Calculations!$B$87&lt;=3,(IF(Calculations!$B$88&gt;=3,"A","P")),"P")),IF(Calculations!$B$88&gt;=3,"A",IF(Calculations!$B$87&lt;=3,"A","P"))))</f>
        <v>P</v>
      </c>
      <c r="Z66" s="444"/>
      <c r="AD66" s="5"/>
      <c r="AE66" s="132"/>
      <c r="AF66" s="5"/>
      <c r="AG66" s="133"/>
      <c r="AH66" s="5"/>
      <c r="AI66" s="3"/>
      <c r="AJ66" s="5"/>
      <c r="AK66" s="37"/>
      <c r="AL66" s="5"/>
      <c r="AM66" s="9"/>
      <c r="AN66" s="5"/>
      <c r="AO66" s="9"/>
      <c r="AP66" s="5"/>
      <c r="AQ66" s="3"/>
      <c r="AR66" s="5"/>
      <c r="AS66" s="7"/>
      <c r="AT66" s="5"/>
      <c r="AU66" s="3"/>
      <c r="AV66" s="29"/>
    </row>
    <row r="67" spans="1:48" ht="14.25" hidden="1" customHeight="1">
      <c r="A67" s="51"/>
      <c r="B67" s="50"/>
      <c r="C67" s="23"/>
      <c r="D67" s="162"/>
      <c r="E67" s="428"/>
      <c r="F67" s="429"/>
      <c r="G67" s="429"/>
      <c r="H67" s="1263" t="s">
        <v>391</v>
      </c>
      <c r="I67" s="1264"/>
      <c r="J67" s="1264"/>
      <c r="K67" s="1264"/>
      <c r="L67" s="1264"/>
      <c r="M67" s="1264"/>
      <c r="N67" s="209">
        <f>IF(Calculations!$L$47=TRUE,IF(N66="P",N15,0),0)</f>
        <v>0</v>
      </c>
      <c r="O67" s="209">
        <f>IF(Calculations!$L$47=TRUE,IF(O66="P",O15,0),0)</f>
        <v>0</v>
      </c>
      <c r="P67" s="209">
        <f>IF(Calculations!$L$47=TRUE,IF(P66="P",P15,0),0)</f>
        <v>0</v>
      </c>
      <c r="Q67" s="209">
        <f>IF(Calculations!$L$47=TRUE,IF(Q66="P",Q15,0),0)</f>
        <v>0</v>
      </c>
      <c r="R67" s="209">
        <f>IF(Calculations!$L$47=TRUE,IF(R66="P",R15,0),0)</f>
        <v>0</v>
      </c>
      <c r="S67" s="209">
        <f>IF(Calculations!$L$47=TRUE,IF(S66="P",S15,0),0)</f>
        <v>0</v>
      </c>
      <c r="T67" s="209">
        <f>IF(Calculations!$L$47=TRUE,IF(T66="P",T15,0),0)</f>
        <v>0</v>
      </c>
      <c r="U67" s="209">
        <f>IF(Calculations!$L$47=TRUE,IF(U66="P",U15,0),0)</f>
        <v>0</v>
      </c>
      <c r="V67" s="209">
        <f>IF(Calculations!$L$47=TRUE,IF(V66="P",V15,0),0)</f>
        <v>0</v>
      </c>
      <c r="W67" s="209">
        <f>IF(Calculations!$L$47=TRUE,IF(W66="P",W15,0),0)</f>
        <v>0</v>
      </c>
      <c r="X67" s="209">
        <f>IF(Calculations!$L$47=TRUE,IF(X66="P",X15,0),0)</f>
        <v>0</v>
      </c>
      <c r="Y67" s="209">
        <f>IF(Calculations!$L$47=TRUE,IF(Y66="P",Y15,0),0)</f>
        <v>0</v>
      </c>
      <c r="Z67" s="444"/>
      <c r="AD67" s="5"/>
      <c r="AE67" s="132"/>
      <c r="AF67" s="5"/>
      <c r="AG67" s="133"/>
      <c r="AH67" s="5"/>
      <c r="AI67" s="3"/>
      <c r="AJ67" s="5"/>
      <c r="AK67" s="37"/>
      <c r="AL67" s="5"/>
      <c r="AM67" s="9"/>
      <c r="AN67" s="5"/>
      <c r="AO67" s="9"/>
      <c r="AP67" s="5"/>
      <c r="AQ67" s="3"/>
      <c r="AR67" s="5"/>
      <c r="AS67" s="7"/>
      <c r="AT67" s="5"/>
      <c r="AU67" s="3"/>
      <c r="AV67" s="29"/>
    </row>
    <row r="68" spans="1:48" ht="14.25" hidden="1" customHeight="1">
      <c r="A68" s="51"/>
      <c r="B68" s="50"/>
      <c r="C68" s="23"/>
      <c r="D68" s="162"/>
      <c r="E68" s="428"/>
      <c r="F68" s="429"/>
      <c r="G68" s="429"/>
      <c r="H68" s="1263" t="s">
        <v>414</v>
      </c>
      <c r="I68" s="1264"/>
      <c r="J68" s="1264"/>
      <c r="K68" s="1264"/>
      <c r="L68" s="1264"/>
      <c r="M68" s="1264"/>
      <c r="N68" s="209">
        <f>IF(Calculations!$L$47=TRUE,IF(AND(N66="A",Calculations!$B$72=TRUE),N15,0),0)</f>
        <v>0</v>
      </c>
      <c r="O68" s="209">
        <f>IF(Calculations!$L$47=TRUE,IF(AND(O66="A",Calculations!$B$72=TRUE),O15,0),0)</f>
        <v>0</v>
      </c>
      <c r="P68" s="209">
        <f>IF(Calculations!$L$47=TRUE,IF(AND(P66="A",Calculations!$B$72=TRUE),P15,0),0)</f>
        <v>0</v>
      </c>
      <c r="Q68" s="209">
        <f>IF(Calculations!$L$47=TRUE,IF(AND(Q66="A",Calculations!$B$72=TRUE),Q15,0),0)</f>
        <v>0</v>
      </c>
      <c r="R68" s="209">
        <f>IF(Calculations!$L$47=TRUE,IF(AND(R66="A",Calculations!$B$72=TRUE),R15,0),0)</f>
        <v>0</v>
      </c>
      <c r="S68" s="209">
        <f>IF(Calculations!$L$47=TRUE,IF(AND(S66="A",Calculations!$B$72=TRUE),S15,0),0)</f>
        <v>0</v>
      </c>
      <c r="T68" s="209">
        <f>IF(Calculations!$L$47=TRUE,IF(AND(T66="A",Calculations!$B$72=TRUE),T15,0),0)</f>
        <v>0</v>
      </c>
      <c r="U68" s="209">
        <f>IF(Calculations!$L$47=TRUE,IF(AND(U66="A",Calculations!$B$72=TRUE),U15,0),0)</f>
        <v>0</v>
      </c>
      <c r="V68" s="209">
        <f>IF(Calculations!$L$47=TRUE,IF(AND(V66="A",Calculations!$B$72=TRUE),V15,0),0)</f>
        <v>0</v>
      </c>
      <c r="W68" s="209">
        <f>IF(Calculations!$L$47=TRUE,IF(AND(W66="A",Calculations!$B$72=TRUE),W15,0),0)</f>
        <v>0</v>
      </c>
      <c r="X68" s="209">
        <f>IF(Calculations!$L$47=TRUE,IF(AND(X66="A",Calculations!$B$72=TRUE),X15,0),0)</f>
        <v>0</v>
      </c>
      <c r="Y68" s="209">
        <f>IF(Calculations!$L$47=TRUE,IF(AND(Y66="A",Calculations!$B$72=TRUE),Y15,0),0)</f>
        <v>0</v>
      </c>
      <c r="Z68" s="444"/>
      <c r="AD68" s="5"/>
      <c r="AE68" s="132"/>
      <c r="AF68" s="5"/>
      <c r="AG68" s="133"/>
      <c r="AH68" s="5"/>
      <c r="AI68" s="3"/>
      <c r="AJ68" s="5"/>
      <c r="AK68" s="37"/>
      <c r="AL68" s="5"/>
      <c r="AM68" s="9"/>
      <c r="AN68" s="5"/>
      <c r="AO68" s="9"/>
      <c r="AP68" s="5"/>
      <c r="AQ68" s="3"/>
      <c r="AR68" s="5"/>
      <c r="AS68" s="7"/>
      <c r="AT68" s="5"/>
      <c r="AU68" s="3"/>
      <c r="AV68" s="29"/>
    </row>
    <row r="69" spans="1:48" ht="14.25" hidden="1" customHeight="1">
      <c r="A69" s="51"/>
      <c r="B69" s="50"/>
      <c r="C69" s="23"/>
      <c r="D69" s="162"/>
      <c r="E69" s="428"/>
      <c r="F69" s="429"/>
      <c r="G69" s="429"/>
      <c r="H69" s="1263" t="s">
        <v>415</v>
      </c>
      <c r="I69" s="1264"/>
      <c r="J69" s="1264"/>
      <c r="K69" s="1264"/>
      <c r="L69" s="1264"/>
      <c r="M69" s="1264"/>
      <c r="N69" s="209">
        <f>IF(Calculations!$L$47=TRUE,IF(AND(N66="A",Calculations!$B$73=TRUE),N15,0),0)</f>
        <v>0</v>
      </c>
      <c r="O69" s="209">
        <f>IF(Calculations!$L$47=TRUE,IF(AND(O66="A",Calculations!$B$73=TRUE),O15,0),0)</f>
        <v>0</v>
      </c>
      <c r="P69" s="209">
        <f>IF(Calculations!$L$47=TRUE,IF(AND(P66="A",Calculations!$B$73=TRUE),P15,0),0)</f>
        <v>0</v>
      </c>
      <c r="Q69" s="209">
        <f>IF(Calculations!$L$47=TRUE,IF(AND(Q66="A",Calculations!$B$73=TRUE),Q15,0),0)</f>
        <v>0</v>
      </c>
      <c r="R69" s="209">
        <f>IF(Calculations!$L$47=TRUE,IF(AND(R66="A",Calculations!$B$73=TRUE),R15,0),0)</f>
        <v>0</v>
      </c>
      <c r="S69" s="209">
        <f>IF(Calculations!$L$47=TRUE,IF(AND(S66="A",Calculations!$B$73=TRUE),S15,0),0)</f>
        <v>0</v>
      </c>
      <c r="T69" s="209">
        <f>IF(Calculations!$L$47=TRUE,IF(AND(T66="A",Calculations!$B$73=TRUE),T15,0),0)</f>
        <v>0</v>
      </c>
      <c r="U69" s="209">
        <f>IF(Calculations!$L$47=TRUE,IF(AND(U66="A",Calculations!$B$73=TRUE),U15,0),0)</f>
        <v>0</v>
      </c>
      <c r="V69" s="209">
        <f>IF(Calculations!$L$47=TRUE,IF(AND(V66="A",Calculations!$B$73=TRUE),V15,0),0)</f>
        <v>0</v>
      </c>
      <c r="W69" s="209">
        <f>IF(Calculations!$L$47=TRUE,IF(AND(W66="A",Calculations!$B$73=TRUE),W15,0),0)</f>
        <v>0</v>
      </c>
      <c r="X69" s="209">
        <f>IF(Calculations!$L$47=TRUE,IF(AND(X66="A",Calculations!$B$73=TRUE),X15,0),0)</f>
        <v>0</v>
      </c>
      <c r="Y69" s="209">
        <f>IF(Calculations!$L$47=TRUE,IF(AND(Y66="A",Calculations!$B$73=TRUE),Y15,0),0)</f>
        <v>0</v>
      </c>
      <c r="Z69" s="444"/>
      <c r="AD69" s="5"/>
      <c r="AE69" s="132"/>
      <c r="AF69" s="5"/>
      <c r="AG69" s="133"/>
      <c r="AH69" s="5"/>
      <c r="AI69" s="3"/>
      <c r="AJ69" s="5"/>
      <c r="AK69" s="37"/>
      <c r="AL69" s="5"/>
      <c r="AM69" s="9"/>
      <c r="AN69" s="5"/>
      <c r="AO69" s="9"/>
      <c r="AP69" s="5"/>
      <c r="AQ69" s="3"/>
      <c r="AR69" s="5"/>
      <c r="AS69" s="7"/>
      <c r="AT69" s="5"/>
      <c r="AU69" s="3"/>
      <c r="AV69" s="29"/>
    </row>
    <row r="70" spans="1:48" ht="14.25" hidden="1" customHeight="1">
      <c r="A70" s="51"/>
      <c r="B70" s="50"/>
      <c r="C70" s="23"/>
      <c r="D70" s="162"/>
      <c r="E70" s="428"/>
      <c r="F70" s="429"/>
      <c r="G70" s="429"/>
      <c r="H70" s="232"/>
      <c r="I70" s="233"/>
      <c r="J70" s="233"/>
      <c r="K70" s="233"/>
      <c r="L70" s="233"/>
      <c r="M70" s="232" t="s">
        <v>395</v>
      </c>
      <c r="N70" s="209" t="str">
        <f>IF(Calculations!$B$76=TRUE,"P",IF(Calculations!$B$91&lt;Calculations!$B$92,(IF(Calculations!$B$91&lt;=4,(IF(Calculations!$B$92&gt;=4,"A","P")),"P")),IF(Calculations!$B$92&gt;=4,"A",IF(Calculations!$B$91&lt;=4,"A","P"))))</f>
        <v>P</v>
      </c>
      <c r="O70" s="209" t="str">
        <f>IF(Calculations!$B$76=TRUE,"P",IF(Calculations!$B$91&lt;Calculations!$B$92,(IF(Calculations!$B$91&lt;=5,(IF(Calculations!$B$92&gt;=5,"A","P")),"P")),IF(Calculations!$B$92&gt;=5,"A",IF(Calculations!$B$91&lt;=5,"A","P"))))</f>
        <v>P</v>
      </c>
      <c r="P70" s="209" t="str">
        <f>IF(Calculations!$B$76=TRUE,"P",IF(Calculations!$B$91&lt;Calculations!$B$92,(IF(Calculations!$B$91&lt;=6,(IF(Calculations!$B$92&gt;=6,"A","P")),"P")),IF(Calculations!$B$92&gt;=6,"A",IF(Calculations!$B$91&lt;=6,"A","P"))))</f>
        <v>P</v>
      </c>
      <c r="Q70" s="209" t="str">
        <f>IF(Calculations!$B$76=TRUE,"P",IF(Calculations!$B$91&lt;Calculations!$B$92,(IF(Calculations!$B$91&lt;=7,(IF(Calculations!$B$92&gt;=7,"A","P")),"P")),IF(Calculations!$B$92&gt;=7,"A",IF(Calculations!$B$91&lt;=7,"A","P"))))</f>
        <v>P</v>
      </c>
      <c r="R70" s="209" t="str">
        <f>IF(Calculations!$B$76=TRUE,"P",IF(Calculations!$B$91&lt;Calculations!$B$92,(IF(Calculations!$B$91&lt;=8,(IF(Calculations!$B$92&gt;=8,"A","P")),"P")),IF(Calculations!$B$92&gt;=8,"A",IF(Calculations!$B$91&lt;=8,"A","P"))))</f>
        <v>P</v>
      </c>
      <c r="S70" s="209" t="str">
        <f>IF(Calculations!$B$76=TRUE,"P",IF(Calculations!$B$91&lt;Calculations!$B$92,(IF(Calculations!$B$91&lt;=9,(IF(Calculations!$B$92&gt;=9,"A","P")),"P")),IF(Calculations!$B$92&gt;=9,"A",IF(Calculations!$B$91&lt;=9,"A","P"))))</f>
        <v>P</v>
      </c>
      <c r="T70" s="209" t="str">
        <f>IF(Calculations!$B$76=TRUE,"P",IF(Calculations!$B$91&lt;Calculations!$B$92,(IF(Calculations!$B$91&lt;=10,(IF(Calculations!$B$92&gt;=10,"A","P")),"P")),IF(Calculations!$B$92&gt;=10,"A",IF(Calculations!$B$91&lt;=10,"A","P"))))</f>
        <v>P</v>
      </c>
      <c r="U70" s="209" t="str">
        <f>IF(Calculations!$B$76=TRUE,"P",IF(Calculations!$B$91&lt;Calculations!$B$92,(IF(Calculations!$B$91&lt;=11,(IF(Calculations!$B$92&gt;=11,"A","P")),"P")),IF(Calculations!$B$92&gt;=11,"A",IF(Calculations!$B$91&lt;=11,"A","P"))))</f>
        <v>P</v>
      </c>
      <c r="V70" s="209" t="str">
        <f>IF(Calculations!$B$76=TRUE,"P",IF(Calculations!$B$91&lt;Calculations!$B$92,(IF(Calculations!$B$91&lt;=12,(IF(Calculations!$B$92&gt;=12,"A","P")),"P")),IF(Calculations!$B$92&gt;=12,"A",IF(Calculations!$B$91&lt;=12,"A","P"))))</f>
        <v>P</v>
      </c>
      <c r="W70" s="209" t="str">
        <f>IF(Calculations!$B$76=TRUE,"P",IF(Calculations!$B$91&lt;Calculations!$B$92,(IF(Calculations!$B$91&lt;=1,(IF(Calculations!$B$92&gt;=1,"A","P")),"P")),IF(Calculations!$B$92&gt;=1,"A",IF(Calculations!$B$91&lt;=1,"A","P"))))</f>
        <v>P</v>
      </c>
      <c r="X70" s="209" t="str">
        <f>IF(Calculations!$B$76=TRUE,"P",IF(Calculations!$B$91&lt;Calculations!$B$92,(IF(Calculations!$B$91&lt;=2,(IF(Calculations!$B$92&gt;=2,"A","P")),"P")),IF(Calculations!$B$92&gt;=2,"A",IF(Calculations!$B$91&lt;=2,"A","P"))))</f>
        <v>P</v>
      </c>
      <c r="Y70" s="209" t="str">
        <f>IF(Calculations!$B$76=TRUE,"P",IF(Calculations!$B$91&lt;Calculations!$B$92,(IF(Calculations!$B$91&lt;=3,(IF(Calculations!$B$92&gt;=3,"A","P")),"P")),IF(Calculations!$B$92&gt;=3,"A",IF(Calculations!$B$91&lt;=3,"A","P"))))</f>
        <v>P</v>
      </c>
      <c r="Z70" s="444"/>
      <c r="AD70" s="5"/>
      <c r="AE70" s="132"/>
      <c r="AF70" s="5"/>
      <c r="AG70" s="133"/>
      <c r="AH70" s="5"/>
      <c r="AI70" s="3"/>
      <c r="AJ70" s="5"/>
      <c r="AK70" s="37"/>
      <c r="AL70" s="5"/>
      <c r="AM70" s="9"/>
      <c r="AN70" s="5"/>
      <c r="AO70" s="9"/>
      <c r="AP70" s="5"/>
      <c r="AQ70" s="3"/>
      <c r="AR70" s="5"/>
      <c r="AS70" s="7"/>
      <c r="AT70" s="5"/>
      <c r="AU70" s="3"/>
      <c r="AV70" s="29"/>
    </row>
    <row r="71" spans="1:48" ht="14.25" hidden="1" customHeight="1">
      <c r="A71" s="51"/>
      <c r="B71" s="50"/>
      <c r="C71" s="23"/>
      <c r="D71" s="162"/>
      <c r="E71" s="428"/>
      <c r="F71" s="429"/>
      <c r="G71" s="429"/>
      <c r="H71" s="1263" t="s">
        <v>392</v>
      </c>
      <c r="I71" s="1264"/>
      <c r="J71" s="1264"/>
      <c r="K71" s="1264"/>
      <c r="L71" s="1264"/>
      <c r="M71" s="1264"/>
      <c r="N71" s="209">
        <f>IF(Calculations!$L$48=TRUE,IF(N70="P",N17,0),0)</f>
        <v>0</v>
      </c>
      <c r="O71" s="209">
        <f>IF(Calculations!$L$48=TRUE,IF(O70="P",O17,0),0)</f>
        <v>0</v>
      </c>
      <c r="P71" s="209">
        <f>IF(Calculations!$L$48=TRUE,IF(P70="P",P17,0),0)</f>
        <v>0</v>
      </c>
      <c r="Q71" s="209">
        <f>IF(Calculations!$L$48=TRUE,IF(Q70="P",Q17,0),0)</f>
        <v>0</v>
      </c>
      <c r="R71" s="209">
        <f>IF(Calculations!$L$48=TRUE,IF(R70="P",R17,0),0)</f>
        <v>0</v>
      </c>
      <c r="S71" s="209">
        <f>IF(Calculations!$L$48=TRUE,IF(S70="P",S17,0),0)</f>
        <v>0</v>
      </c>
      <c r="T71" s="209">
        <f>IF(Calculations!$L$48=TRUE,IF(T70="P",T17,0),0)</f>
        <v>0</v>
      </c>
      <c r="U71" s="209">
        <f>IF(Calculations!$L$48=TRUE,IF(U70="P",U17,0),0)</f>
        <v>0</v>
      </c>
      <c r="V71" s="209">
        <f>IF(Calculations!$L$48=TRUE,IF(V70="P",V17,0),0)</f>
        <v>0</v>
      </c>
      <c r="W71" s="209">
        <f>IF(Calculations!$L$48=TRUE,IF(W70="P",W17,0),0)</f>
        <v>0</v>
      </c>
      <c r="X71" s="209">
        <f>IF(Calculations!$L$48=TRUE,IF(X70="P",X17,0),0)</f>
        <v>0</v>
      </c>
      <c r="Y71" s="209">
        <f>IF(Calculations!$L$48=TRUE,IF(Y70="P",Y17,0),0)</f>
        <v>0</v>
      </c>
      <c r="Z71" s="444"/>
      <c r="AD71" s="5"/>
      <c r="AE71" s="132"/>
      <c r="AF71" s="5"/>
      <c r="AG71" s="133"/>
      <c r="AH71" s="5"/>
      <c r="AI71" s="3"/>
      <c r="AJ71" s="5"/>
      <c r="AK71" s="37"/>
      <c r="AL71" s="5"/>
      <c r="AM71" s="9"/>
      <c r="AN71" s="5"/>
      <c r="AO71" s="9"/>
      <c r="AP71" s="5"/>
      <c r="AQ71" s="3"/>
      <c r="AR71" s="5"/>
      <c r="AS71" s="7"/>
      <c r="AT71" s="5"/>
      <c r="AU71" s="3"/>
      <c r="AV71" s="29"/>
    </row>
    <row r="72" spans="1:48" ht="14.25" hidden="1" customHeight="1">
      <c r="A72" s="51"/>
      <c r="B72" s="50"/>
      <c r="C72" s="23"/>
      <c r="D72" s="162"/>
      <c r="E72" s="428"/>
      <c r="F72" s="429"/>
      <c r="G72" s="429"/>
      <c r="H72" s="1263" t="s">
        <v>416</v>
      </c>
      <c r="I72" s="1264"/>
      <c r="J72" s="1264"/>
      <c r="K72" s="1264"/>
      <c r="L72" s="1264"/>
      <c r="M72" s="1264"/>
      <c r="N72" s="209">
        <f>IF(Calculations!$L$48=TRUE,IF(AND(N70="A",Calculations!$B$77=TRUE),N17,0),0)</f>
        <v>0</v>
      </c>
      <c r="O72" s="209">
        <f>IF(Calculations!$L$48=TRUE,IF(AND(O70="A",Calculations!$B$77=TRUE),O17,0),0)</f>
        <v>0</v>
      </c>
      <c r="P72" s="209">
        <f>IF(Calculations!$L$48=TRUE,IF(AND(P70="A",Calculations!$B$77=TRUE),P17,0),0)</f>
        <v>0</v>
      </c>
      <c r="Q72" s="209">
        <f>IF(Calculations!$L$48=TRUE,IF(AND(Q70="A",Calculations!$B$77=TRUE),Q17,0),0)</f>
        <v>0</v>
      </c>
      <c r="R72" s="209">
        <f>IF(Calculations!$L$48=TRUE,IF(AND(R70="A",Calculations!$B$77=TRUE),R17,0),0)</f>
        <v>0</v>
      </c>
      <c r="S72" s="209">
        <f>IF(Calculations!$L$48=TRUE,IF(AND(S70="A",Calculations!$B$77=TRUE),S17,0),0)</f>
        <v>0</v>
      </c>
      <c r="T72" s="209">
        <f>IF(Calculations!$L$48=TRUE,IF(AND(T70="A",Calculations!$B$77=TRUE),T17,0),0)</f>
        <v>0</v>
      </c>
      <c r="U72" s="209">
        <f>IF(Calculations!$L$48=TRUE,IF(AND(U70="A",Calculations!$B$77=TRUE),U17,0),0)</f>
        <v>0</v>
      </c>
      <c r="V72" s="209">
        <f>IF(Calculations!$L$48=TRUE,IF(AND(V70="A",Calculations!$B$77=TRUE),V17,0),0)</f>
        <v>0</v>
      </c>
      <c r="W72" s="209">
        <f>IF(Calculations!$L$48=TRUE,IF(AND(W70="A",Calculations!$B$77=TRUE),W17,0),0)</f>
        <v>0</v>
      </c>
      <c r="X72" s="209">
        <f>IF(Calculations!$L$48=TRUE,IF(AND(X70="A",Calculations!$B$77=TRUE),X17,0),0)</f>
        <v>0</v>
      </c>
      <c r="Y72" s="209">
        <f>IF(Calculations!$L$48=TRUE,IF(AND(Y70="A",Calculations!$B$77=TRUE),Y17,0),0)</f>
        <v>0</v>
      </c>
      <c r="Z72" s="444"/>
      <c r="AD72" s="5"/>
      <c r="AE72" s="132"/>
      <c r="AF72" s="5"/>
      <c r="AG72" s="133"/>
      <c r="AH72" s="5"/>
      <c r="AI72" s="3"/>
      <c r="AJ72" s="5"/>
      <c r="AK72" s="37"/>
      <c r="AL72" s="5"/>
      <c r="AM72" s="9"/>
      <c r="AN72" s="5"/>
      <c r="AO72" s="9"/>
      <c r="AP72" s="5"/>
      <c r="AQ72" s="3"/>
      <c r="AR72" s="5"/>
      <c r="AS72" s="7"/>
      <c r="AT72" s="5"/>
      <c r="AU72" s="3"/>
      <c r="AV72" s="29"/>
    </row>
    <row r="73" spans="1:48" ht="14.25" hidden="1" customHeight="1">
      <c r="A73" s="51"/>
      <c r="B73" s="50"/>
      <c r="C73" s="23"/>
      <c r="D73" s="162"/>
      <c r="E73" s="428"/>
      <c r="F73" s="429"/>
      <c r="G73" s="429"/>
      <c r="H73" s="1263" t="s">
        <v>417</v>
      </c>
      <c r="I73" s="1264"/>
      <c r="J73" s="1264"/>
      <c r="K73" s="1264"/>
      <c r="L73" s="1264"/>
      <c r="M73" s="1264"/>
      <c r="N73" s="209">
        <f>IF(Calculations!$L$48=TRUE,IF(AND(N70="A",Calculations!$B$78=TRUE),N17,0),0)</f>
        <v>0</v>
      </c>
      <c r="O73" s="209">
        <f>IF(Calculations!$L$48=TRUE,IF(AND(O70="A",Calculations!$B$78=TRUE),O17,0),0)</f>
        <v>0</v>
      </c>
      <c r="P73" s="209">
        <f>IF(Calculations!$L$48=TRUE,IF(AND(P70="A",Calculations!$B$78=TRUE),P17,0),0)</f>
        <v>0</v>
      </c>
      <c r="Q73" s="209">
        <f>IF(Calculations!$L$48=TRUE,IF(AND(Q70="A",Calculations!$B$78=TRUE),Q17,0),0)</f>
        <v>0</v>
      </c>
      <c r="R73" s="209">
        <f>IF(Calculations!$L$48=TRUE,IF(AND(R70="A",Calculations!$B$78=TRUE),R17,0),0)</f>
        <v>0</v>
      </c>
      <c r="S73" s="209">
        <f>IF(Calculations!$L$48=TRUE,IF(AND(S70="A",Calculations!$B$78=TRUE),S17,0),0)</f>
        <v>0</v>
      </c>
      <c r="T73" s="209">
        <f>IF(Calculations!$L$48=TRUE,IF(AND(T70="A",Calculations!$B$78=TRUE),T17,0),0)</f>
        <v>0</v>
      </c>
      <c r="U73" s="209">
        <f>IF(Calculations!$L$48=TRUE,IF(AND(U70="A",Calculations!$B$78=TRUE),U17,0),0)</f>
        <v>0</v>
      </c>
      <c r="V73" s="209">
        <f>IF(Calculations!$L$48=TRUE,IF(AND(V70="A",Calculations!$B$78=TRUE),V17,0),0)</f>
        <v>0</v>
      </c>
      <c r="W73" s="209">
        <f>IF(Calculations!$L$48=TRUE,IF(AND(W70="A",Calculations!$B$78=TRUE),W17,0),0)</f>
        <v>0</v>
      </c>
      <c r="X73" s="209">
        <f>IF(Calculations!$L$48=TRUE,IF(AND(X70="A",Calculations!$B$78=TRUE),X17,0),0)</f>
        <v>0</v>
      </c>
      <c r="Y73" s="209">
        <f>IF(Calculations!$L$48=TRUE,IF(AND(Y70="A",Calculations!$B$78=TRUE),Y17,0),0)</f>
        <v>0</v>
      </c>
      <c r="Z73" s="444"/>
      <c r="AD73" s="5"/>
      <c r="AE73" s="132"/>
      <c r="AF73" s="5"/>
      <c r="AG73" s="133"/>
      <c r="AH73" s="5"/>
      <c r="AI73" s="3"/>
      <c r="AJ73" s="5"/>
      <c r="AK73" s="37"/>
      <c r="AL73" s="5"/>
      <c r="AM73" s="9"/>
      <c r="AN73" s="5"/>
      <c r="AO73" s="9"/>
      <c r="AP73" s="5"/>
      <c r="AQ73" s="3"/>
      <c r="AR73" s="5"/>
      <c r="AS73" s="7"/>
      <c r="AT73" s="5"/>
      <c r="AU73" s="3"/>
      <c r="AV73" s="29"/>
    </row>
    <row r="74" spans="1:48" ht="14.25" hidden="1" customHeight="1">
      <c r="A74" s="51"/>
      <c r="B74" s="50"/>
      <c r="C74" s="23"/>
      <c r="D74" s="162"/>
      <c r="E74" s="428"/>
      <c r="F74" s="429"/>
      <c r="G74" s="429"/>
      <c r="H74" s="232"/>
      <c r="I74" s="233"/>
      <c r="J74" s="233"/>
      <c r="K74" s="233"/>
      <c r="L74" s="233"/>
      <c r="M74" s="232" t="s">
        <v>396</v>
      </c>
      <c r="N74" s="209" t="str">
        <f>IF(Calculations!$B$81=TRUE,"P",IF(Calculations!$B$95&lt;Calculations!$B$96,(IF(Calculations!$B$95&lt;=4,(IF(Calculations!$B$96&gt;=4,"A","P")),"P")),IF(Calculations!$B$96&gt;=4,"A",IF(Calculations!$B$95&lt;=4,"A","P"))))</f>
        <v>P</v>
      </c>
      <c r="O74" s="209" t="str">
        <f>IF(Calculations!$B$81=TRUE,"P",IF(Calculations!$B$95&lt;Calculations!$B$96,(IF(Calculations!$B$95&lt;=5,(IF(Calculations!$B$96&gt;=5,"A","P")),"P")),IF(Calculations!$B$96&gt;=5,"A",IF(Calculations!$B$95&lt;=5,"A","P"))))</f>
        <v>P</v>
      </c>
      <c r="P74" s="209" t="str">
        <f>IF(Calculations!$B$81=TRUE,"P",IF(Calculations!$B$95&lt;Calculations!$B$96,(IF(Calculations!$B$95&lt;=6,(IF(Calculations!$B$96&gt;=6,"A","P")),"P")),IF(Calculations!$B$96&gt;=6,"A",IF(Calculations!$B$95&lt;=6,"A","P"))))</f>
        <v>P</v>
      </c>
      <c r="Q74" s="209" t="str">
        <f>IF(Calculations!$B$81=TRUE,"P",IF(Calculations!$B$95&lt;Calculations!$B$96,(IF(Calculations!$B$95&lt;=7,(IF(Calculations!$B$96&gt;=7,"A","P")),"P")),IF(Calculations!$B$96&gt;=7,"A",IF(Calculations!$B$95&lt;=7,"A","P"))))</f>
        <v>P</v>
      </c>
      <c r="R74" s="209" t="str">
        <f>IF(Calculations!$B$81=TRUE,"P",IF(Calculations!$B$95&lt;Calculations!$B$96,(IF(Calculations!$B$95&lt;=8,(IF(Calculations!$B$96&gt;=8,"A","P")),"P")),IF(Calculations!$B$96&gt;=8,"A",IF(Calculations!$B$95&lt;=8,"A","P"))))</f>
        <v>P</v>
      </c>
      <c r="S74" s="209" t="str">
        <f>IF(Calculations!$B$81=TRUE,"P",IF(Calculations!$B$95&lt;Calculations!$B$96,(IF(Calculations!$B$95&lt;=9,(IF(Calculations!$B$96&gt;=9,"A","P")),"P")),IF(Calculations!$B$96&gt;=9,"A",IF(Calculations!$B$95&lt;=9,"A","P"))))</f>
        <v>P</v>
      </c>
      <c r="T74" s="209" t="str">
        <f>IF(Calculations!$B$81=TRUE,"P",IF(Calculations!$B$95&lt;Calculations!$B$96,(IF(Calculations!$B$95&lt;=10,(IF(Calculations!$B$96&gt;=10,"A","P")),"P")),IF(Calculations!$B$96&gt;=10,"A",IF(Calculations!$B$95&lt;=10,"A","P"))))</f>
        <v>P</v>
      </c>
      <c r="U74" s="209" t="str">
        <f>IF(Calculations!$B$81=TRUE,"P",IF(Calculations!$B$95&lt;Calculations!$B$96,(IF(Calculations!$B$95&lt;=11,(IF(Calculations!$B$96&gt;=11,"A","P")),"P")),IF(Calculations!$B$96&gt;=11,"A",IF(Calculations!$B$95&lt;=11,"A","P"))))</f>
        <v>P</v>
      </c>
      <c r="V74" s="209" t="str">
        <f>IF(Calculations!$B$81=TRUE,"P",IF(Calculations!$B$95&lt;Calculations!$B$96,(IF(Calculations!$B$95&lt;=12,(IF(Calculations!$B$96&gt;=12,"A","P")),"P")),IF(Calculations!$B$96&gt;=12,"A",IF(Calculations!$B$95&lt;=12,"A","P"))))</f>
        <v>P</v>
      </c>
      <c r="W74" s="209" t="str">
        <f>IF(Calculations!$B$81=TRUE,"P",IF(Calculations!$B$95&lt;Calculations!$B$96,(IF(Calculations!$B$95&lt;=1,(IF(Calculations!$B$96&gt;=1,"A","P")),"P")),IF(Calculations!$B$96&gt;=1,"A",IF(Calculations!$B$95&lt;=1,"A","P"))))</f>
        <v>P</v>
      </c>
      <c r="X74" s="209" t="str">
        <f>IF(Calculations!$B$81=TRUE,"P",IF(Calculations!$B$95&lt;Calculations!$B$96,(IF(Calculations!$B$95&lt;=2,(IF(Calculations!$B$96&gt;=2,"A","P")),"P")),IF(Calculations!$B$96&gt;=2,"A",IF(Calculations!$B$95&lt;=2,"A","P"))))</f>
        <v>P</v>
      </c>
      <c r="Y74" s="209" t="str">
        <f>IF(Calculations!$B$81=TRUE,"P",IF(Calculations!$B$95&lt;Calculations!$B$96,(IF(Calculations!$B$95&lt;=3,(IF(Calculations!$B$96&gt;=3,"A","P")),"P")),IF(Calculations!$B$96&gt;=3,"A",IF(Calculations!$B$95&lt;=3,"A","P"))))</f>
        <v>P</v>
      </c>
      <c r="Z74" s="444"/>
      <c r="AD74" s="5"/>
      <c r="AE74" s="132"/>
      <c r="AF74" s="5"/>
      <c r="AG74" s="133"/>
      <c r="AH74" s="5"/>
      <c r="AI74" s="3"/>
      <c r="AJ74" s="5"/>
      <c r="AK74" s="37"/>
      <c r="AL74" s="5"/>
      <c r="AM74" s="9"/>
      <c r="AN74" s="5"/>
      <c r="AO74" s="9"/>
      <c r="AP74" s="5"/>
      <c r="AQ74" s="3"/>
      <c r="AR74" s="5"/>
      <c r="AS74" s="7"/>
      <c r="AT74" s="5"/>
      <c r="AU74" s="3"/>
      <c r="AV74" s="29"/>
    </row>
    <row r="75" spans="1:48" ht="14.25" hidden="1" customHeight="1">
      <c r="A75" s="51"/>
      <c r="B75" s="50"/>
      <c r="C75" s="23"/>
      <c r="D75" s="162"/>
      <c r="E75" s="428"/>
      <c r="F75" s="429"/>
      <c r="G75" s="429"/>
      <c r="H75" s="1263" t="s">
        <v>393</v>
      </c>
      <c r="I75" s="1264"/>
      <c r="J75" s="1264"/>
      <c r="K75" s="1264"/>
      <c r="L75" s="1264"/>
      <c r="M75" s="1264"/>
      <c r="N75" s="209">
        <f>IF(Calculations!$L$49=TRUE,IF(N74="P",N19,0),0)</f>
        <v>0</v>
      </c>
      <c r="O75" s="209">
        <f>IF(Calculations!$L$49=TRUE,IF(O74="P",O19,0),0)</f>
        <v>0</v>
      </c>
      <c r="P75" s="209">
        <f>IF(Calculations!$L$49=TRUE,IF(P74="P",P19,0),0)</f>
        <v>0</v>
      </c>
      <c r="Q75" s="209">
        <f>IF(Calculations!$L$49=TRUE,IF(Q74="P",Q19,0),0)</f>
        <v>0</v>
      </c>
      <c r="R75" s="209">
        <f>IF(Calculations!$L$49=TRUE,IF(R74="P",R19,0),0)</f>
        <v>0</v>
      </c>
      <c r="S75" s="209">
        <f>IF(Calculations!$L$49=TRUE,IF(S74="P",S19,0),0)</f>
        <v>0</v>
      </c>
      <c r="T75" s="209">
        <f>IF(Calculations!$L$49=TRUE,IF(T74="P",T19,0),0)</f>
        <v>0</v>
      </c>
      <c r="U75" s="209">
        <f>IF(Calculations!$L$49=TRUE,IF(U74="P",U19,0),0)</f>
        <v>0</v>
      </c>
      <c r="V75" s="209">
        <f>IF(Calculations!$L$49=TRUE,IF(V74="P",V19,0),0)</f>
        <v>0</v>
      </c>
      <c r="W75" s="209">
        <f>IF(Calculations!$L$49=TRUE,IF(W74="P",W19,0),0)</f>
        <v>0</v>
      </c>
      <c r="X75" s="209">
        <f>IF(Calculations!$L$49=TRUE,IF(X74="P",X19,0),0)</f>
        <v>0</v>
      </c>
      <c r="Y75" s="209">
        <f>IF(Calculations!$L$49=TRUE,IF(Y74="P",Y19,0),0)</f>
        <v>0</v>
      </c>
      <c r="Z75" s="444"/>
      <c r="AD75" s="5"/>
      <c r="AE75" s="132"/>
      <c r="AF75" s="5"/>
      <c r="AG75" s="133"/>
      <c r="AH75" s="5"/>
      <c r="AI75" s="3"/>
      <c r="AJ75" s="5"/>
      <c r="AK75" s="37"/>
      <c r="AL75" s="5"/>
      <c r="AM75" s="9"/>
      <c r="AN75" s="5"/>
      <c r="AO75" s="9"/>
      <c r="AP75" s="5"/>
      <c r="AQ75" s="3"/>
      <c r="AR75" s="5"/>
      <c r="AS75" s="7"/>
      <c r="AT75" s="5"/>
      <c r="AU75" s="3"/>
      <c r="AV75" s="29"/>
    </row>
    <row r="76" spans="1:48" ht="14.25" hidden="1" customHeight="1">
      <c r="A76" s="51"/>
      <c r="B76" s="50"/>
      <c r="C76" s="23"/>
      <c r="D76" s="162"/>
      <c r="E76" s="428"/>
      <c r="F76" s="429"/>
      <c r="G76" s="429"/>
      <c r="H76" s="1263" t="s">
        <v>418</v>
      </c>
      <c r="I76" s="1264"/>
      <c r="J76" s="1264"/>
      <c r="K76" s="1264"/>
      <c r="L76" s="1264"/>
      <c r="M76" s="1264"/>
      <c r="N76" s="209">
        <f>IF(Calculations!$L$49=TRUE,IF(AND(N74="A",Calculations!$B$82=TRUE),N19,0),0)</f>
        <v>0</v>
      </c>
      <c r="O76" s="209">
        <f>IF(Calculations!$L$49=TRUE,IF(AND(O74="A",Calculations!$B$82=TRUE),O19,0),0)</f>
        <v>0</v>
      </c>
      <c r="P76" s="209">
        <f>IF(Calculations!$L$49=TRUE,IF(AND(P74="A",Calculations!$B$82=TRUE),P19,0),0)</f>
        <v>0</v>
      </c>
      <c r="Q76" s="209">
        <f>IF(Calculations!$L$49=TRUE,IF(AND(Q74="A",Calculations!$B$82=TRUE),Q19,0),0)</f>
        <v>0</v>
      </c>
      <c r="R76" s="209">
        <f>IF(Calculations!$L$49=TRUE,IF(AND(R74="A",Calculations!$B$82=TRUE),R19,0),0)</f>
        <v>0</v>
      </c>
      <c r="S76" s="209">
        <f>IF(Calculations!$L$49=TRUE,IF(AND(S74="A",Calculations!$B$82=TRUE),S19,0),0)</f>
        <v>0</v>
      </c>
      <c r="T76" s="209">
        <f>IF(Calculations!$L$49=TRUE,IF(AND(T74="A",Calculations!$B$82=TRUE),T19,0),0)</f>
        <v>0</v>
      </c>
      <c r="U76" s="209">
        <f>IF(Calculations!$L$49=TRUE,IF(AND(U74="A",Calculations!$B$82=TRUE),U19,0),0)</f>
        <v>0</v>
      </c>
      <c r="V76" s="209">
        <f>IF(Calculations!$L$49=TRUE,IF(AND(V74="A",Calculations!$B$82=TRUE),V19,0),0)</f>
        <v>0</v>
      </c>
      <c r="W76" s="209">
        <f>IF(Calculations!$L$49=TRUE,IF(AND(W74="A",Calculations!$B$82=TRUE),W19,0),0)</f>
        <v>0</v>
      </c>
      <c r="X76" s="209">
        <f>IF(Calculations!$L$49=TRUE,IF(AND(X74="A",Calculations!$B$82=TRUE),X19,0),0)</f>
        <v>0</v>
      </c>
      <c r="Y76" s="209">
        <f>IF(Calculations!$L$49=TRUE,IF(AND(Y74="A",Calculations!$B$82=TRUE),Y19,0),0)</f>
        <v>0</v>
      </c>
      <c r="Z76" s="444"/>
      <c r="AD76" s="5"/>
      <c r="AE76" s="132"/>
      <c r="AF76" s="5"/>
      <c r="AG76" s="133"/>
      <c r="AH76" s="5"/>
      <c r="AI76" s="3"/>
      <c r="AJ76" s="5"/>
      <c r="AK76" s="37"/>
      <c r="AL76" s="5"/>
      <c r="AM76" s="9"/>
      <c r="AN76" s="5"/>
      <c r="AO76" s="9"/>
      <c r="AP76" s="5"/>
      <c r="AQ76" s="3"/>
      <c r="AR76" s="5"/>
      <c r="AS76" s="7"/>
      <c r="AT76" s="5"/>
      <c r="AU76" s="3"/>
      <c r="AV76" s="29"/>
    </row>
    <row r="77" spans="1:48" ht="14.25" hidden="1" customHeight="1">
      <c r="A77" s="51"/>
      <c r="B77" s="50"/>
      <c r="C77" s="23"/>
      <c r="D77" s="162"/>
      <c r="E77" s="428"/>
      <c r="F77" s="429"/>
      <c r="G77" s="429"/>
      <c r="H77" s="1263" t="s">
        <v>419</v>
      </c>
      <c r="I77" s="1264"/>
      <c r="J77" s="1264"/>
      <c r="K77" s="1264"/>
      <c r="L77" s="1264"/>
      <c r="M77" s="1264"/>
      <c r="N77" s="209">
        <f>IF(Calculations!$L$49=TRUE,IF(AND(N74="A",Calculations!$B$83=TRUE),N19,0),0)</f>
        <v>0</v>
      </c>
      <c r="O77" s="209">
        <f>IF(Calculations!$L$49=TRUE,IF(AND(O74="A",Calculations!$B$83=TRUE),O19,0),0)</f>
        <v>0</v>
      </c>
      <c r="P77" s="209">
        <f>IF(Calculations!$L$49=TRUE,IF(AND(P74="A",Calculations!$B$83=TRUE),P19,0),0)</f>
        <v>0</v>
      </c>
      <c r="Q77" s="209">
        <f>IF(Calculations!$L$49=TRUE,IF(AND(Q74="A",Calculations!$B$83=TRUE),Q19,0),0)</f>
        <v>0</v>
      </c>
      <c r="R77" s="209">
        <f>IF(Calculations!$L$49=TRUE,IF(AND(R74="A",Calculations!$B$83=TRUE),R19,0),0)</f>
        <v>0</v>
      </c>
      <c r="S77" s="209">
        <f>IF(Calculations!$L$49=TRUE,IF(AND(S74="A",Calculations!$B$83=TRUE),S19,0),0)</f>
        <v>0</v>
      </c>
      <c r="T77" s="209">
        <f>IF(Calculations!$L$49=TRUE,IF(AND(T74="A",Calculations!$B$83=TRUE),T19,0),0)</f>
        <v>0</v>
      </c>
      <c r="U77" s="209">
        <f>IF(Calculations!$L$49=TRUE,IF(AND(U74="A",Calculations!$B$83=TRUE),U19,0),0)</f>
        <v>0</v>
      </c>
      <c r="V77" s="209">
        <f>IF(Calculations!$L$49=TRUE,IF(AND(V74="A",Calculations!$B$83=TRUE),V19,0),0)</f>
        <v>0</v>
      </c>
      <c r="W77" s="209">
        <f>IF(Calculations!$L$49=TRUE,IF(AND(W74="A",Calculations!$B$83=TRUE),W19,0),0)</f>
        <v>0</v>
      </c>
      <c r="X77" s="209">
        <f>IF(Calculations!$L$49=TRUE,IF(AND(X74="A",Calculations!$B$83=TRUE),X19,0),0)</f>
        <v>0</v>
      </c>
      <c r="Y77" s="209">
        <f>IF(Calculations!$L$49=TRUE,IF(AND(Y74="A",Calculations!$B$83=TRUE),Y19,0),0)</f>
        <v>0</v>
      </c>
      <c r="Z77" s="444"/>
      <c r="AD77" s="5"/>
      <c r="AE77" s="132"/>
      <c r="AF77" s="5"/>
      <c r="AG77" s="133"/>
      <c r="AH77" s="5"/>
      <c r="AI77" s="3"/>
      <c r="AJ77" s="5"/>
      <c r="AK77" s="37"/>
      <c r="AL77" s="5"/>
      <c r="AM77" s="9"/>
      <c r="AN77" s="5"/>
      <c r="AO77" s="9"/>
      <c r="AP77" s="5"/>
      <c r="AQ77" s="3"/>
      <c r="AR77" s="5"/>
      <c r="AS77" s="7"/>
      <c r="AT77" s="5"/>
      <c r="AU77" s="3"/>
      <c r="AV77" s="29"/>
    </row>
    <row r="78" spans="1:48" ht="14.25" hidden="1" customHeight="1">
      <c r="A78" s="51"/>
      <c r="B78" s="50"/>
      <c r="C78" s="23"/>
      <c r="D78" s="162"/>
      <c r="E78" s="428"/>
      <c r="F78" s="429"/>
      <c r="G78" s="429"/>
      <c r="H78" s="210"/>
      <c r="I78" s="148"/>
      <c r="J78" s="148"/>
      <c r="K78" s="148"/>
      <c r="L78" s="205"/>
      <c r="M78" s="148"/>
      <c r="N78" s="209"/>
      <c r="O78" s="209"/>
      <c r="P78" s="209"/>
      <c r="Q78" s="209"/>
      <c r="R78" s="209"/>
      <c r="S78" s="209"/>
      <c r="T78" s="209"/>
      <c r="U78" s="209"/>
      <c r="V78" s="209"/>
      <c r="W78" s="209"/>
      <c r="X78" s="209"/>
      <c r="Y78" s="209"/>
      <c r="Z78" s="444"/>
      <c r="AD78" s="5"/>
      <c r="AE78" s="132"/>
      <c r="AF78" s="5"/>
      <c r="AG78" s="133"/>
      <c r="AH78" s="5"/>
      <c r="AI78" s="3"/>
      <c r="AJ78" s="5"/>
      <c r="AK78" s="37"/>
      <c r="AL78" s="5"/>
      <c r="AM78" s="9"/>
      <c r="AN78" s="5"/>
      <c r="AO78" s="9"/>
      <c r="AP78" s="5"/>
      <c r="AQ78" s="3"/>
      <c r="AR78" s="5"/>
      <c r="AS78" s="7"/>
      <c r="AT78" s="5"/>
      <c r="AU78" s="3"/>
      <c r="AV78" s="29"/>
    </row>
    <row r="79" spans="1:48" ht="14.25" hidden="1" customHeight="1">
      <c r="A79" s="51"/>
      <c r="B79" s="50"/>
      <c r="C79" s="23"/>
      <c r="D79" s="162"/>
      <c r="E79" s="428"/>
      <c r="F79" s="429"/>
      <c r="G79" s="429"/>
      <c r="H79" s="210"/>
      <c r="I79" s="148"/>
      <c r="J79" s="148"/>
      <c r="K79" s="148"/>
      <c r="L79" s="205"/>
      <c r="M79" s="236" t="s">
        <v>56</v>
      </c>
      <c r="N79" s="209"/>
      <c r="O79" s="209"/>
      <c r="P79" s="209"/>
      <c r="Q79" s="209"/>
      <c r="R79" s="209"/>
      <c r="S79" s="209"/>
      <c r="T79" s="209"/>
      <c r="U79" s="209"/>
      <c r="V79" s="209"/>
      <c r="W79" s="209"/>
      <c r="X79" s="209"/>
      <c r="Y79" s="209"/>
      <c r="Z79" s="444"/>
      <c r="AD79" s="5"/>
      <c r="AE79" s="132"/>
      <c r="AF79" s="5"/>
      <c r="AG79" s="133"/>
      <c r="AH79" s="5"/>
      <c r="AI79" s="3"/>
      <c r="AJ79" s="5"/>
      <c r="AK79" s="37"/>
      <c r="AL79" s="5"/>
      <c r="AM79" s="9"/>
      <c r="AN79" s="5"/>
      <c r="AO79" s="9"/>
      <c r="AP79" s="5"/>
      <c r="AQ79" s="3"/>
      <c r="AR79" s="5"/>
      <c r="AS79" s="7"/>
      <c r="AT79" s="5"/>
      <c r="AU79" s="3"/>
      <c r="AV79" s="29"/>
    </row>
    <row r="80" spans="1:48" ht="14.25" hidden="1" customHeight="1">
      <c r="A80" s="51"/>
      <c r="B80" s="50"/>
      <c r="C80" s="23"/>
      <c r="D80" s="162"/>
      <c r="E80" s="428"/>
      <c r="F80" s="429"/>
      <c r="G80" s="429"/>
      <c r="H80" s="210"/>
      <c r="I80" s="148"/>
      <c r="J80" s="148"/>
      <c r="K80" s="148"/>
      <c r="L80" s="205"/>
      <c r="M80" s="235" t="s">
        <v>394</v>
      </c>
      <c r="N80" s="209" t="str">
        <f>IF(Calculations!$L$50=TRUE,N21,"")</f>
        <v/>
      </c>
      <c r="O80" s="209" t="str">
        <f>IF(Calculations!$L$50=TRUE,O21,"")</f>
        <v/>
      </c>
      <c r="P80" s="209" t="str">
        <f>IF(Calculations!$L$50=TRUE,P21,"")</f>
        <v/>
      </c>
      <c r="Q80" s="209" t="str">
        <f>IF(Calculations!$L$50=TRUE,Q21,"")</f>
        <v/>
      </c>
      <c r="R80" s="209" t="str">
        <f>IF(Calculations!$L$50=TRUE,R21,"")</f>
        <v/>
      </c>
      <c r="S80" s="209" t="str">
        <f>IF(Calculations!$L$50=TRUE,S21,"")</f>
        <v/>
      </c>
      <c r="T80" s="209" t="str">
        <f>IF(Calculations!$L$50=TRUE,T21,"")</f>
        <v/>
      </c>
      <c r="U80" s="209" t="str">
        <f>IF(Calculations!$L$50=TRUE,U21,"")</f>
        <v/>
      </c>
      <c r="V80" s="209" t="str">
        <f>IF(Calculations!$L$50=TRUE,V21,"")</f>
        <v/>
      </c>
      <c r="W80" s="209" t="str">
        <f>IF(Calculations!$L$50=TRUE,W21,"")</f>
        <v/>
      </c>
      <c r="X80" s="209" t="str">
        <f>IF(Calculations!$L$50=TRUE,X21,"")</f>
        <v/>
      </c>
      <c r="Y80" s="209" t="str">
        <f>IF(Calculations!$L$50=TRUE,Y21,"")</f>
        <v/>
      </c>
      <c r="Z80" s="444"/>
      <c r="AD80" s="5"/>
      <c r="AE80" s="132"/>
      <c r="AF80" s="5"/>
      <c r="AG80" s="133"/>
      <c r="AH80" s="5"/>
      <c r="AI80" s="3"/>
      <c r="AJ80" s="5"/>
      <c r="AK80" s="37"/>
      <c r="AL80" s="5"/>
      <c r="AM80" s="9"/>
      <c r="AN80" s="5"/>
      <c r="AO80" s="9"/>
      <c r="AP80" s="5"/>
      <c r="AQ80" s="3"/>
      <c r="AR80" s="5"/>
      <c r="AS80" s="7"/>
      <c r="AT80" s="5"/>
      <c r="AU80" s="3"/>
      <c r="AV80" s="29"/>
    </row>
    <row r="81" spans="1:48" ht="14.25" hidden="1" customHeight="1">
      <c r="A81" s="51"/>
      <c r="B81" s="50"/>
      <c r="C81" s="23"/>
      <c r="D81" s="162"/>
      <c r="E81" s="428"/>
      <c r="F81" s="429"/>
      <c r="G81" s="429"/>
      <c r="H81" s="210"/>
      <c r="I81" s="148"/>
      <c r="J81" s="148"/>
      <c r="K81" s="148"/>
      <c r="L81" s="205"/>
      <c r="M81" s="235" t="s">
        <v>395</v>
      </c>
      <c r="N81" s="209" t="str">
        <f>IF(Calculations!$L$51=TRUE,N23,"")</f>
        <v/>
      </c>
      <c r="O81" s="209" t="str">
        <f>IF(Calculations!$L$51=TRUE,O23,"")</f>
        <v/>
      </c>
      <c r="P81" s="209" t="str">
        <f>IF(Calculations!$L$51=TRUE,P23,"")</f>
        <v/>
      </c>
      <c r="Q81" s="209" t="str">
        <f>IF(Calculations!$L$51=TRUE,Q23,"")</f>
        <v/>
      </c>
      <c r="R81" s="209" t="str">
        <f>IF(Calculations!$L$51=TRUE,R23,"")</f>
        <v/>
      </c>
      <c r="S81" s="209" t="str">
        <f>IF(Calculations!$L$51=TRUE,S23,"")</f>
        <v/>
      </c>
      <c r="T81" s="209" t="str">
        <f>IF(Calculations!$L$51=TRUE,T23,"")</f>
        <v/>
      </c>
      <c r="U81" s="209" t="str">
        <f>IF(Calculations!$L$51=TRUE,U23,"")</f>
        <v/>
      </c>
      <c r="V81" s="209" t="str">
        <f>IF(Calculations!$L$51=TRUE,V23,"")</f>
        <v/>
      </c>
      <c r="W81" s="209" t="str">
        <f>IF(Calculations!$L$51=TRUE,W23,"")</f>
        <v/>
      </c>
      <c r="X81" s="209" t="str">
        <f>IF(Calculations!$L$51=TRUE,X23,"")</f>
        <v/>
      </c>
      <c r="Y81" s="209" t="str">
        <f>IF(Calculations!$L$51=TRUE,Y23,"")</f>
        <v/>
      </c>
      <c r="Z81" s="444"/>
      <c r="AD81" s="5"/>
      <c r="AE81" s="132"/>
      <c r="AF81" s="5"/>
      <c r="AG81" s="133"/>
      <c r="AH81" s="5"/>
      <c r="AI81" s="3"/>
      <c r="AJ81" s="5"/>
      <c r="AK81" s="37"/>
      <c r="AL81" s="5"/>
      <c r="AM81" s="9"/>
      <c r="AN81" s="5"/>
      <c r="AO81" s="9"/>
      <c r="AP81" s="5"/>
      <c r="AQ81" s="3"/>
      <c r="AR81" s="5"/>
      <c r="AS81" s="7"/>
      <c r="AT81" s="5"/>
      <c r="AU81" s="3"/>
      <c r="AV81" s="29"/>
    </row>
    <row r="82" spans="1:48" ht="14.25" hidden="1" customHeight="1">
      <c r="A82" s="51"/>
      <c r="B82" s="50"/>
      <c r="C82" s="23"/>
      <c r="D82" s="162"/>
      <c r="E82" s="428"/>
      <c r="F82" s="429"/>
      <c r="G82" s="429"/>
      <c r="H82" s="210"/>
      <c r="I82" s="148"/>
      <c r="J82" s="148"/>
      <c r="K82" s="148"/>
      <c r="L82" s="205"/>
      <c r="M82" s="235"/>
      <c r="N82" s="209"/>
      <c r="O82" s="209"/>
      <c r="P82" s="209"/>
      <c r="Q82" s="209"/>
      <c r="R82" s="209"/>
      <c r="S82" s="209"/>
      <c r="T82" s="209"/>
      <c r="U82" s="209"/>
      <c r="V82" s="209"/>
      <c r="W82" s="209"/>
      <c r="X82" s="209"/>
      <c r="Y82" s="209"/>
      <c r="Z82" s="444"/>
      <c r="AD82" s="5"/>
      <c r="AE82" s="132"/>
      <c r="AF82" s="5"/>
      <c r="AG82" s="133"/>
      <c r="AH82" s="5"/>
      <c r="AI82" s="3"/>
      <c r="AJ82" s="5"/>
      <c r="AK82" s="37"/>
      <c r="AL82" s="5"/>
      <c r="AM82" s="9"/>
      <c r="AN82" s="5"/>
      <c r="AO82" s="9"/>
      <c r="AP82" s="5"/>
      <c r="AQ82" s="3"/>
      <c r="AR82" s="5"/>
      <c r="AS82" s="7"/>
      <c r="AT82" s="5"/>
      <c r="AU82" s="3"/>
      <c r="AV82" s="29"/>
    </row>
    <row r="83" spans="1:48" ht="14.25" hidden="1" customHeight="1">
      <c r="A83" s="51"/>
      <c r="B83" s="50"/>
      <c r="C83" s="23"/>
      <c r="D83" s="162"/>
      <c r="E83" s="428"/>
      <c r="F83" s="429"/>
      <c r="G83" s="429"/>
      <c r="H83" s="210"/>
      <c r="I83" s="148"/>
      <c r="J83" s="148"/>
      <c r="K83" s="148"/>
      <c r="L83" s="205"/>
      <c r="M83" s="236" t="s">
        <v>52</v>
      </c>
      <c r="N83" s="209" t="str">
        <f>IF(Calculations!B99=TRUE,"P",IF(Calculations!$B$102&lt;Calculations!$B$103,(IF(Calculations!$B$102&lt;=4,(IF(Calculations!$B$103&gt;=4,"A","P")),"P")),IF(Calculations!$B$103&gt;=4,"A",IF(Calculations!$B$102&lt;=4,"A","P"))))</f>
        <v>P</v>
      </c>
      <c r="O83" s="209" t="str">
        <f>IF(Calculations!B99=TRUE,"P",IF(Calculations!$B$102&lt;Calculations!$B$103,(IF(Calculations!$B$102&lt;=5,(IF(Calculations!$B$103&gt;=5,"A","P")),"P")),IF(Calculations!$B$103&gt;=5,"A",IF(Calculations!$B$102&lt;=5,"A","P"))))</f>
        <v>P</v>
      </c>
      <c r="P83" s="209" t="str">
        <f>IF(Calculations!B99=TRUE,"P",IF(Calculations!$B$102&lt;Calculations!$B$103,(IF(Calculations!$B$102&lt;=6,(IF(Calculations!$B$103&gt;=6,"A","P")),"P")),IF(Calculations!$B$103&gt;=6,"A",IF(Calculations!$B$102&lt;=6,"A","P"))))</f>
        <v>P</v>
      </c>
      <c r="Q83" s="209" t="str">
        <f>IF(Calculations!B99=TRUE,"P",IF(Calculations!$B$102&lt;Calculations!$B$103,(IF(Calculations!$B$102&lt;=7,(IF(Calculations!$B$103&gt;=7,"A","P")),"P")),IF(Calculations!$B$103&gt;=7,"A",IF(Calculations!$B$102&lt;=7,"A","P"))))</f>
        <v>P</v>
      </c>
      <c r="R83" s="209" t="str">
        <f>IF(Calculations!B99=TRUE,"P",IF(Calculations!$B$102&lt;Calculations!$B$103,(IF(Calculations!$B$102&lt;=8,(IF(Calculations!$B$103&gt;=8,"A","P")),"P")),IF(Calculations!$B$103&gt;=8,"A",IF(Calculations!$B$102&lt;=8,"A","P"))))</f>
        <v>P</v>
      </c>
      <c r="S83" s="209" t="str">
        <f>IF(Calculations!B99=TRUE,"P",IF(Calculations!$B$102&lt;Calculations!$B$103,(IF(Calculations!$B$102&lt;=9,(IF(Calculations!$B$103&gt;=9,"A","P")),"P")),IF(Calculations!$B$103&gt;=9,"A",IF(Calculations!$B$102&lt;=9,"A","P"))))</f>
        <v>P</v>
      </c>
      <c r="T83" s="209" t="str">
        <f>IF(Calculations!B99=TRUE,"P",IF(Calculations!$B$102&lt;Calculations!$B$103,(IF(Calculations!$B$102&lt;=10,(IF(Calculations!$B$103&gt;=10,"A","P")),"P")),IF(Calculations!$B$103&gt;=10,"A",IF(Calculations!$B$102&lt;=10,"A","P"))))</f>
        <v>P</v>
      </c>
      <c r="U83" s="209" t="str">
        <f>IF(Calculations!B99=TRUE,"P",IF(Calculations!$B$102&lt;Calculations!$B$103,(IF(Calculations!$B$102&lt;=11,(IF(Calculations!$B$103&gt;=11,"A","P")),"P")),IF(Calculations!$B$103&gt;=11,"A",IF(Calculations!$B$102&lt;=11,"A","P"))))</f>
        <v>P</v>
      </c>
      <c r="V83" s="209" t="str">
        <f>IF(Calculations!B99=TRUE,"P",IF(Calculations!$B$102&lt;Calculations!$B$103,(IF(Calculations!$B$102&lt;=12,(IF(Calculations!$B$103&gt;=12,"A","P")),"P")),IF(Calculations!$B$103&gt;=12,"A",IF(Calculations!$B$102&lt;=12,"A","P"))))</f>
        <v>P</v>
      </c>
      <c r="W83" s="209" t="str">
        <f>IF(Calculations!B99=TRUE,"P",IF(Calculations!$B$102&lt;Calculations!$B$103,(IF(Calculations!$B$102&lt;=1,(IF(Calculations!$B$103&gt;=1,"A","P")),"P")),IF(Calculations!$B$103&gt;=1,"A",IF(Calculations!$B$102&lt;=1,"A","P"))))</f>
        <v>P</v>
      </c>
      <c r="X83" s="209" t="str">
        <f>IF(Calculations!B99=TRUE,"P",IF(Calculations!$B$102&lt;Calculations!$B$103,(IF(Calculations!$B$102&lt;=2,(IF(Calculations!$B$103&gt;=2,"A","P")),"P")),IF(Calculations!$B$103&gt;=2,"A",IF(Calculations!$B$102&lt;=2,"A","P"))))</f>
        <v>P</v>
      </c>
      <c r="Y83" s="209" t="str">
        <f>IF(Calculations!B99=TRUE,"P",IF(Calculations!$B$102&lt;Calculations!$B$103,(IF(Calculations!$B$102&lt;=3,(IF(Calculations!$B$103&gt;=3,"A","P")),"P")),IF(Calculations!$B$103&gt;=3,"A",IF(Calculations!$B$102&lt;=3,"A","P"))))</f>
        <v>P</v>
      </c>
      <c r="Z83" s="444"/>
      <c r="AD83" s="5"/>
      <c r="AE83" s="132"/>
      <c r="AF83" s="5"/>
      <c r="AG83" s="133"/>
      <c r="AH83" s="5"/>
      <c r="AI83" s="3"/>
      <c r="AJ83" s="5"/>
      <c r="AK83" s="37"/>
      <c r="AL83" s="5"/>
      <c r="AM83" s="9"/>
      <c r="AN83" s="5"/>
      <c r="AO83" s="9"/>
      <c r="AP83" s="5"/>
      <c r="AQ83" s="3"/>
      <c r="AR83" s="5"/>
      <c r="AS83" s="7"/>
      <c r="AT83" s="5"/>
      <c r="AU83" s="3"/>
      <c r="AV83" s="29"/>
    </row>
    <row r="84" spans="1:48" ht="14.25" hidden="1" customHeight="1">
      <c r="A84" s="51"/>
      <c r="B84" s="50"/>
      <c r="C84" s="23"/>
      <c r="D84" s="162"/>
      <c r="E84" s="428"/>
      <c r="F84" s="429"/>
      <c r="G84" s="429"/>
      <c r="H84" s="210"/>
      <c r="I84" s="148"/>
      <c r="J84" s="148"/>
      <c r="K84" s="148"/>
      <c r="L84" s="205"/>
      <c r="M84" s="235" t="s">
        <v>428</v>
      </c>
      <c r="N84" s="209">
        <f>IF(Calculations!$L$52=TRUE,IF(N83="P",N35,0),0)</f>
        <v>0</v>
      </c>
      <c r="O84" s="209">
        <f>IF(Calculations!$L$52=TRUE,IF(O83="P",O35,0),0)</f>
        <v>0</v>
      </c>
      <c r="P84" s="209">
        <f>IF(Calculations!$L$52=TRUE,IF(P83="P",P35,0),0)</f>
        <v>0</v>
      </c>
      <c r="Q84" s="209">
        <f>IF(Calculations!$L$52=TRUE,IF(Q83="P",Q35,0),0)</f>
        <v>0</v>
      </c>
      <c r="R84" s="209">
        <f>IF(Calculations!$L$52=TRUE,IF(R83="P",R35,0),0)</f>
        <v>0</v>
      </c>
      <c r="S84" s="209">
        <f>IF(Calculations!$L$52=TRUE,IF(S83="P",S35,0),0)</f>
        <v>0</v>
      </c>
      <c r="T84" s="209">
        <f>IF(Calculations!$L$52=TRUE,IF(T83="P",T35,0),0)</f>
        <v>0</v>
      </c>
      <c r="U84" s="209">
        <f>IF(Calculations!$L$52=TRUE,IF(U83="P",U35,0),0)</f>
        <v>0</v>
      </c>
      <c r="V84" s="209">
        <f>IF(Calculations!$L$52=TRUE,IF(V83="P",V35,0),0)</f>
        <v>0</v>
      </c>
      <c r="W84" s="209">
        <f>IF(Calculations!$L$52=TRUE,IF(W83="P",W35,0),0)</f>
        <v>0</v>
      </c>
      <c r="X84" s="209">
        <f>IF(Calculations!$L$52=TRUE,IF(X83="P",X35,0),0)</f>
        <v>0</v>
      </c>
      <c r="Y84" s="209">
        <f>IF(Calculations!$L$52=TRUE,IF(Y83="P",Y35,0),0)</f>
        <v>0</v>
      </c>
      <c r="Z84" s="444"/>
      <c r="AD84" s="5"/>
      <c r="AE84" s="132"/>
      <c r="AF84" s="5"/>
      <c r="AG84" s="133"/>
      <c r="AH84" s="5"/>
      <c r="AI84" s="3"/>
      <c r="AJ84" s="5"/>
      <c r="AK84" s="37"/>
      <c r="AL84" s="5"/>
      <c r="AM84" s="9"/>
      <c r="AN84" s="5"/>
      <c r="AO84" s="9"/>
      <c r="AP84" s="5"/>
      <c r="AQ84" s="3"/>
      <c r="AR84" s="5"/>
      <c r="AS84" s="7"/>
      <c r="AT84" s="5"/>
      <c r="AU84" s="3"/>
      <c r="AV84" s="29"/>
    </row>
    <row r="85" spans="1:48" ht="14.25" hidden="1" customHeight="1">
      <c r="A85" s="51"/>
      <c r="B85" s="50"/>
      <c r="C85" s="23"/>
      <c r="D85" s="162"/>
      <c r="E85" s="428"/>
      <c r="F85" s="429"/>
      <c r="G85" s="429"/>
      <c r="H85" s="210"/>
      <c r="I85" s="148"/>
      <c r="J85" s="148"/>
      <c r="K85" s="148"/>
      <c r="L85" s="205"/>
      <c r="M85" s="235" t="s">
        <v>427</v>
      </c>
      <c r="N85" s="209">
        <f>IF(Calculations!$L$52=TRUE,IF(AND(N83="A",Calculations!$B$100=TRUE),N35,0),0)</f>
        <v>0</v>
      </c>
      <c r="O85" s="209">
        <f>IF(Calculations!$L$52=TRUE,IF(AND(O83="A",Calculations!$B$100=TRUE),O35,0),0)</f>
        <v>0</v>
      </c>
      <c r="P85" s="209">
        <f>IF(Calculations!$L$52=TRUE,IF(AND(P83="A",Calculations!$B$100=TRUE),P35,0),0)</f>
        <v>0</v>
      </c>
      <c r="Q85" s="209">
        <f>IF(Calculations!$L$52=TRUE,IF(AND(Q83="A",Calculations!$B$100=TRUE),Q35,0),0)</f>
        <v>0</v>
      </c>
      <c r="R85" s="209">
        <f>IF(Calculations!$L$52=TRUE,IF(AND(R83="A",Calculations!$B$100=TRUE),R35,0),0)</f>
        <v>0</v>
      </c>
      <c r="S85" s="209">
        <f>IF(Calculations!$L$52=TRUE,IF(AND(S83="A",Calculations!$B$100=TRUE),S35,0),0)</f>
        <v>0</v>
      </c>
      <c r="T85" s="209">
        <f>IF(Calculations!$L$52=TRUE,IF(AND(T83="A",Calculations!$B$100=TRUE),T35,0),0)</f>
        <v>0</v>
      </c>
      <c r="U85" s="209">
        <f>IF(Calculations!$L$52=TRUE,IF(AND(U83="A",Calculations!$B$100=TRUE),U35,0),0)</f>
        <v>0</v>
      </c>
      <c r="V85" s="209">
        <f>IF(Calculations!$L$52=TRUE,IF(AND(V83="A",Calculations!$B$100=TRUE),V35,0),0)</f>
        <v>0</v>
      </c>
      <c r="W85" s="209">
        <f>IF(Calculations!$L$52=TRUE,IF(AND(W83="A",Calculations!$B$100=TRUE),W35,0),0)</f>
        <v>0</v>
      </c>
      <c r="X85" s="209">
        <f>IF(Calculations!$L$52=TRUE,IF(AND(X83="A",Calculations!$B$100=TRUE),X35,0),0)</f>
        <v>0</v>
      </c>
      <c r="Y85" s="209">
        <f>IF(Calculations!$L$52=TRUE,IF(AND(Y83="A",Calculations!$B$100=TRUE),Y35,0),0)</f>
        <v>0</v>
      </c>
      <c r="Z85" s="444"/>
      <c r="AD85" s="5"/>
      <c r="AE85" s="132"/>
      <c r="AF85" s="5"/>
      <c r="AG85" s="133"/>
      <c r="AH85" s="5"/>
      <c r="AI85" s="3"/>
      <c r="AJ85" s="5"/>
      <c r="AK85" s="37"/>
      <c r="AL85" s="5"/>
      <c r="AM85" s="9"/>
      <c r="AN85" s="5"/>
      <c r="AO85" s="9"/>
      <c r="AP85" s="5"/>
      <c r="AQ85" s="3"/>
      <c r="AR85" s="5"/>
      <c r="AS85" s="7"/>
      <c r="AT85" s="5"/>
      <c r="AU85" s="3"/>
      <c r="AV85" s="29"/>
    </row>
    <row r="86" spans="1:48" ht="14.25" hidden="1" customHeight="1">
      <c r="A86" s="51"/>
      <c r="B86" s="50"/>
      <c r="C86" s="23"/>
      <c r="D86" s="162"/>
      <c r="E86" s="428"/>
      <c r="F86" s="429"/>
      <c r="G86" s="429"/>
      <c r="H86" s="210"/>
      <c r="I86" s="148"/>
      <c r="J86" s="148"/>
      <c r="K86" s="148"/>
      <c r="L86" s="205"/>
      <c r="M86" s="235" t="s">
        <v>358</v>
      </c>
      <c r="N86" s="209">
        <f>IF(Calculations!$L$52=TRUE,IF(AND(N83="A",Calculations!$B$101=TRUE),N35,0),0)</f>
        <v>0</v>
      </c>
      <c r="O86" s="209">
        <f>IF(Calculations!$L$52=TRUE,IF(AND(O83="A",Calculations!$B$101=TRUE),O35,0),0)</f>
        <v>0</v>
      </c>
      <c r="P86" s="209">
        <f>IF(Calculations!$L$52=TRUE,IF(AND(P83="A",Calculations!$B$101=TRUE),P35,0),0)</f>
        <v>0</v>
      </c>
      <c r="Q86" s="209">
        <f>IF(Calculations!$L$52=TRUE,IF(AND(Q83="A",Calculations!$B$101=TRUE),Q35,0),0)</f>
        <v>0</v>
      </c>
      <c r="R86" s="209">
        <f>IF(Calculations!$L$52=TRUE,IF(AND(R83="A",Calculations!$B$101=TRUE),R35,0),0)</f>
        <v>0</v>
      </c>
      <c r="S86" s="209">
        <f>IF(Calculations!$L$52=TRUE,IF(AND(S83="A",Calculations!$B$101=TRUE),S35,0),0)</f>
        <v>0</v>
      </c>
      <c r="T86" s="209">
        <f>IF(Calculations!$L$52=TRUE,IF(AND(T83="A",Calculations!$B$101=TRUE),T35,0),0)</f>
        <v>0</v>
      </c>
      <c r="U86" s="209">
        <f>IF(Calculations!$L$52=TRUE,IF(AND(U83="A",Calculations!$B$101=TRUE),U35,0),0)</f>
        <v>0</v>
      </c>
      <c r="V86" s="209">
        <f>IF(Calculations!$L$52=TRUE,IF(AND(V83="A",Calculations!$B$101=TRUE),V35,0),0)</f>
        <v>0</v>
      </c>
      <c r="W86" s="209">
        <f>IF(Calculations!$L$52=TRUE,IF(AND(W83="A",Calculations!$B$101=TRUE),W35,0),0)</f>
        <v>0</v>
      </c>
      <c r="X86" s="209">
        <f>IF(Calculations!$L$52=TRUE,IF(AND(X83="A",Calculations!$B$101=TRUE),X35,0),0)</f>
        <v>0</v>
      </c>
      <c r="Y86" s="209">
        <f>IF(Calculations!$L$52=TRUE,IF(AND(Y83="A",Calculations!$B$101=TRUE),Y35,0),0)</f>
        <v>0</v>
      </c>
      <c r="Z86" s="444"/>
      <c r="AD86" s="5"/>
      <c r="AE86" s="132"/>
      <c r="AF86" s="5"/>
      <c r="AG86" s="133"/>
      <c r="AH86" s="5"/>
      <c r="AI86" s="3"/>
      <c r="AJ86" s="5"/>
      <c r="AK86" s="37"/>
      <c r="AL86" s="5"/>
      <c r="AM86" s="9"/>
      <c r="AN86" s="5"/>
      <c r="AO86" s="9"/>
      <c r="AP86" s="5"/>
      <c r="AQ86" s="3"/>
      <c r="AR86" s="5"/>
      <c r="AS86" s="7"/>
      <c r="AT86" s="5"/>
      <c r="AU86" s="3"/>
      <c r="AV86" s="29"/>
    </row>
    <row r="87" spans="1:48" ht="14.25" hidden="1" customHeight="1">
      <c r="A87" s="51"/>
      <c r="B87" s="50"/>
      <c r="C87" s="23"/>
      <c r="D87" s="162"/>
      <c r="E87" s="428"/>
      <c r="F87" s="429"/>
      <c r="G87" s="429"/>
      <c r="H87" s="210"/>
      <c r="I87" s="148"/>
      <c r="J87" s="148"/>
      <c r="K87" s="148"/>
      <c r="L87" s="205"/>
      <c r="M87" s="235"/>
      <c r="N87" s="209"/>
      <c r="O87" s="209"/>
      <c r="P87" s="209"/>
      <c r="Q87" s="209"/>
      <c r="R87" s="209"/>
      <c r="S87" s="209"/>
      <c r="T87" s="209"/>
      <c r="U87" s="209"/>
      <c r="V87" s="209"/>
      <c r="W87" s="209"/>
      <c r="X87" s="209"/>
      <c r="Y87" s="209"/>
      <c r="Z87" s="444"/>
      <c r="AD87" s="5"/>
      <c r="AE87" s="132"/>
      <c r="AF87" s="5"/>
      <c r="AG87" s="133"/>
      <c r="AH87" s="5"/>
      <c r="AI87" s="3"/>
      <c r="AJ87" s="5"/>
      <c r="AK87" s="37"/>
      <c r="AL87" s="5"/>
      <c r="AM87" s="9"/>
      <c r="AN87" s="5"/>
      <c r="AO87" s="9"/>
      <c r="AP87" s="5"/>
      <c r="AQ87" s="3"/>
      <c r="AR87" s="5"/>
      <c r="AS87" s="7"/>
      <c r="AT87" s="5"/>
      <c r="AU87" s="3"/>
      <c r="AV87" s="29"/>
    </row>
    <row r="88" spans="1:48" ht="14.25" hidden="1" customHeight="1">
      <c r="A88" s="51"/>
      <c r="B88" s="50"/>
      <c r="C88" s="23"/>
      <c r="D88" s="162"/>
      <c r="E88" s="428"/>
      <c r="F88" s="429"/>
      <c r="G88" s="429"/>
      <c r="H88" s="210"/>
      <c r="I88" s="148"/>
      <c r="J88" s="148"/>
      <c r="K88" s="148"/>
      <c r="L88" s="205"/>
      <c r="M88" s="236" t="s">
        <v>55</v>
      </c>
      <c r="N88" s="209" t="str">
        <f>IF(Calculations!$L$53=TRUE,N39,"")</f>
        <v/>
      </c>
      <c r="O88" s="209" t="str">
        <f>IF(Calculations!$L$53=TRUE,O39,"")</f>
        <v/>
      </c>
      <c r="P88" s="209" t="str">
        <f>IF(Calculations!$L$53=TRUE,P39,"")</f>
        <v/>
      </c>
      <c r="Q88" s="209" t="str">
        <f>IF(Calculations!$L$53=TRUE,Q39,"")</f>
        <v/>
      </c>
      <c r="R88" s="209" t="str">
        <f>IF(Calculations!$L$53=TRUE,R39,"")</f>
        <v/>
      </c>
      <c r="S88" s="209" t="str">
        <f>IF(Calculations!$L$53=TRUE,S39,"")</f>
        <v/>
      </c>
      <c r="T88" s="209" t="str">
        <f>IF(Calculations!$L$53=TRUE,T39,"")</f>
        <v/>
      </c>
      <c r="U88" s="209" t="str">
        <f>IF(Calculations!$L$53=TRUE,U39,"")</f>
        <v/>
      </c>
      <c r="V88" s="209" t="str">
        <f>IF(Calculations!$L$53=TRUE,V39,"")</f>
        <v/>
      </c>
      <c r="W88" s="209" t="str">
        <f>IF(Calculations!$L$53=TRUE,W39,"")</f>
        <v/>
      </c>
      <c r="X88" s="209" t="str">
        <f>IF(Calculations!$L$53=TRUE,X39,"")</f>
        <v/>
      </c>
      <c r="Y88" s="209" t="str">
        <f>IF(Calculations!$L$53=TRUE,Y39,"")</f>
        <v/>
      </c>
      <c r="Z88" s="444"/>
      <c r="AD88" s="5"/>
      <c r="AE88" s="132"/>
      <c r="AF88" s="5"/>
      <c r="AG88" s="133"/>
      <c r="AH88" s="5"/>
      <c r="AI88" s="3"/>
      <c r="AJ88" s="5"/>
      <c r="AK88" s="37"/>
      <c r="AL88" s="5"/>
      <c r="AM88" s="9"/>
      <c r="AN88" s="5"/>
      <c r="AO88" s="9"/>
      <c r="AP88" s="5"/>
      <c r="AQ88" s="3"/>
      <c r="AR88" s="5"/>
      <c r="AS88" s="7"/>
      <c r="AT88" s="5"/>
      <c r="AU88" s="3"/>
      <c r="AV88" s="29"/>
    </row>
    <row r="89" spans="1:48" ht="14.25" hidden="1" customHeight="1">
      <c r="A89" s="51"/>
      <c r="B89" s="50"/>
      <c r="C89" s="23"/>
      <c r="D89" s="162"/>
      <c r="E89" s="428"/>
      <c r="F89" s="429"/>
      <c r="G89" s="429"/>
      <c r="H89" s="210"/>
      <c r="I89" s="148"/>
      <c r="J89" s="148"/>
      <c r="K89" s="148"/>
      <c r="L89" s="205"/>
      <c r="M89" s="236" t="s">
        <v>54</v>
      </c>
      <c r="N89" s="209" t="str">
        <f>IF(Calculations!$L$54=TRUE,N37,"")</f>
        <v/>
      </c>
      <c r="O89" s="209" t="str">
        <f>IF(Calculations!$L$54=TRUE,O37,"")</f>
        <v/>
      </c>
      <c r="P89" s="209" t="str">
        <f>IF(Calculations!$L$54=TRUE,P37,"")</f>
        <v/>
      </c>
      <c r="Q89" s="209" t="str">
        <f>IF(Calculations!$L$54=TRUE,Q37,"")</f>
        <v/>
      </c>
      <c r="R89" s="209" t="str">
        <f>IF(Calculations!$L$54=TRUE,R37,"")</f>
        <v/>
      </c>
      <c r="S89" s="209" t="str">
        <f>IF(Calculations!$L$54=TRUE,S37,"")</f>
        <v/>
      </c>
      <c r="T89" s="209" t="str">
        <f>IF(Calculations!$L$54=TRUE,T37,"")</f>
        <v/>
      </c>
      <c r="U89" s="209" t="str">
        <f>IF(Calculations!$L$54=TRUE,U37,"")</f>
        <v/>
      </c>
      <c r="V89" s="209" t="str">
        <f>IF(Calculations!$L$54=TRUE,V37,"")</f>
        <v/>
      </c>
      <c r="W89" s="209" t="str">
        <f>IF(Calculations!$L$54=TRUE,W37,"")</f>
        <v/>
      </c>
      <c r="X89" s="209" t="str">
        <f>IF(Calculations!$L$54=TRUE,X37,"")</f>
        <v/>
      </c>
      <c r="Y89" s="209" t="str">
        <f>IF(Calculations!$L$54=TRUE,Y37,"")</f>
        <v/>
      </c>
      <c r="Z89" s="444"/>
      <c r="AD89" s="5"/>
      <c r="AE89" s="132"/>
      <c r="AF89" s="5"/>
      <c r="AG89" s="133"/>
      <c r="AH89" s="5"/>
      <c r="AI89" s="3"/>
      <c r="AJ89" s="5"/>
      <c r="AK89" s="37"/>
      <c r="AL89" s="5"/>
      <c r="AM89" s="9"/>
      <c r="AN89" s="5"/>
      <c r="AO89" s="9"/>
      <c r="AP89" s="5"/>
      <c r="AQ89" s="3"/>
      <c r="AR89" s="5"/>
      <c r="AS89" s="7"/>
      <c r="AT89" s="5"/>
      <c r="AU89" s="3"/>
      <c r="AV89" s="29"/>
    </row>
    <row r="90" spans="1:48" ht="14.25" hidden="1" customHeight="1">
      <c r="A90" s="51"/>
      <c r="B90" s="50"/>
      <c r="C90" s="23"/>
      <c r="D90" s="162"/>
      <c r="E90" s="428"/>
      <c r="F90" s="429"/>
      <c r="G90" s="429"/>
      <c r="H90" s="210"/>
      <c r="I90" s="148"/>
      <c r="J90" s="148"/>
      <c r="K90" s="148"/>
      <c r="L90" s="205"/>
      <c r="M90" s="235"/>
      <c r="N90" s="209"/>
      <c r="O90" s="209"/>
      <c r="P90" s="209"/>
      <c r="Q90" s="209"/>
      <c r="R90" s="209"/>
      <c r="S90" s="209"/>
      <c r="T90" s="209"/>
      <c r="U90" s="209"/>
      <c r="V90" s="209"/>
      <c r="W90" s="209"/>
      <c r="X90" s="209"/>
      <c r="Y90" s="209"/>
      <c r="Z90" s="444"/>
      <c r="AD90" s="5"/>
      <c r="AE90" s="132"/>
      <c r="AF90" s="5"/>
      <c r="AG90" s="133"/>
      <c r="AH90" s="5"/>
      <c r="AI90" s="3"/>
      <c r="AJ90" s="5"/>
      <c r="AK90" s="37"/>
      <c r="AL90" s="5"/>
      <c r="AM90" s="9"/>
      <c r="AN90" s="5"/>
      <c r="AO90" s="9"/>
      <c r="AP90" s="5"/>
      <c r="AQ90" s="3"/>
      <c r="AR90" s="5"/>
      <c r="AS90" s="7"/>
      <c r="AT90" s="5"/>
      <c r="AU90" s="3"/>
      <c r="AV90" s="29"/>
    </row>
    <row r="91" spans="1:48" ht="20.25" customHeight="1">
      <c r="A91" s="51"/>
      <c r="B91" s="50"/>
      <c r="C91" s="23"/>
      <c r="D91" s="162"/>
      <c r="E91" s="428"/>
      <c r="F91" s="429"/>
      <c r="G91" s="429"/>
      <c r="H91" s="1334" t="s">
        <v>350</v>
      </c>
      <c r="I91" s="1335"/>
      <c r="J91" s="1332" t="s">
        <v>422</v>
      </c>
      <c r="K91" s="1333"/>
      <c r="L91" s="1333"/>
      <c r="M91" s="1051">
        <f>SUM(N91:Y91)</f>
        <v>0</v>
      </c>
      <c r="N91" s="1052">
        <f t="shared" ref="N91:Y91" si="4">N44+N50+N61+N67+N71+N75+N80+N81+N84+N88+N89</f>
        <v>0</v>
      </c>
      <c r="O91" s="1052">
        <f t="shared" si="4"/>
        <v>0</v>
      </c>
      <c r="P91" s="1052">
        <f t="shared" si="4"/>
        <v>0</v>
      </c>
      <c r="Q91" s="1052">
        <f t="shared" si="4"/>
        <v>0</v>
      </c>
      <c r="R91" s="1052">
        <f t="shared" si="4"/>
        <v>0</v>
      </c>
      <c r="S91" s="1052">
        <f t="shared" si="4"/>
        <v>0</v>
      </c>
      <c r="T91" s="1052">
        <f t="shared" si="4"/>
        <v>0</v>
      </c>
      <c r="U91" s="1052">
        <f t="shared" si="4"/>
        <v>0</v>
      </c>
      <c r="V91" s="1052">
        <f t="shared" si="4"/>
        <v>0</v>
      </c>
      <c r="W91" s="1052">
        <f t="shared" si="4"/>
        <v>0</v>
      </c>
      <c r="X91" s="1052">
        <f t="shared" si="4"/>
        <v>0</v>
      </c>
      <c r="Y91" s="1052">
        <f t="shared" si="4"/>
        <v>0</v>
      </c>
      <c r="Z91" s="444"/>
      <c r="AD91" s="5"/>
      <c r="AE91" s="132"/>
      <c r="AF91" s="5"/>
      <c r="AG91" s="133"/>
      <c r="AH91" s="5"/>
      <c r="AI91" s="3"/>
      <c r="AJ91" s="5"/>
      <c r="AK91" s="37"/>
      <c r="AL91" s="5"/>
      <c r="AM91" s="9"/>
      <c r="AN91" s="5"/>
      <c r="AO91" s="9"/>
      <c r="AP91" s="5"/>
      <c r="AQ91" s="3"/>
      <c r="AR91" s="5"/>
      <c r="AS91" s="7"/>
      <c r="AT91" s="5"/>
      <c r="AU91" s="3"/>
      <c r="AV91" s="29"/>
    </row>
    <row r="92" spans="1:48" ht="20.25" customHeight="1">
      <c r="A92" s="51"/>
      <c r="B92" s="50"/>
      <c r="C92" s="23"/>
      <c r="D92" s="162"/>
      <c r="E92" s="428"/>
      <c r="F92" s="429"/>
      <c r="G92" s="429"/>
      <c r="H92" s="1334" t="s">
        <v>435</v>
      </c>
      <c r="I92" s="1335"/>
      <c r="J92" s="1332" t="s">
        <v>422</v>
      </c>
      <c r="K92" s="1333"/>
      <c r="L92" s="1333"/>
      <c r="M92" s="1051">
        <f>SUM(N92:Y92)</f>
        <v>0</v>
      </c>
      <c r="N92" s="1052">
        <f t="shared" ref="N92:Y92" si="5">N45+N51+N54+N62+N68+N72+N76+N85</f>
        <v>0</v>
      </c>
      <c r="O92" s="1052">
        <f t="shared" si="5"/>
        <v>0</v>
      </c>
      <c r="P92" s="1052">
        <f t="shared" si="5"/>
        <v>0</v>
      </c>
      <c r="Q92" s="1052">
        <f t="shared" si="5"/>
        <v>0</v>
      </c>
      <c r="R92" s="1052">
        <f t="shared" si="5"/>
        <v>0</v>
      </c>
      <c r="S92" s="1052">
        <f t="shared" si="5"/>
        <v>0</v>
      </c>
      <c r="T92" s="1052">
        <f t="shared" si="5"/>
        <v>0</v>
      </c>
      <c r="U92" s="1052">
        <f t="shared" si="5"/>
        <v>0</v>
      </c>
      <c r="V92" s="1052">
        <f t="shared" si="5"/>
        <v>0</v>
      </c>
      <c r="W92" s="1052">
        <f t="shared" si="5"/>
        <v>0</v>
      </c>
      <c r="X92" s="1052">
        <f t="shared" si="5"/>
        <v>0</v>
      </c>
      <c r="Y92" s="1052">
        <f t="shared" si="5"/>
        <v>0</v>
      </c>
      <c r="Z92" s="444"/>
      <c r="AD92" s="5"/>
      <c r="AE92" s="132"/>
      <c r="AF92" s="5"/>
      <c r="AG92" s="133"/>
      <c r="AH92" s="5"/>
      <c r="AI92" s="3"/>
      <c r="AJ92" s="5"/>
      <c r="AK92" s="37"/>
      <c r="AL92" s="5"/>
      <c r="AM92" s="9"/>
      <c r="AN92" s="5"/>
      <c r="AO92" s="9"/>
      <c r="AP92" s="5"/>
      <c r="AQ92" s="3"/>
      <c r="AR92" s="5"/>
      <c r="AS92" s="7"/>
      <c r="AT92" s="5"/>
      <c r="AU92" s="3"/>
      <c r="AV92" s="29"/>
    </row>
    <row r="93" spans="1:48" ht="20.25" customHeight="1">
      <c r="A93" s="51"/>
      <c r="B93" s="50"/>
      <c r="C93" s="23"/>
      <c r="D93" s="162"/>
      <c r="E93" s="428"/>
      <c r="F93" s="429"/>
      <c r="G93" s="429"/>
      <c r="H93" s="1334" t="s">
        <v>420</v>
      </c>
      <c r="I93" s="1335"/>
      <c r="J93" s="1332" t="s">
        <v>422</v>
      </c>
      <c r="K93" s="1333"/>
      <c r="L93" s="1333"/>
      <c r="M93" s="1051">
        <f>SUM(N93:Y93)</f>
        <v>0</v>
      </c>
      <c r="N93" s="1052">
        <f t="shared" ref="N93:Y93" si="6">N46+N52+N55+N63+N69+N73+N77+N86</f>
        <v>0</v>
      </c>
      <c r="O93" s="1052">
        <f t="shared" si="6"/>
        <v>0</v>
      </c>
      <c r="P93" s="1052">
        <f t="shared" si="6"/>
        <v>0</v>
      </c>
      <c r="Q93" s="1052">
        <f t="shared" si="6"/>
        <v>0</v>
      </c>
      <c r="R93" s="1052">
        <f t="shared" si="6"/>
        <v>0</v>
      </c>
      <c r="S93" s="1052">
        <f t="shared" si="6"/>
        <v>0</v>
      </c>
      <c r="T93" s="1052">
        <f t="shared" si="6"/>
        <v>0</v>
      </c>
      <c r="U93" s="1052">
        <f t="shared" si="6"/>
        <v>0</v>
      </c>
      <c r="V93" s="1052">
        <f t="shared" si="6"/>
        <v>0</v>
      </c>
      <c r="W93" s="1052">
        <f t="shared" si="6"/>
        <v>0</v>
      </c>
      <c r="X93" s="1052">
        <f t="shared" si="6"/>
        <v>0</v>
      </c>
      <c r="Y93" s="1052">
        <f t="shared" si="6"/>
        <v>0</v>
      </c>
      <c r="Z93" s="444"/>
      <c r="AD93" s="5"/>
      <c r="AE93" s="132"/>
      <c r="AF93" s="5"/>
      <c r="AG93" s="133"/>
      <c r="AH93" s="5"/>
      <c r="AI93" s="3"/>
      <c r="AJ93" s="5"/>
      <c r="AK93" s="37"/>
      <c r="AL93" s="5"/>
      <c r="AM93" s="9"/>
      <c r="AN93" s="5"/>
      <c r="AO93" s="9"/>
      <c r="AP93" s="5"/>
      <c r="AQ93" s="3"/>
      <c r="AR93" s="5"/>
      <c r="AS93" s="7"/>
      <c r="AT93" s="5"/>
      <c r="AU93" s="3"/>
      <c r="AV93" s="29"/>
    </row>
    <row r="94" spans="1:48" ht="14.25" customHeight="1">
      <c r="A94" s="51"/>
      <c r="B94" s="50"/>
      <c r="C94" s="23"/>
      <c r="D94" s="162"/>
      <c r="E94" s="428"/>
      <c r="F94" s="429"/>
      <c r="G94" s="429" t="s">
        <v>325</v>
      </c>
      <c r="H94" s="442" t="s">
        <v>325</v>
      </c>
      <c r="I94" s="442" t="s">
        <v>325</v>
      </c>
      <c r="J94" s="442" t="s">
        <v>325</v>
      </c>
      <c r="K94" s="442"/>
      <c r="L94" s="442"/>
      <c r="M94" s="442"/>
      <c r="N94" s="442"/>
      <c r="O94" s="442"/>
      <c r="P94" s="442"/>
      <c r="Q94" s="442"/>
      <c r="R94" s="442"/>
      <c r="S94" s="442"/>
      <c r="T94" s="442"/>
      <c r="U94" s="442"/>
      <c r="V94" s="442"/>
      <c r="W94" s="442"/>
      <c r="X94" s="442"/>
      <c r="Y94" s="442"/>
      <c r="Z94" s="444"/>
      <c r="AD94" s="5"/>
      <c r="AE94" s="132"/>
      <c r="AF94" s="5"/>
      <c r="AG94" s="133"/>
      <c r="AH94" s="5"/>
      <c r="AI94" s="3"/>
      <c r="AJ94" s="5"/>
      <c r="AK94" s="37"/>
      <c r="AL94" s="5"/>
      <c r="AM94" s="9"/>
      <c r="AN94" s="5"/>
      <c r="AO94" s="9"/>
      <c r="AP94" s="5"/>
      <c r="AQ94" s="3"/>
      <c r="AR94" s="5"/>
      <c r="AS94" s="7"/>
      <c r="AT94" s="5"/>
      <c r="AU94" s="3"/>
      <c r="AV94" s="29"/>
    </row>
    <row r="95" spans="1:48" ht="34.5" customHeight="1" thickBot="1">
      <c r="A95" s="27"/>
      <c r="B95" s="23"/>
      <c r="C95" s="23"/>
      <c r="D95" s="162"/>
      <c r="E95" s="439"/>
      <c r="F95" s="440"/>
      <c r="G95" s="441" t="s">
        <v>325</v>
      </c>
      <c r="H95" s="441" t="s">
        <v>325</v>
      </c>
      <c r="I95" s="441" t="s">
        <v>325</v>
      </c>
      <c r="J95" s="441" t="s">
        <v>325</v>
      </c>
      <c r="K95" s="441"/>
      <c r="L95" s="441"/>
      <c r="M95" s="450"/>
      <c r="N95" s="441"/>
      <c r="O95" s="441"/>
      <c r="P95" s="441"/>
      <c r="Q95" s="441"/>
      <c r="R95" s="441"/>
      <c r="S95" s="441"/>
      <c r="T95" s="441"/>
      <c r="U95" s="441"/>
      <c r="V95" s="441"/>
      <c r="W95" s="441"/>
      <c r="X95" s="441"/>
      <c r="Y95" s="441"/>
      <c r="Z95" s="447"/>
      <c r="AA95" s="30"/>
      <c r="AB95" s="30"/>
      <c r="AC95" s="34"/>
      <c r="AD95" s="5"/>
      <c r="AE95" s="137"/>
      <c r="AF95" s="5"/>
      <c r="AG95" s="137"/>
      <c r="AH95" s="5"/>
      <c r="AI95" s="3"/>
      <c r="AJ95" s="5"/>
      <c r="AK95" s="37"/>
      <c r="AL95" s="5"/>
      <c r="AM95" s="9"/>
      <c r="AN95" s="5"/>
      <c r="AO95" s="9"/>
      <c r="AP95" s="5"/>
      <c r="AQ95" s="3"/>
      <c r="AR95" s="5"/>
      <c r="AS95" s="7"/>
      <c r="AT95" s="5"/>
      <c r="AU95" s="3"/>
      <c r="AV95" s="29"/>
    </row>
    <row r="96" spans="1:48" ht="19.5" customHeight="1" thickBot="1">
      <c r="A96" s="23"/>
      <c r="B96" s="23"/>
      <c r="C96" s="23"/>
      <c r="D96" s="23"/>
      <c r="E96" s="614"/>
      <c r="F96" s="615"/>
      <c r="G96" s="23"/>
      <c r="H96" s="23"/>
      <c r="I96" s="23"/>
      <c r="J96" s="23"/>
      <c r="K96" s="23"/>
      <c r="M96" s="23"/>
      <c r="N96" s="23"/>
      <c r="O96" s="23"/>
      <c r="P96" s="23"/>
      <c r="Q96" s="23"/>
      <c r="R96" s="23"/>
      <c r="S96" s="23"/>
      <c r="T96" s="23"/>
      <c r="U96" s="23"/>
      <c r="V96" s="23"/>
      <c r="W96" s="23"/>
      <c r="X96" s="23"/>
      <c r="Y96" s="23"/>
      <c r="Z96" s="157"/>
      <c r="AA96" s="158"/>
      <c r="AB96" s="47"/>
      <c r="AC96" s="34"/>
      <c r="AD96" s="5"/>
      <c r="AE96" s="3"/>
      <c r="AF96" s="5"/>
      <c r="AG96" s="3"/>
      <c r="AH96" s="5"/>
      <c r="AI96" s="3"/>
      <c r="AJ96" s="5"/>
      <c r="AK96" s="37"/>
      <c r="AL96" s="5"/>
      <c r="AM96" s="9"/>
      <c r="AN96" s="5"/>
      <c r="AO96" s="9"/>
      <c r="AP96" s="5"/>
      <c r="AQ96" s="3"/>
      <c r="AR96" s="5"/>
      <c r="AS96" s="7"/>
      <c r="AT96" s="5"/>
      <c r="AV96" s="29"/>
    </row>
    <row r="97" spans="1:48" ht="35.25" customHeight="1" thickBot="1">
      <c r="A97" s="23"/>
      <c r="B97" s="23"/>
      <c r="C97" s="23"/>
      <c r="D97" s="23"/>
      <c r="E97" s="453"/>
      <c r="F97" s="1342" t="s">
        <v>436</v>
      </c>
      <c r="G97" s="1342"/>
      <c r="H97" s="1342"/>
      <c r="I97" s="1342"/>
      <c r="J97" s="1342"/>
      <c r="K97" s="1342"/>
      <c r="L97" s="1342"/>
      <c r="M97" s="1342"/>
      <c r="N97" s="1342"/>
      <c r="O97" s="1342"/>
      <c r="P97" s="1342"/>
      <c r="Q97" s="1342"/>
      <c r="R97" s="1342"/>
      <c r="S97" s="1342"/>
      <c r="T97" s="1342"/>
      <c r="U97" s="1342"/>
      <c r="V97" s="1342"/>
      <c r="W97" s="1342"/>
      <c r="X97" s="1342"/>
      <c r="Y97" s="1342"/>
      <c r="Z97" s="454"/>
      <c r="AD97" s="5"/>
      <c r="AE97" s="3"/>
      <c r="AF97" s="5"/>
      <c r="AG97" s="3"/>
      <c r="AH97" s="5"/>
      <c r="AI97" s="3"/>
      <c r="AJ97" s="5"/>
      <c r="AK97" s="37"/>
      <c r="AL97" s="5"/>
      <c r="AM97" s="9"/>
      <c r="AN97" s="5"/>
      <c r="AO97" s="9"/>
      <c r="AP97" s="5"/>
      <c r="AQ97" s="3"/>
      <c r="AR97" s="5"/>
      <c r="AS97" s="7"/>
      <c r="AT97" s="5"/>
      <c r="AV97" s="29"/>
    </row>
    <row r="98" spans="1:48" ht="114.6" customHeight="1" thickBot="1">
      <c r="A98" s="23"/>
      <c r="B98" s="23"/>
      <c r="C98" s="23"/>
      <c r="D98" s="23"/>
      <c r="E98" s="584"/>
      <c r="F98" s="1268" t="s">
        <v>726</v>
      </c>
      <c r="G98" s="1268"/>
      <c r="H98" s="1268"/>
      <c r="I98" s="1268"/>
      <c r="J98" s="1268"/>
      <c r="K98" s="1268"/>
      <c r="L98" s="1268"/>
      <c r="M98" s="1268"/>
      <c r="N98" s="1268"/>
      <c r="O98" s="1268"/>
      <c r="P98" s="1268"/>
      <c r="Q98" s="1268"/>
      <c r="R98" s="1268"/>
      <c r="S98" s="1268"/>
      <c r="T98" s="1268"/>
      <c r="U98" s="1268"/>
      <c r="V98" s="1268"/>
      <c r="W98" s="1268"/>
      <c r="X98" s="1268"/>
      <c r="Y98" s="1269"/>
      <c r="Z98" s="457"/>
      <c r="AD98" s="5"/>
      <c r="AE98" s="3"/>
      <c r="AF98" s="5"/>
      <c r="AG98" s="3"/>
      <c r="AH98" s="5"/>
      <c r="AI98" s="3"/>
      <c r="AJ98" s="5"/>
      <c r="AK98" s="37"/>
      <c r="AL98" s="5"/>
      <c r="AM98" s="9"/>
      <c r="AN98" s="5"/>
      <c r="AO98" s="9"/>
      <c r="AP98" s="5"/>
      <c r="AQ98" s="3"/>
      <c r="AR98" s="5"/>
      <c r="AS98" s="7"/>
      <c r="AT98" s="5"/>
      <c r="AV98" s="29"/>
    </row>
    <row r="99" spans="1:48">
      <c r="A99" s="23"/>
      <c r="B99" s="23"/>
      <c r="C99" s="23"/>
      <c r="D99" s="23"/>
      <c r="E99" s="194"/>
      <c r="F99" s="455"/>
      <c r="G99" s="456"/>
      <c r="H99" s="456"/>
      <c r="I99" s="456"/>
      <c r="J99" s="456"/>
      <c r="K99" s="456"/>
      <c r="L99" s="456"/>
      <c r="M99" s="456"/>
      <c r="N99" s="456"/>
      <c r="O99" s="456"/>
      <c r="P99" s="456"/>
      <c r="Q99" s="456"/>
      <c r="R99" s="456"/>
      <c r="S99" s="456"/>
      <c r="T99" s="456"/>
      <c r="U99" s="456"/>
      <c r="V99" s="456"/>
      <c r="W99" s="456"/>
      <c r="X99" s="456"/>
      <c r="Y99" s="456"/>
      <c r="Z99" s="457"/>
      <c r="AD99" s="5"/>
      <c r="AE99" s="3"/>
      <c r="AF99" s="5"/>
      <c r="AG99" s="3"/>
      <c r="AH99" s="5"/>
      <c r="AI99" s="3"/>
      <c r="AJ99" s="5"/>
      <c r="AK99" s="37"/>
      <c r="AL99" s="5"/>
      <c r="AM99" s="9"/>
      <c r="AN99" s="5"/>
      <c r="AO99" s="9"/>
      <c r="AP99" s="5"/>
      <c r="AQ99" s="3"/>
      <c r="AR99" s="5"/>
      <c r="AS99" s="7"/>
      <c r="AT99" s="5"/>
      <c r="AV99" s="29"/>
    </row>
    <row r="100" spans="1:48" ht="16.5" customHeight="1">
      <c r="A100" s="23"/>
      <c r="B100" s="23"/>
      <c r="C100" s="23"/>
      <c r="D100" s="23"/>
      <c r="E100" s="1348" t="s">
        <v>333</v>
      </c>
      <c r="F100" s="1349"/>
      <c r="G100" s="206" t="s">
        <v>342</v>
      </c>
      <c r="H100" s="170"/>
      <c r="I100" s="170"/>
      <c r="J100" s="1270" t="s">
        <v>492</v>
      </c>
      <c r="K100" s="471" t="s">
        <v>78</v>
      </c>
      <c r="L100" s="422" t="s">
        <v>88</v>
      </c>
      <c r="M100" s="173"/>
      <c r="N100" s="1343" t="s">
        <v>437</v>
      </c>
      <c r="O100" s="1343"/>
      <c r="P100" s="1343"/>
      <c r="Q100" s="1343"/>
      <c r="R100" s="1343"/>
      <c r="S100" s="1343"/>
      <c r="T100" s="1343"/>
      <c r="U100" s="1343"/>
      <c r="V100" s="1343"/>
      <c r="W100" s="1343"/>
      <c r="X100" s="1343"/>
      <c r="Y100" s="1344"/>
      <c r="Z100" s="457"/>
      <c r="AA100" s="5"/>
      <c r="AB100" s="30"/>
      <c r="AD100" s="5"/>
      <c r="AF100" s="5"/>
      <c r="AH100" s="5"/>
      <c r="AI100" s="34"/>
      <c r="AJ100" s="5"/>
      <c r="AK100" s="39"/>
      <c r="AL100" s="5"/>
      <c r="AM100" s="40"/>
      <c r="AN100" s="5"/>
      <c r="AO100" s="40"/>
      <c r="AP100" s="5"/>
      <c r="AQ100" s="41"/>
      <c r="AR100" s="5"/>
      <c r="AS100" s="41"/>
      <c r="AT100" s="5"/>
      <c r="AU100" s="3"/>
      <c r="AV100" s="29"/>
    </row>
    <row r="101" spans="1:48" ht="16.5" customHeight="1">
      <c r="A101" s="23"/>
      <c r="B101" s="23"/>
      <c r="C101" s="23"/>
      <c r="D101" s="23"/>
      <c r="E101" s="1348"/>
      <c r="F101" s="1349"/>
      <c r="G101" s="174" t="s">
        <v>359</v>
      </c>
      <c r="H101" s="415" t="s">
        <v>81</v>
      </c>
      <c r="I101" s="159" t="s">
        <v>65</v>
      </c>
      <c r="J101" s="1271"/>
      <c r="K101" s="159" t="s">
        <v>66</v>
      </c>
      <c r="L101" s="165" t="s">
        <v>79</v>
      </c>
      <c r="M101" s="168" t="s">
        <v>80</v>
      </c>
      <c r="N101" s="1345"/>
      <c r="O101" s="1345"/>
      <c r="P101" s="1345"/>
      <c r="Q101" s="1345"/>
      <c r="R101" s="1345"/>
      <c r="S101" s="1345"/>
      <c r="T101" s="1345"/>
      <c r="U101" s="1345"/>
      <c r="V101" s="1345"/>
      <c r="W101" s="1345"/>
      <c r="X101" s="1345"/>
      <c r="Y101" s="1346"/>
      <c r="Z101" s="457"/>
      <c r="AA101" s="5"/>
      <c r="AB101" s="30"/>
      <c r="AD101" s="34"/>
      <c r="AE101" s="34"/>
      <c r="AF101" s="34"/>
      <c r="AG101" s="34"/>
      <c r="AH101" s="34"/>
      <c r="AI101" s="3"/>
      <c r="AJ101" s="5"/>
      <c r="AK101" s="37"/>
      <c r="AL101" s="5"/>
      <c r="AM101" s="9"/>
      <c r="AN101" s="5"/>
      <c r="AO101" s="9"/>
      <c r="AP101" s="5"/>
      <c r="AQ101" s="37"/>
      <c r="AR101" s="5"/>
      <c r="AT101" s="5"/>
      <c r="AU101" s="3"/>
      <c r="AV101" s="29"/>
    </row>
    <row r="102" spans="1:48" ht="24.75" customHeight="1">
      <c r="A102" s="23"/>
      <c r="B102" s="23"/>
      <c r="C102" s="23"/>
      <c r="D102" s="23"/>
      <c r="E102" s="1348"/>
      <c r="F102" s="1349"/>
      <c r="G102" s="175" t="s">
        <v>37</v>
      </c>
      <c r="H102" s="416" t="s">
        <v>467</v>
      </c>
      <c r="I102" s="166" t="s">
        <v>82</v>
      </c>
      <c r="J102" s="167" t="s">
        <v>338</v>
      </c>
      <c r="K102" s="166" t="s">
        <v>83</v>
      </c>
      <c r="L102" s="167" t="s">
        <v>84</v>
      </c>
      <c r="M102" s="169" t="s">
        <v>83</v>
      </c>
      <c r="N102" s="166" t="s">
        <v>91</v>
      </c>
      <c r="O102" s="166" t="s">
        <v>40</v>
      </c>
      <c r="P102" s="166" t="s">
        <v>41</v>
      </c>
      <c r="Q102" s="166" t="s">
        <v>42</v>
      </c>
      <c r="R102" s="166" t="s">
        <v>94</v>
      </c>
      <c r="S102" s="166" t="s">
        <v>330</v>
      </c>
      <c r="T102" s="166" t="s">
        <v>96</v>
      </c>
      <c r="U102" s="166" t="s">
        <v>97</v>
      </c>
      <c r="V102" s="166" t="s">
        <v>98</v>
      </c>
      <c r="W102" s="166" t="s">
        <v>331</v>
      </c>
      <c r="X102" s="166" t="s">
        <v>332</v>
      </c>
      <c r="Y102" s="176" t="s">
        <v>90</v>
      </c>
      <c r="Z102" s="457"/>
      <c r="AC102" s="30"/>
      <c r="AD102" s="34"/>
      <c r="AE102" s="34"/>
      <c r="AF102" s="34"/>
      <c r="AG102" s="34"/>
      <c r="AH102" s="34"/>
      <c r="AI102" s="43"/>
      <c r="AJ102" s="5"/>
      <c r="AL102" s="5"/>
      <c r="AN102" s="5"/>
      <c r="AP102" s="5"/>
      <c r="AQ102" s="42"/>
      <c r="AR102" s="5"/>
      <c r="AT102" s="5"/>
      <c r="AU102" s="41"/>
      <c r="AV102" s="29"/>
    </row>
    <row r="103" spans="1:48" ht="15.95" customHeight="1">
      <c r="A103" s="23"/>
      <c r="B103" s="23"/>
      <c r="C103" s="23"/>
      <c r="D103" s="23"/>
      <c r="E103" s="194"/>
      <c r="F103" s="458"/>
      <c r="G103" s="1322"/>
      <c r="H103" s="241"/>
      <c r="I103" s="58"/>
      <c r="J103" s="55"/>
      <c r="K103" s="17">
        <f t="shared" ref="K103:K117" si="7">I103*J103</f>
        <v>0</v>
      </c>
      <c r="L103" s="245"/>
      <c r="M103" s="17">
        <f>K103*L103/100</f>
        <v>0</v>
      </c>
      <c r="N103" s="10" t="str">
        <f>IF($H103="","",IF(HayMonth1=0,VLOOKUP($H103,FORAGE2,3)*($M103),IF(AND(HayMonth1&gt;0,HayMonth1&lt;4),VLOOKUP($H103,FORAGE2,3)*($M103),0)))</f>
        <v/>
      </c>
      <c r="O103" s="10" t="str">
        <f>IF($H103="","",IF(HayMonth1=0,VLOOKUP($H103,FORAGE2,4)*($M103),IF(AND(HayMonth1&gt;0,HayMonth1&lt;5),VLOOKUP($H103,FORAGE2,4)*($M103),0)))</f>
        <v/>
      </c>
      <c r="P103" s="10" t="str">
        <f>IF($H103="","",IF(HayMonth1=0,VLOOKUP($H103,FORAGE2,5)*($M103),IF(AND(HayMonth1&gt;0,HayMonth1&lt;6),VLOOKUP($H103,FORAGE2,5)*($M103),0)))</f>
        <v/>
      </c>
      <c r="Q103" s="10" t="str">
        <f>IF($H103="","",IF(HayMonth1=0,VLOOKUP($H103,FORAGE2,6)*($M103),IF(AND(HayMonth1&gt;0,HayMonth1&lt;7),VLOOKUP($H103,FORAGE2,6)*($M103),0)))</f>
        <v/>
      </c>
      <c r="R103" s="10" t="str">
        <f>IF($H103="","",IF(HayMonth1=0,VLOOKUP($H103,FORAGE2,7)*($M103),IF(AND(HayMonth1&gt;0,HayMonth1&lt;8),VLOOKUP($H103,FORAGE2,7)*($M103),0)))</f>
        <v/>
      </c>
      <c r="S103" s="10" t="str">
        <f>IF($H103="","",IF(HayMonth1=0,VLOOKUP($H103,FORAGE2,8)*($M103),IF(AND(HayMonth1&gt;0,HayMonth1&lt;9),VLOOKUP($H103,FORAGE2,8)*($M103),0)))</f>
        <v/>
      </c>
      <c r="T103" s="10" t="str">
        <f>IF($H103="","",IF(HayMonth1=0,VLOOKUP($H103,FORAGE2,9)*($M103),IF(AND(HayMonth1&gt;0,HayMonth1&lt;10),VLOOKUP($H103,FORAGE2,9)*($M103),0)))</f>
        <v/>
      </c>
      <c r="U103" s="10" t="str">
        <f>IF($H103="","",IF(HayMonth1=0,VLOOKUP($H103,FORAGE2,10)*($M103),IF(AND(HayMonth1&gt;0,HayMonth1&lt;11),VLOOKUP($H103,FORAGE2,10)*($M103),0)))</f>
        <v/>
      </c>
      <c r="V103" s="10" t="str">
        <f>IF($H103="","",IF(HayMonth1=0,VLOOKUP($H103,FORAGE2,11)*($M103),IF(AND(HayMonth1&gt;0,HayMonth1&lt;12),VLOOKUP($H103,FORAGE2,11)*($M103),0)))</f>
        <v/>
      </c>
      <c r="W103" s="10" t="str">
        <f>IF($H103="","",IF(HayMonth1=0,VLOOKUP($H103,FORAGE2,12)*($M103),IF(AND(HayMonth1&gt;0,HayMonth1&lt;1),VLOOKUP($H103,FORAGE2,12)*($M103),0)))</f>
        <v/>
      </c>
      <c r="X103" s="10" t="str">
        <f>IF($H103="","",IF(HayMonth1=0,VLOOKUP($H103,FORAGE2,13)*($M103),IF(AND(HayMonth1&gt;0,HayMonth1&lt;2),VLOOKUP($H103,FORAGE2,13)*($M103),0)))</f>
        <v/>
      </c>
      <c r="Y103" s="10" t="str">
        <f>IF($H103="","",IF(HayMonth1=0,VLOOKUP($H103,FORAGE2,14)*($M103),IF(AND(HayMonth1&gt;0,HayMonth1&lt;3),VLOOKUP($H103,FORAGE2,14)*($M103),0)))</f>
        <v/>
      </c>
      <c r="Z103" s="457"/>
      <c r="AA103" s="49"/>
      <c r="AC103" s="47"/>
      <c r="AE103" s="5"/>
      <c r="AG103" s="30"/>
      <c r="AH103" s="30"/>
      <c r="AI103" s="43"/>
      <c r="AJ103" s="5"/>
      <c r="AL103" s="5"/>
      <c r="AN103" s="5"/>
      <c r="AP103" s="5"/>
      <c r="AR103" s="5"/>
      <c r="AT103" s="5"/>
      <c r="AU103" s="3"/>
      <c r="AV103" s="29"/>
    </row>
    <row r="104" spans="1:48" ht="15.75" customHeight="1">
      <c r="A104" s="23"/>
      <c r="B104" s="23"/>
      <c r="C104" s="23"/>
      <c r="D104" s="23"/>
      <c r="E104" s="194"/>
      <c r="F104" s="195"/>
      <c r="G104" s="1323"/>
      <c r="H104" s="983" t="s">
        <v>725</v>
      </c>
      <c r="I104" s="1041" t="str">
        <f>IF(HayMonth1&gt;0,"Hay cut in:","")</f>
        <v/>
      </c>
      <c r="J104" s="1042" t="str">
        <f>IF(HayMonth1=0,"",IF(HayMonth1=1,"Jan",IF(HayMonth1=2,"Feb",IF(HayMonth1=3,"Mar",IF(HayMonth1=4,"Apr",IF(HayMonth1=5,"May",IF(HayMonth1=6,"Jun",IF(HayMonth1=7,"Jul",IF(HayMonth1=8,"Aug",IF(HayMonth1=9,"Sep",IF(HayMonth1=10,"Oct",IF(HayMonth1=11,"Nov","Dec"))))))))))))</f>
        <v/>
      </c>
      <c r="K104" s="243"/>
      <c r="L104" s="980"/>
      <c r="M104" s="144"/>
      <c r="N104" s="136"/>
      <c r="O104" s="136"/>
      <c r="P104" s="143"/>
      <c r="Q104" s="134"/>
      <c r="R104" s="136"/>
      <c r="S104" s="136"/>
      <c r="T104" s="136"/>
      <c r="U104" s="136"/>
      <c r="V104" s="136"/>
      <c r="W104" s="136"/>
      <c r="X104" s="136"/>
      <c r="Y104" s="142"/>
      <c r="Z104" s="457"/>
      <c r="AE104" s="5"/>
      <c r="AG104" s="30"/>
      <c r="AH104" s="30"/>
      <c r="AI104" s="34"/>
      <c r="AJ104" s="34"/>
      <c r="AK104" s="34"/>
      <c r="AL104" s="34"/>
      <c r="AM104" s="34"/>
      <c r="AN104" s="34"/>
      <c r="AO104" s="34"/>
      <c r="AP104" s="34"/>
      <c r="AR104" s="5"/>
      <c r="AT104" s="5"/>
      <c r="AV104" s="29"/>
    </row>
    <row r="105" spans="1:48" ht="15.95" customHeight="1">
      <c r="A105" s="23"/>
      <c r="B105" s="23"/>
      <c r="C105" s="23"/>
      <c r="D105" s="23"/>
      <c r="E105" s="194"/>
      <c r="F105" s="195"/>
      <c r="G105" s="1322"/>
      <c r="H105" s="241"/>
      <c r="I105" s="58"/>
      <c r="J105" s="55"/>
      <c r="K105" s="10">
        <f>I105*J105</f>
        <v>0</v>
      </c>
      <c r="L105" s="245"/>
      <c r="M105" s="17">
        <f>K105*L105/100</f>
        <v>0</v>
      </c>
      <c r="N105" s="17" t="str">
        <f>IF($H105="","",IF(HayMonth2=0,VLOOKUP($H105,FORAGE2,3)*($M105),IF(AND(HayMonth2&gt;0,HayMonth2&lt;4),VLOOKUP($H105,FORAGE2,3)*($M105),0)))</f>
        <v/>
      </c>
      <c r="O105" s="17" t="str">
        <f>IF($H105="","",IF(HayMonth2=0,VLOOKUP($H105,FORAGE2,4)*($M105),IF(AND(HayMonth2&gt;0,HayMonth2&lt;5),VLOOKUP($H105,FORAGE2,4)*($M105),0)))</f>
        <v/>
      </c>
      <c r="P105" s="17" t="str">
        <f>IF($H105="","",IF(HayMonth2=0,VLOOKUP($H105,FORAGE2,5)*($M105),IF(AND(HayMonth2&gt;0,HayMonth2&lt;6),VLOOKUP($H105,FORAGE2,5)*($M105),0)))</f>
        <v/>
      </c>
      <c r="Q105" s="17" t="str">
        <f>IF($H105="","",IF(HayMonth2=0,VLOOKUP($H105,FORAGE2,6)*($M105),IF(AND(HayMonth2&gt;0,HayMonth2&lt;7),VLOOKUP($H105,FORAGE2,6)*($M105),0)))</f>
        <v/>
      </c>
      <c r="R105" s="17" t="str">
        <f>IF($H105="","",IF(HayMonth2=0,VLOOKUP($H105,FORAGE2,7)*($M105),IF(AND(HayMonth2&gt;0,HayMonth2&lt;8),VLOOKUP($H105,FORAGE2,7)*($M105),0)))</f>
        <v/>
      </c>
      <c r="S105" s="17" t="str">
        <f>IF($H105="","",IF(HayMonth2=0,VLOOKUP($H105,FORAGE2,8)*($M105),IF(AND(HayMonth2&gt;0,HayMonth2&lt;9),VLOOKUP($H105,FORAGE2,8)*($M105),0)))</f>
        <v/>
      </c>
      <c r="T105" s="17" t="str">
        <f>IF($H105="","",IF(HayMonth2=0,VLOOKUP($H105,FORAGE2,9)*($M105),IF(AND(HayMonth2&gt;0,HayMonth2&lt;10),VLOOKUP($H105,FORAGE2,9)*($M105),0)))</f>
        <v/>
      </c>
      <c r="U105" s="17" t="str">
        <f>IF($H105="","",IF(HayMonth2=0,VLOOKUP($H105,FORAGE2,10)*($M105),IF(AND(HayMonth2&gt;0,HayMonth2&lt;11),VLOOKUP($H105,FORAGE2,10)*($M105),0)))</f>
        <v/>
      </c>
      <c r="V105" s="17" t="str">
        <f>IF($H105="","",IF(HayMonth2=0,VLOOKUP($H105,FORAGE2,11)*($M105),IF(AND(HayMonth2&gt;0,HayMonth2&lt;12),VLOOKUP($H105,FORAGE2,11)*($M105),0)))</f>
        <v/>
      </c>
      <c r="W105" s="17" t="str">
        <f>IF($H105="","",IF(HayMonth2=0,VLOOKUP($H105,FORAGE2,12)*($M105),IF(AND(HayMonth2&gt;0,HayMonth2&lt;1),VLOOKUP($H105,FORAGE2,12)*($M105),0)))</f>
        <v/>
      </c>
      <c r="X105" s="17" t="str">
        <f>IF($H105="","",IF(HayMonth2=0,VLOOKUP($H105,FORAGE2,13)*($M105),IF(AND(HayMonth2&gt;0,HayMonth2&lt;2),VLOOKUP($H105,FORAGE2,13)*($M105),0)))</f>
        <v/>
      </c>
      <c r="Y105" s="17" t="str">
        <f>IF($H105="","",IF(HayMonth2=0,VLOOKUP($H105,FORAGE2,14)*($M105),IF(AND(HayMonth2&gt;0,HayMonth2&lt;3),VLOOKUP($H105,FORAGE2,14)*($M105),0)))</f>
        <v/>
      </c>
      <c r="Z105" s="461"/>
      <c r="AA105" s="29"/>
      <c r="AC105" s="30"/>
      <c r="AF105" s="30"/>
      <c r="AG105" s="30"/>
      <c r="AH105" s="30"/>
      <c r="AI105" s="34"/>
      <c r="AJ105" s="34"/>
      <c r="AK105" s="34"/>
      <c r="AL105" s="34"/>
      <c r="AM105" s="34"/>
      <c r="AN105" s="34"/>
      <c r="AO105" s="34"/>
      <c r="AP105" s="34"/>
      <c r="AQ105" s="34"/>
      <c r="AR105" s="34"/>
      <c r="AS105" s="34"/>
      <c r="AT105" s="34"/>
      <c r="AU105" s="34"/>
      <c r="AV105" s="29"/>
    </row>
    <row r="106" spans="1:48" ht="15.75" customHeight="1">
      <c r="A106" s="23"/>
      <c r="B106" s="23"/>
      <c r="C106" s="23"/>
      <c r="D106" s="23"/>
      <c r="E106" s="194"/>
      <c r="F106" s="195"/>
      <c r="G106" s="1323"/>
      <c r="H106" s="983" t="s">
        <v>725</v>
      </c>
      <c r="I106" s="1041" t="str">
        <f>IF(HayMonth2&gt;0,"Hay cut in:","")</f>
        <v/>
      </c>
      <c r="J106" s="1042" t="str">
        <f>IF(HayMonth2=0,"",IF(HayMonth2=1,"Jan",IF(HayMonth2=2,"Feb",IF(HayMonth2=3,"Mar",IF(HayMonth2=4,"Apr",IF(HayMonth2=5,"May",IF(HayMonth2=6,"Jun",IF(HayMonth2=7,"Jul",IF(HayMonth2=8,"Aug",IF(HayMonth2=9,"Sep",IF(HayMonth2=10,"Oct",IF(HayMonth2=11,"Nov","Dec"))))))))))))</f>
        <v/>
      </c>
      <c r="K106" s="146"/>
      <c r="L106" s="980"/>
      <c r="M106" s="136"/>
      <c r="N106" s="136"/>
      <c r="O106" s="136"/>
      <c r="P106" s="136"/>
      <c r="Q106" s="134"/>
      <c r="R106" s="136"/>
      <c r="S106" s="136"/>
      <c r="T106" s="136"/>
      <c r="U106" s="136"/>
      <c r="V106" s="136"/>
      <c r="W106" s="136"/>
      <c r="X106" s="136"/>
      <c r="Y106" s="142"/>
      <c r="Z106" s="457"/>
      <c r="AC106" s="30"/>
      <c r="AD106" s="30"/>
      <c r="AE106" s="30"/>
      <c r="AF106" s="30"/>
      <c r="AG106" s="30"/>
      <c r="AI106" s="6"/>
      <c r="AJ106" s="7"/>
      <c r="AK106" s="6"/>
      <c r="AL106" s="30"/>
      <c r="AM106" s="30"/>
      <c r="AN106" s="30"/>
      <c r="AO106" s="9"/>
      <c r="AQ106" s="34"/>
      <c r="AR106" s="34"/>
      <c r="AS106" s="34"/>
      <c r="AT106" s="34"/>
      <c r="AU106" s="34"/>
      <c r="AV106" s="29"/>
    </row>
    <row r="107" spans="1:48" ht="15.95" hidden="1" customHeight="1">
      <c r="E107" s="194"/>
      <c r="F107" s="195"/>
      <c r="G107" s="1322"/>
      <c r="H107" s="241"/>
      <c r="I107" s="58"/>
      <c r="J107" s="55"/>
      <c r="K107" s="10">
        <f t="shared" si="7"/>
        <v>0</v>
      </c>
      <c r="L107" s="245" t="str">
        <f>IF(ISBLANK(Field3)="",(VLOOKUP(ROUND(TotalAcreGrazed/Acres3,0),[0]!PastureEffTable,2,)),"")</f>
        <v/>
      </c>
      <c r="M107" s="10">
        <f>K107*L107/100</f>
        <v>0</v>
      </c>
      <c r="N107" s="17" t="str">
        <f>IF($H107="","",IF(HayMonth3=0,VLOOKUP($H107,FORAGE2,3)*($M107),IF(AND(HayMonth3&gt;0,HayMonth3&lt;4),VLOOKUP($H107,FORAGE2,3)*($M107),0)))</f>
        <v/>
      </c>
      <c r="O107" s="17" t="str">
        <f>IF($H107="","",IF(HayMonth3=0,VLOOKUP($H107,FORAGE2,4)*($M107),IF(AND(HayMonth3&gt;0,HayMonth3&lt;5),VLOOKUP($H107,FORAGE2,4)*($M107),0)))</f>
        <v/>
      </c>
      <c r="P107" s="17" t="str">
        <f>IF($H107="","",IF(HayMonth3=0,VLOOKUP($H107,FORAGE2,5)*($M107),IF(AND(HayMonth3&gt;0,HayMonth3&lt;6),VLOOKUP($H107,FORAGE2,5)*($M107),0)))</f>
        <v/>
      </c>
      <c r="Q107" s="17" t="str">
        <f>IF($H107="","",IF(HayMonth3=0,VLOOKUP($H107,FORAGE2,6)*($M107),IF(AND(HayMonth3&gt;0,HayMonth3&lt;7),VLOOKUP($H107,FORAGE2,6)*($M107),0)))</f>
        <v/>
      </c>
      <c r="R107" s="17" t="str">
        <f>IF($H107="","",IF(HayMonth3=0,VLOOKUP($H107,FORAGE2,7)*($M107),IF(AND(HayMonth3&gt;0,HayMonth3&lt;8),VLOOKUP($H107,FORAGE2,7)*($M107),0)))</f>
        <v/>
      </c>
      <c r="S107" s="17" t="str">
        <f>IF($H107="","",IF(HayMonth3=0,VLOOKUP($H107,FORAGE2,8)*($M107),IF(AND(HayMonth3&gt;0,HayMonth3&lt;9),VLOOKUP($H107,FORAGE2,8)*($M107),0)))</f>
        <v/>
      </c>
      <c r="T107" s="17" t="str">
        <f>IF($H107="","",IF(HayMonth3=0,VLOOKUP($H107,FORAGE2,9)*($M107),IF(AND(HayMonth3&gt;0,HayMonth3&lt;10),VLOOKUP($H107,FORAGE2,9)*($M107),0)))</f>
        <v/>
      </c>
      <c r="U107" s="17" t="str">
        <f>IF($H107="","",IF(HayMonth3=0,VLOOKUP($H107,FORAGE2,10)*($M107),IF(AND(HayMonth3&gt;0,HayMonth3&lt;11),VLOOKUP($H107,FORAGE2,10)*($M107),0)))</f>
        <v/>
      </c>
      <c r="V107" s="17" t="str">
        <f>IF($H107="","",IF(HayMonth3=0,VLOOKUP($H107,FORAGE2,11)*($M107),IF(AND(HayMonth3&gt;0,HayMonth3&lt;12),VLOOKUP($H107,FORAGE2,11)*($M107),0)))</f>
        <v/>
      </c>
      <c r="W107" s="17" t="str">
        <f>IF($H107="","",IF(HayMonth3=0,VLOOKUP($H107,FORAGE2,12)*($M107),IF(AND(HayMonth3&gt;0,HayMonth3&lt;1),VLOOKUP($H107,FORAGE2,12)*($M107),0)))</f>
        <v/>
      </c>
      <c r="X107" s="17" t="str">
        <f>IF($H107="","",IF(HayMonth3=0,VLOOKUP($H107,FORAGE2,13)*($M107),IF(AND(HayMonth3&gt;0,HayMonth3&lt;2),VLOOKUP($H107,FORAGE2,13)*($M107),0)))</f>
        <v/>
      </c>
      <c r="Y107" s="17" t="str">
        <f>IF($H107="","",IF(HayMonth3=0,VLOOKUP($H107,FORAGE2,14)*($M107),IF(AND(HayMonth3&gt;0,HayMonth3&lt;3),VLOOKUP($H107,FORAGE2,14)*($M107),0)))</f>
        <v/>
      </c>
      <c r="Z107" s="457"/>
      <c r="AC107" s="48"/>
      <c r="AE107" s="5"/>
      <c r="AF107" s="30"/>
      <c r="AG107" s="30"/>
      <c r="AH107" s="5"/>
      <c r="AI107" s="6"/>
      <c r="AJ107" s="7"/>
      <c r="AK107" s="6"/>
      <c r="AL107" s="30"/>
      <c r="AM107" s="30"/>
      <c r="AN107" s="30"/>
      <c r="AO107" s="9"/>
      <c r="AQ107" s="5"/>
      <c r="AU107" s="30"/>
      <c r="AV107" s="29"/>
    </row>
    <row r="108" spans="1:48" ht="15.75" hidden="1" customHeight="1">
      <c r="E108" s="194"/>
      <c r="F108" s="195"/>
      <c r="G108" s="1323"/>
      <c r="H108" s="983" t="s">
        <v>725</v>
      </c>
      <c r="I108" s="1041" t="str">
        <f>IF(HayMonth3&gt;0,"Hay cut in:","")</f>
        <v/>
      </c>
      <c r="J108" s="1042" t="str">
        <f>IF(HayMonth3=0,"",IF(HayMonth3=1,"Jan",IF(HayMonth3=2,"Feb",IF(HayMonth3=3,"Mar",IF(HayMonth3=4,"Apr",IF(HayMonth3=5,"May",IF(HayMonth3=6,"Jun",IF(HayMonth3=7,"Jul",IF(HayMonth3=8,"Aug",IF(HayMonth3=9,"Sep",IF(HayMonth3=10,"Oct",IF(HayMonth3=11,"Nov","Dec"))))))))))))</f>
        <v/>
      </c>
      <c r="K108" s="242"/>
      <c r="L108" s="980"/>
      <c r="M108" s="136"/>
      <c r="N108" s="136"/>
      <c r="O108" s="136"/>
      <c r="P108" s="136"/>
      <c r="Q108" s="134"/>
      <c r="R108" s="136"/>
      <c r="S108" s="136"/>
      <c r="T108" s="136"/>
      <c r="U108" s="136"/>
      <c r="V108" s="136"/>
      <c r="W108" s="136"/>
      <c r="X108" s="136"/>
      <c r="Y108" s="142"/>
      <c r="Z108" s="457"/>
      <c r="AE108" s="5"/>
      <c r="AF108" s="30"/>
      <c r="AG108" s="30"/>
      <c r="AI108" s="6"/>
      <c r="AJ108" s="6"/>
      <c r="AK108" s="6"/>
      <c r="AL108" s="30"/>
      <c r="AM108" s="30"/>
      <c r="AN108" s="30"/>
      <c r="AO108" s="30"/>
      <c r="AP108" s="30"/>
      <c r="AQ108" s="5"/>
      <c r="AU108" s="30"/>
      <c r="AV108" s="29"/>
    </row>
    <row r="109" spans="1:48" ht="15.95" hidden="1" customHeight="1">
      <c r="A109" s="23"/>
      <c r="B109" s="23"/>
      <c r="C109" s="23"/>
      <c r="D109" s="23"/>
      <c r="E109" s="194"/>
      <c r="F109" s="195"/>
      <c r="G109" s="1324"/>
      <c r="H109" s="241"/>
      <c r="I109" s="58"/>
      <c r="J109" s="55"/>
      <c r="K109" s="18">
        <f t="shared" si="7"/>
        <v>0</v>
      </c>
      <c r="L109" s="245" t="str">
        <f>IF(ISBLANK(Field4)="",(VLOOKUP(ROUND(TotalAcreGrazed/Acres4,0),[0]!PastureEffTable,2,)),"")</f>
        <v/>
      </c>
      <c r="M109" s="18">
        <f t="shared" ref="M109:M121" si="8">K109*L109/100</f>
        <v>0</v>
      </c>
      <c r="N109" s="17" t="str">
        <f>IF($H109="","",IF(HayMonth4=0,VLOOKUP($H109,FORAGE2,3)*($M109),IF(AND(HayMonth4&gt;0,HayMonth4&lt;4),VLOOKUP($H109,FORAGE2,3)*($M109),0)))</f>
        <v/>
      </c>
      <c r="O109" s="17" t="str">
        <f>IF($H109="","",IF(HayMonth4=0,VLOOKUP($H109,FORAGE2,4)*($M109),IF(AND(HayMonth4&gt;0,HayMonth4&lt;5),VLOOKUP($H109,FORAGE2,4)*($M109),0)))</f>
        <v/>
      </c>
      <c r="P109" s="17" t="str">
        <f>IF($H109="","",IF(HayMonth4=0,VLOOKUP($H109,FORAGE2,5)*($M109),IF(AND(HayMonth4&gt;0,HayMonth4&lt;6),VLOOKUP($H109,FORAGE2,5)*($M109),0)))</f>
        <v/>
      </c>
      <c r="Q109" s="17" t="str">
        <f>IF($H109="","",IF(HayMonth4=0,VLOOKUP($H109,FORAGE2,6)*($M109),IF(AND(HayMonth4&gt;0,HayMonth4&lt;7),VLOOKUP($H109,FORAGE2,6)*($M109),0)))</f>
        <v/>
      </c>
      <c r="R109" s="17" t="str">
        <f>IF($H109="","",IF(HayMonth4=0,VLOOKUP($H109,FORAGE2,7)*($M109),IF(AND(HayMonth4&gt;0,HayMonth4&lt;8),VLOOKUP($H109,FORAGE2,7)*($M109),0)))</f>
        <v/>
      </c>
      <c r="S109" s="17" t="str">
        <f>IF($H109="","",IF(HayMonth4=0,VLOOKUP($H109,FORAGE2,8)*($M109),IF(AND(HayMonth4&gt;0,HayMonth4&lt;9),VLOOKUP($H109,FORAGE2,8)*($M109),0)))</f>
        <v/>
      </c>
      <c r="T109" s="17" t="str">
        <f>IF($H109="","",IF(HayMonth4=0,VLOOKUP($H109,FORAGE2,9)*($M109),IF(AND(HayMonth4&gt;0,HayMonth4&lt;10),VLOOKUP($H109,FORAGE2,9)*($M109),0)))</f>
        <v/>
      </c>
      <c r="U109" s="17" t="str">
        <f>IF($H109="","",IF(HayMonth4=0,VLOOKUP($H109,FORAGE2,10)*($M109),IF(AND(HayMonth4&gt;0,HayMonth4&lt;11),VLOOKUP($H109,FORAGE2,10)*($M109),0)))</f>
        <v/>
      </c>
      <c r="V109" s="17" t="str">
        <f>IF($H109="","",IF(HayMonth4=0,VLOOKUP($H109,FORAGE2,11)*($M109),IF(AND(HayMonth4&gt;0,HayMonth4&lt;12),VLOOKUP($H109,FORAGE2,11)*($M109),0)))</f>
        <v/>
      </c>
      <c r="W109" s="17" t="str">
        <f>IF($H109="","",IF(HayMonth4=0,VLOOKUP($H109,FORAGE2,12)*($M109),IF(AND(HayMonth4&gt;0,HayMonth4&lt;1),VLOOKUP($H109,FORAGE2,12)*($M109),0)))</f>
        <v/>
      </c>
      <c r="X109" s="17" t="str">
        <f>IF($H109="","",IF(HayMonth4=0,VLOOKUP($H109,FORAGE2,13)*($M109),IF(AND(HayMonth4&gt;0,HayMonth4&lt;2),VLOOKUP($H109,FORAGE2,13)*($M109),0)))</f>
        <v/>
      </c>
      <c r="Y109" s="17" t="str">
        <f>IF($H109="","",IF(HayMonth4=0,VLOOKUP($H109,FORAGE2,14)*($M109),IF(AND(HayMonth4&gt;0,HayMonth4&lt;3),VLOOKUP($H109,FORAGE2,14)*($M109),0)))</f>
        <v/>
      </c>
      <c r="Z109" s="457"/>
      <c r="AH109" s="5"/>
      <c r="AI109" s="6"/>
      <c r="AJ109" s="7"/>
      <c r="AK109" s="6"/>
      <c r="AL109" s="30"/>
      <c r="AM109" s="30"/>
      <c r="AN109" s="30"/>
      <c r="AO109" s="30"/>
      <c r="AP109" s="30"/>
      <c r="AQ109" s="30"/>
      <c r="AR109" s="30"/>
      <c r="AU109" s="30"/>
      <c r="AV109" s="29"/>
    </row>
    <row r="110" spans="1:48" ht="15.75" hidden="1" customHeight="1">
      <c r="A110" s="23"/>
      <c r="B110" s="23"/>
      <c r="C110" s="23"/>
      <c r="D110" s="23"/>
      <c r="E110" s="194"/>
      <c r="F110" s="195"/>
      <c r="G110" s="1325"/>
      <c r="H110" s="983" t="s">
        <v>725</v>
      </c>
      <c r="I110" s="1041" t="str">
        <f>IF(HayMonth4&gt;0,"Hay cut in:","")</f>
        <v/>
      </c>
      <c r="J110" s="1042" t="str">
        <f>IF(HayMonth4=0,"",IF(HayMonth4=1,"Jan",IF(HayMonth4=2,"Feb",IF(HayMonth4=3,"Mar",IF(HayMonth4=4,"Apr",IF(HayMonth4=5,"May",IF(HayMonth4=6,"Jun",IF(HayMonth4=7,"Jul",IF(HayMonth4=8,"Aug",IF(HayMonth4=9,"Sep",IF(HayMonth4=10,"Oct",IF(HayMonth4=11,"Nov","Dec"))))))))))))</f>
        <v/>
      </c>
      <c r="K110" s="146"/>
      <c r="L110" s="980"/>
      <c r="M110" s="136"/>
      <c r="N110" s="136"/>
      <c r="O110" s="136"/>
      <c r="P110" s="136"/>
      <c r="Q110" s="134"/>
      <c r="R110" s="136"/>
      <c r="S110" s="136"/>
      <c r="T110" s="136"/>
      <c r="U110" s="136"/>
      <c r="V110" s="136"/>
      <c r="W110" s="136"/>
      <c r="X110" s="136"/>
      <c r="Y110" s="142"/>
      <c r="Z110" s="457"/>
      <c r="AH110" s="5"/>
      <c r="AI110" s="6"/>
      <c r="AJ110" s="6"/>
      <c r="AK110" s="6"/>
      <c r="AL110" s="30"/>
      <c r="AM110" s="5"/>
      <c r="AO110" s="30"/>
      <c r="AP110" s="30"/>
      <c r="AQ110" s="29"/>
      <c r="AV110" s="29"/>
    </row>
    <row r="111" spans="1:48" ht="15.95" hidden="1" customHeight="1">
      <c r="A111" s="23"/>
      <c r="B111" s="44"/>
      <c r="C111" s="23"/>
      <c r="D111" s="23"/>
      <c r="E111" s="194"/>
      <c r="F111" s="195"/>
      <c r="G111" s="1322"/>
      <c r="H111" s="241"/>
      <c r="I111" s="58"/>
      <c r="J111" s="55"/>
      <c r="K111" s="18">
        <f t="shared" si="7"/>
        <v>0</v>
      </c>
      <c r="L111" s="245" t="str">
        <f>IF(ISBLANK(Field5)="",(VLOOKUP(ROUND(TotalAcreGrazed/Acres5,0),[0]!PastureEffTable,2,)),"")</f>
        <v/>
      </c>
      <c r="M111" s="18">
        <f t="shared" si="8"/>
        <v>0</v>
      </c>
      <c r="N111" s="17" t="str">
        <f>IF($H111="","",IF(HayMonth5=0,VLOOKUP($H111,FORAGE2,3)*($M111),IF(AND(HayMonth5&gt;0,HayMonth5&lt;4),VLOOKUP($H111,FORAGE2,3)*($M111),0)))</f>
        <v/>
      </c>
      <c r="O111" s="17" t="str">
        <f>IF($H111="","",IF(HayMonth5=0,VLOOKUP($H111,FORAGE2,4)*($M111),IF(AND(HayMonth5&gt;0,HayMonth5&lt;5),VLOOKUP($H111,FORAGE2,4)*($M111),0)))</f>
        <v/>
      </c>
      <c r="P111" s="17" t="str">
        <f>IF($H111="","",IF(HayMonth5=0,VLOOKUP($H111,FORAGE2,5)*($M111),IF(AND(HayMonth5&gt;0,HayMonth5&lt;6),VLOOKUP($H111,FORAGE2,5)*($M111),0)))</f>
        <v/>
      </c>
      <c r="Q111" s="17" t="str">
        <f>IF($H111="","",IF(HayMonth5=0,VLOOKUP($H111,FORAGE2,6)*($M111),IF(AND(HayMonth5&gt;0,HayMonth5&lt;7),VLOOKUP($H111,FORAGE2,6)*($M111),0)))</f>
        <v/>
      </c>
      <c r="R111" s="17" t="str">
        <f>IF($H111="","",IF(HayMonth5=0,VLOOKUP($H111,FORAGE2,7)*($M111),IF(AND(HayMonth5&gt;0,HayMonth5&lt;8),VLOOKUP($H111,FORAGE2,7)*($M111),0)))</f>
        <v/>
      </c>
      <c r="S111" s="17" t="str">
        <f>IF($H111="","",IF(HayMonth5=0,VLOOKUP($H111,FORAGE2,8)*($M111),IF(AND(HayMonth5&gt;0,HayMonth5&lt;9),VLOOKUP($H111,FORAGE2,8)*($M111),0)))</f>
        <v/>
      </c>
      <c r="T111" s="17" t="str">
        <f>IF($H111="","",IF(HayMonth5=0,VLOOKUP($H111,FORAGE2,9)*($M111),IF(AND(HayMonth5&gt;0,HayMonth5&lt;10),VLOOKUP($H111,FORAGE2,9)*($M111),0)))</f>
        <v/>
      </c>
      <c r="U111" s="17" t="str">
        <f>IF($H111="","",IF(HayMonth5=0,VLOOKUP($H111,FORAGE2,10)*($M111),IF(AND(HayMonth5&gt;0,HayMonth5&lt;11),VLOOKUP($H111,FORAGE2,10)*($M111),0)))</f>
        <v/>
      </c>
      <c r="V111" s="17" t="str">
        <f>IF($H111="","",IF(HayMonth5=0,VLOOKUP($H111,FORAGE2,11)*($M111),IF(AND(HayMonth5&gt;0,HayMonth5&lt;12),VLOOKUP($H111,FORAGE2,11)*($M111),0)))</f>
        <v/>
      </c>
      <c r="W111" s="17" t="str">
        <f>IF($H111="","",IF(HayMonth5=0,VLOOKUP($H111,FORAGE2,12)*($M111),IF(AND(HayMonth5&gt;0,HayMonth5&lt;1),VLOOKUP($H111,FORAGE2,12)*($M111),0)))</f>
        <v/>
      </c>
      <c r="X111" s="17" t="str">
        <f>IF($H111="","",IF(HayMonth5=0,VLOOKUP($H111,FORAGE2,13)*($M111),IF(AND(HayMonth5&gt;0,HayMonth5&lt;2),VLOOKUP($H111,FORAGE2,13)*($M111),0)))</f>
        <v/>
      </c>
      <c r="Y111" s="17" t="str">
        <f>IF($H111="","",IF(HayMonth5=0,VLOOKUP($H111,FORAGE2,14)*($M111),IF(AND(HayMonth5&gt;0,HayMonth5&lt;3),VLOOKUP($H111,FORAGE2,14)*($M111),0)))</f>
        <v/>
      </c>
      <c r="Z111" s="457"/>
      <c r="AE111" s="5"/>
      <c r="AG111" s="30"/>
      <c r="AH111" s="30"/>
      <c r="AI111" s="7"/>
      <c r="AJ111" s="6"/>
      <c r="AK111" s="6"/>
      <c r="AM111" s="5"/>
      <c r="AO111" s="30"/>
      <c r="AP111" s="30"/>
      <c r="AQ111" s="30"/>
      <c r="AR111" s="46"/>
      <c r="AS111" s="30"/>
      <c r="AT111" s="30"/>
      <c r="AU111" s="30"/>
      <c r="AV111" s="29"/>
    </row>
    <row r="112" spans="1:48" ht="15.75" hidden="1" customHeight="1">
      <c r="A112" s="23"/>
      <c r="B112" s="45"/>
      <c r="C112" s="45"/>
      <c r="D112" s="36"/>
      <c r="E112" s="459"/>
      <c r="F112" s="195"/>
      <c r="G112" s="1323"/>
      <c r="H112" s="983" t="s">
        <v>725</v>
      </c>
      <c r="I112" s="1041" t="str">
        <f>IF(HayMonth5&gt;0,"Hay cut in:","")</f>
        <v/>
      </c>
      <c r="J112" s="1042" t="str">
        <f>IF(HayMonth5=0,"",IF(HayMonth5=1,"Jan",IF(HayMonth5=2,"Feb",IF(HayMonth5=3,"Mar",IF(HayMonth5=4,"Apr",IF(HayMonth5=5,"May",IF(HayMonth5=6,"Jun",IF(HayMonth5=7,"Jul",IF(HayMonth5=8,"Aug",IF(HayMonth5=9,"Sep",IF(HayMonth5=10,"Oct",IF(HayMonth5=11,"Nov","Dec"))))))))))))</f>
        <v/>
      </c>
      <c r="K112" s="146"/>
      <c r="L112" s="980"/>
      <c r="M112" s="136"/>
      <c r="N112" s="136"/>
      <c r="O112" s="136"/>
      <c r="P112" s="136"/>
      <c r="Q112" s="134"/>
      <c r="R112" s="136"/>
      <c r="S112" s="136"/>
      <c r="T112" s="136"/>
      <c r="U112" s="136"/>
      <c r="V112" s="136"/>
      <c r="W112" s="136"/>
      <c r="X112" s="136"/>
      <c r="Y112" s="142"/>
      <c r="Z112" s="457"/>
      <c r="AE112" s="5"/>
      <c r="AG112" s="30"/>
      <c r="AH112" s="30"/>
      <c r="AI112" s="7"/>
      <c r="AJ112" s="6"/>
      <c r="AK112" s="6"/>
      <c r="AM112" s="5"/>
      <c r="AO112" s="30"/>
      <c r="AP112" s="30"/>
      <c r="AQ112" s="30"/>
      <c r="AR112" s="5"/>
      <c r="AS112" s="30"/>
      <c r="AT112" s="30"/>
      <c r="AU112" s="30"/>
      <c r="AV112" s="29"/>
    </row>
    <row r="113" spans="1:50" ht="15.95" hidden="1" customHeight="1">
      <c r="A113" s="23"/>
      <c r="B113" s="45"/>
      <c r="C113" s="45"/>
      <c r="D113" s="36"/>
      <c r="E113" s="459"/>
      <c r="F113" s="195"/>
      <c r="G113" s="1322"/>
      <c r="H113" s="241"/>
      <c r="I113" s="58"/>
      <c r="J113" s="55"/>
      <c r="K113" s="18">
        <f t="shared" si="7"/>
        <v>0</v>
      </c>
      <c r="L113" s="245" t="str">
        <f>IF(ISBLANK(Field6)="",(VLOOKUP(ROUND(TotalAcreGrazed/Acres6,0),[0]!PastureEffTable,2,)),"")</f>
        <v/>
      </c>
      <c r="M113" s="18">
        <f t="shared" si="8"/>
        <v>0</v>
      </c>
      <c r="N113" s="17" t="str">
        <f>IF($H113="","",IF(HayMonth6=0,VLOOKUP($H113,FORAGE2,3)*($M113),IF(AND(HayMonth6&gt;0,HayMonth6&lt;4),VLOOKUP($H113,FORAGE2,3)*($M113),0)))</f>
        <v/>
      </c>
      <c r="O113" s="17" t="str">
        <f>IF($H113="","",IF(HayMonth6=0,VLOOKUP($H113,FORAGE2,4)*($M113),IF(AND(HayMonth6&gt;0,HayMonth6&lt;5),VLOOKUP($H113,FORAGE2,4)*($M113),0)))</f>
        <v/>
      </c>
      <c r="P113" s="17" t="str">
        <f>IF($H113="","",IF(HayMonth6=0,VLOOKUP($H113,FORAGE2,5)*($M113),IF(AND(HayMonth6&gt;0,HayMonth6&lt;6),VLOOKUP($H113,FORAGE2,5)*($M113),0)))</f>
        <v/>
      </c>
      <c r="Q113" s="17" t="str">
        <f>IF($H113="","",IF(HayMonth6=0,VLOOKUP($H113,FORAGE2,6)*($M113),IF(AND(HayMonth6&gt;0,HayMonth6&lt;7),VLOOKUP($H113,FORAGE2,6)*($M113),0)))</f>
        <v/>
      </c>
      <c r="R113" s="17" t="str">
        <f>IF($H113="","",IF(HayMonth6=0,VLOOKUP($H113,FORAGE2,7)*($M113),IF(AND(HayMonth6&gt;0,HayMonth6&lt;8),VLOOKUP($H113,FORAGE2,7)*($M113),0)))</f>
        <v/>
      </c>
      <c r="S113" s="17" t="str">
        <f>IF($H113="","",IF(HayMonth6=0,VLOOKUP($H113,FORAGE2,8)*($M113),IF(AND(HayMonth6&gt;0,HayMonth6&lt;9),VLOOKUP($H113,FORAGE2,8)*($M113),0)))</f>
        <v/>
      </c>
      <c r="T113" s="17" t="str">
        <f>IF($H113="","",IF(HayMonth6=0,VLOOKUP($H113,FORAGE2,9)*($M113),IF(AND(HayMonth6&gt;0,HayMonth6&lt;10),VLOOKUP($H113,FORAGE2,9)*($M113),0)))</f>
        <v/>
      </c>
      <c r="U113" s="17" t="str">
        <f>IF($H113="","",IF(HayMonth6=0,VLOOKUP($H113,FORAGE2,10)*($M113),IF(AND(HayMonth6&gt;0,HayMonth6&lt;11),VLOOKUP($H113,FORAGE2,10)*($M113),0)))</f>
        <v/>
      </c>
      <c r="V113" s="17" t="str">
        <f>IF($H113="","",IF(HayMonth6=0,VLOOKUP($H113,FORAGE2,11)*($M113),IF(AND(HayMonth6&gt;0,HayMonth6&lt;12),VLOOKUP($H113,FORAGE2,11)*($M113),0)))</f>
        <v/>
      </c>
      <c r="W113" s="17" t="str">
        <f>IF($H113="","",IF(HayMonth6=0,VLOOKUP($H113,FORAGE2,12)*($M113),IF(AND(HayMonth6&gt;0,HayMonth6&lt;1),VLOOKUP($H113,FORAGE2,12)*($M113),0)))</f>
        <v/>
      </c>
      <c r="X113" s="17" t="str">
        <f>IF($H113="","",IF(HayMonth6=0,VLOOKUP($H113,FORAGE2,13)*($M113),IF(AND(HayMonth6&gt;0,HayMonth6&lt;2),VLOOKUP($H113,FORAGE2,13)*($M113),0)))</f>
        <v/>
      </c>
      <c r="Y113" s="17" t="str">
        <f>IF($H113="","",IF(HayMonth6=0,VLOOKUP($H113,FORAGE2,14)*($M113),IF(AND(HayMonth6&gt;0,HayMonth6&lt;3),VLOOKUP($H113,FORAGE2,14)*($M113),0)))</f>
        <v/>
      </c>
      <c r="Z113" s="457"/>
      <c r="AF113" s="30"/>
      <c r="AG113" s="30"/>
      <c r="AJ113" s="30"/>
      <c r="AK113" s="30"/>
      <c r="AM113" s="5"/>
      <c r="AO113" s="30"/>
      <c r="AP113" s="30"/>
      <c r="AQ113" s="30"/>
      <c r="AR113" s="5"/>
      <c r="AS113" s="30"/>
      <c r="AT113" s="30"/>
      <c r="AU113" s="30"/>
      <c r="AV113" s="29"/>
    </row>
    <row r="114" spans="1:50" ht="15.75" hidden="1" customHeight="1">
      <c r="A114" s="23"/>
      <c r="B114" s="45"/>
      <c r="C114" s="45"/>
      <c r="D114" s="36"/>
      <c r="E114" s="459"/>
      <c r="F114" s="195"/>
      <c r="G114" s="1323"/>
      <c r="H114" s="983" t="s">
        <v>725</v>
      </c>
      <c r="I114" s="1041" t="str">
        <f>IF(HayMonth6&gt;0,"Hay cut in:","")</f>
        <v/>
      </c>
      <c r="J114" s="1042" t="str">
        <f>IF(HayMonth6=0,"",IF(HayMonth6=1,"Jan",IF(HayMonth6=2,"Feb",IF(HayMonth6=3,"Mar",IF(HayMonth6=4,"Apr",IF(HayMonth6=5,"May",IF(HayMonth6=6,"Jun",IF(HayMonth6=7,"Jul",IF(HayMonth6=8,"Aug",IF(HayMonth6=9,"Sep",IF(HayMonth6=10,"Oct",IF(HayMonth6=11,"Nov","Dec"))))))))))))</f>
        <v/>
      </c>
      <c r="K114" s="146"/>
      <c r="L114" s="980"/>
      <c r="M114" s="136"/>
      <c r="N114" s="136"/>
      <c r="O114" s="136"/>
      <c r="P114" s="136"/>
      <c r="Q114" s="134"/>
      <c r="R114" s="136"/>
      <c r="S114" s="136"/>
      <c r="T114" s="136"/>
      <c r="U114" s="136"/>
      <c r="V114" s="136"/>
      <c r="W114" s="136"/>
      <c r="X114" s="136"/>
      <c r="Y114" s="142"/>
      <c r="Z114" s="457"/>
      <c r="AI114" s="5"/>
      <c r="AJ114" s="30"/>
      <c r="AK114" s="30"/>
      <c r="AO114" s="30"/>
      <c r="AP114" s="30"/>
      <c r="AQ114" s="30"/>
      <c r="AR114" s="5"/>
      <c r="AS114" s="30"/>
      <c r="AT114" s="30"/>
      <c r="AU114" s="30"/>
      <c r="AV114" s="29"/>
    </row>
    <row r="115" spans="1:50" ht="15.95" hidden="1" customHeight="1">
      <c r="A115" s="23"/>
      <c r="B115" s="45"/>
      <c r="C115" s="45"/>
      <c r="D115" s="36"/>
      <c r="E115" s="459"/>
      <c r="F115" s="195"/>
      <c r="G115" s="1322"/>
      <c r="H115" s="241"/>
      <c r="I115" s="58"/>
      <c r="J115" s="55"/>
      <c r="K115" s="18">
        <f t="shared" si="7"/>
        <v>0</v>
      </c>
      <c r="L115" s="245" t="str">
        <f>IF(ISBLANK(Field7)="",(VLOOKUP(ROUND(TotalAcreGrazed/Acres7,0),[0]!PastureEffTable,2,)),"")</f>
        <v/>
      </c>
      <c r="M115" s="18">
        <f t="shared" si="8"/>
        <v>0</v>
      </c>
      <c r="N115" s="17" t="str">
        <f>IF($H115="","",IF(HayMonth7=0,VLOOKUP($H115,FORAGE2,3)*($M115),IF(AND(HayMonth7&gt;0,HayMonth7&lt;4),VLOOKUP($H115,FORAGE2,3)*($M115),0)))</f>
        <v/>
      </c>
      <c r="O115" s="17" t="str">
        <f>IF($H115="","",IF(HayMonth7=0,VLOOKUP($H115,FORAGE2,4)*($M115),IF(AND(HayMonth7&gt;0,HayMonth7&lt;5),VLOOKUP($H115,FORAGE2,4)*($M115),0)))</f>
        <v/>
      </c>
      <c r="P115" s="17" t="str">
        <f>IF($H115="","",IF(HayMonth7=0,VLOOKUP($H115,FORAGE2,5)*($M115),IF(AND(HayMonth7&gt;0,HayMonth7&lt;6),VLOOKUP($H115,FORAGE2,5)*($M115),0)))</f>
        <v/>
      </c>
      <c r="Q115" s="17" t="str">
        <f>IF($H115="","",IF(HayMonth7=0,VLOOKUP($H115,FORAGE2,6)*($M115),IF(AND(HayMonth7&gt;0,HayMonth7&lt;7),VLOOKUP($H115,FORAGE2,6)*($M115),0)))</f>
        <v/>
      </c>
      <c r="R115" s="17" t="str">
        <f>IF($H115="","",IF(HayMonth7=0,VLOOKUP($H115,FORAGE2,7)*($M115),IF(AND(HayMonth7&gt;0,HayMonth7&lt;8),VLOOKUP($H115,FORAGE2,7)*($M115),0)))</f>
        <v/>
      </c>
      <c r="S115" s="17" t="str">
        <f>IF($H115="","",IF(HayMonth7=0,VLOOKUP($H115,FORAGE2,8)*($M115),IF(AND(HayMonth7&gt;0,HayMonth7&lt;9),VLOOKUP($H115,FORAGE2,8)*($M115),0)))</f>
        <v/>
      </c>
      <c r="T115" s="17" t="str">
        <f>IF($H115="","",IF(HayMonth7=0,VLOOKUP($H115,FORAGE2,9)*($M115),IF(AND(HayMonth7&gt;0,HayMonth7&lt;10),VLOOKUP($H115,FORAGE2,9)*($M115),0)))</f>
        <v/>
      </c>
      <c r="U115" s="17" t="str">
        <f>IF($H115="","",IF(HayMonth7=0,VLOOKUP($H115,FORAGE2,10)*($M115),IF(AND(HayMonth7&gt;0,HayMonth7&lt;11),VLOOKUP($H115,FORAGE2,10)*($M115),0)))</f>
        <v/>
      </c>
      <c r="V115" s="17" t="str">
        <f>IF($H115="","",IF(HayMonth7=0,VLOOKUP($H115,FORAGE2,11)*($M115),IF(AND(HayMonth7&gt;0,HayMonth7&lt;12),VLOOKUP($H115,FORAGE2,11)*($M115),0)))</f>
        <v/>
      </c>
      <c r="W115" s="17" t="str">
        <f>IF($H115="","",IF(HayMonth7=0,VLOOKUP($H115,FORAGE2,12)*($M115),IF(AND(HayMonth7&gt;0,HayMonth7&lt;1),VLOOKUP($H115,FORAGE2,12)*($M115),0)))</f>
        <v/>
      </c>
      <c r="X115" s="17" t="str">
        <f>IF($H115="","",IF(HayMonth7=0,VLOOKUP($H115,FORAGE2,13)*($M115),IF(AND(HayMonth7&gt;0,HayMonth7&lt;2),VLOOKUP($H115,FORAGE2,13)*($M115),0)))</f>
        <v/>
      </c>
      <c r="Y115" s="17" t="str">
        <f>IF($H115="","",IF(HayMonth7=0,VLOOKUP($H115,FORAGE2,14)*($M115),IF(AND(HayMonth7&gt;0,HayMonth7&lt;3),VLOOKUP($H115,FORAGE2,14)*($M115),0)))</f>
        <v/>
      </c>
      <c r="Z115" s="457"/>
      <c r="AI115" s="30"/>
      <c r="AJ115" s="30"/>
      <c r="AK115" s="30"/>
      <c r="AO115" s="30"/>
      <c r="AP115" s="30"/>
      <c r="AQ115" s="29"/>
      <c r="AV115" s="29"/>
      <c r="AX115" s="30"/>
    </row>
    <row r="116" spans="1:50" ht="15.75" hidden="1" customHeight="1">
      <c r="A116" s="23"/>
      <c r="B116" s="23"/>
      <c r="C116" s="23"/>
      <c r="D116" s="23"/>
      <c r="E116" s="194"/>
      <c r="F116" s="195"/>
      <c r="G116" s="1323"/>
      <c r="H116" s="983" t="s">
        <v>725</v>
      </c>
      <c r="I116" s="1041" t="str">
        <f>IF(HayMonth7&gt;0,"Hay cut in:","")</f>
        <v/>
      </c>
      <c r="J116" s="1042" t="str">
        <f>IF(HayMonth7=0,"",IF(HayMonth7=1,"Jan",IF(HayMonth7=2,"Feb",IF(HayMonth7=3,"Mar",IF(HayMonth7=4,"Apr",IF(HayMonth7=5,"May",IF(HayMonth7=6,"Jun",IF(HayMonth7=7,"Jul",IF(HayMonth7=8,"Aug",IF(HayMonth7=9,"Sep",IF(HayMonth7=10,"Oct",IF(HayMonth7=11,"Nov","Dec"))))))))))))</f>
        <v/>
      </c>
      <c r="K116" s="146"/>
      <c r="L116" s="980"/>
      <c r="M116" s="136"/>
      <c r="N116" s="136"/>
      <c r="O116" s="136"/>
      <c r="P116" s="136"/>
      <c r="Q116" s="134"/>
      <c r="R116" s="136"/>
      <c r="S116" s="136"/>
      <c r="T116" s="136"/>
      <c r="U116" s="136"/>
      <c r="V116" s="136"/>
      <c r="W116" s="136"/>
      <c r="X116" s="136"/>
      <c r="Y116" s="142"/>
      <c r="Z116" s="457"/>
      <c r="AI116" s="30"/>
      <c r="AO116" s="30"/>
      <c r="AP116" s="30"/>
      <c r="AQ116" s="29"/>
      <c r="AV116" s="29"/>
      <c r="AX116" s="30"/>
    </row>
    <row r="117" spans="1:50" ht="15.95" hidden="1" customHeight="1">
      <c r="E117" s="194"/>
      <c r="F117" s="195"/>
      <c r="G117" s="1322"/>
      <c r="H117" s="241"/>
      <c r="I117" s="58"/>
      <c r="J117" s="55"/>
      <c r="K117" s="18">
        <f t="shared" si="7"/>
        <v>0</v>
      </c>
      <c r="L117" s="245" t="str">
        <f>IF(ISBLANK(Field8)="",(VLOOKUP(ROUND(TotalAcreGrazed/Acres8,0),[0]!PastureEffTable,2,)),"")</f>
        <v/>
      </c>
      <c r="M117" s="18">
        <f t="shared" si="8"/>
        <v>0</v>
      </c>
      <c r="N117" s="17" t="str">
        <f>IF($H117="","",IF(HayMonth8=0,VLOOKUP($H117,FORAGE2,3)*($M117),IF(AND(HayMonth8&gt;0,HayMonth8&lt;4),VLOOKUP($H117,FORAGE2,3)*($M117),0)))</f>
        <v/>
      </c>
      <c r="O117" s="17" t="str">
        <f>IF($H117="","",IF(HayMonth8=0,VLOOKUP($H117,FORAGE2,4)*($M117),IF(AND(HayMonth8&gt;0,HayMonth8&lt;5),VLOOKUP($H117,FORAGE2,4)*($M117),0)))</f>
        <v/>
      </c>
      <c r="P117" s="17" t="str">
        <f>IF($H117="","",IF(HayMonth8=0,VLOOKUP($H117,FORAGE2,5)*($M117),IF(AND(HayMonth8&gt;0,HayMonth8&lt;6),VLOOKUP($H117,FORAGE2,5)*($M117),0)))</f>
        <v/>
      </c>
      <c r="Q117" s="17" t="str">
        <f>IF($H117="","",IF(HayMonth8=0,VLOOKUP($H117,FORAGE2,6)*($M117),IF(AND(HayMonth8&gt;0,HayMonth8&lt;7),VLOOKUP($H117,FORAGE2,6)*($M117),0)))</f>
        <v/>
      </c>
      <c r="R117" s="17" t="str">
        <f>IF($H117="","",IF(HayMonth8=0,VLOOKUP($H117,FORAGE2,7)*($M117),IF(AND(HayMonth8&gt;0,HayMonth8&lt;8),VLOOKUP($H117,FORAGE2,7)*($M117),0)))</f>
        <v/>
      </c>
      <c r="S117" s="17" t="str">
        <f>IF($H117="","",IF(HayMonth8=0,VLOOKUP($H117,FORAGE2,8)*($M117),IF(AND(HayMonth8&gt;0,HayMonth8&lt;9),VLOOKUP($H117,FORAGE2,8)*($M117),0)))</f>
        <v/>
      </c>
      <c r="T117" s="17" t="str">
        <f>IF($H117="","",IF(HayMonth8=0,VLOOKUP($H117,FORAGE2,9)*($M117),IF(AND(HayMonth8&gt;0,HayMonth8&lt;10),VLOOKUP($H117,FORAGE2,9)*($M117),0)))</f>
        <v/>
      </c>
      <c r="U117" s="17" t="str">
        <f>IF($H117="","",IF(HayMonth8=0,VLOOKUP($H117,FORAGE2,10)*($M117),IF(AND(HayMonth8&gt;0,HayMonth8&lt;11),VLOOKUP($H117,FORAGE2,10)*($M117),0)))</f>
        <v/>
      </c>
      <c r="V117" s="17" t="str">
        <f>IF($H117="","",IF(HayMonth8=0,VLOOKUP($H117,FORAGE2,11)*($M117),IF(AND(HayMonth8&gt;0,HayMonth8&lt;12),VLOOKUP($H117,FORAGE2,11)*($M117),0)))</f>
        <v/>
      </c>
      <c r="W117" s="17" t="str">
        <f>IF($H117="","",IF(HayMonth8=0,VLOOKUP($H117,FORAGE2,12)*($M117),IF(AND(HayMonth8&gt;0,HayMonth8&lt;1),VLOOKUP($H117,FORAGE2,12)*($M117),0)))</f>
        <v/>
      </c>
      <c r="X117" s="17" t="str">
        <f>IF($H117="","",IF(HayMonth8=0,VLOOKUP($H117,FORAGE2,13)*($M117),IF(AND(HayMonth8&gt;0,HayMonth8&lt;2),VLOOKUP($H117,FORAGE2,13)*($M117),0)))</f>
        <v/>
      </c>
      <c r="Y117" s="17" t="str">
        <f>IF($H117="","",IF(HayMonth8=0,VLOOKUP($H117,FORAGE2,14)*($M117),IF(AND(HayMonth8&gt;0,HayMonth8&lt;3),VLOOKUP($H117,FORAGE2,14)*($M117),0)))</f>
        <v/>
      </c>
      <c r="Z117" s="457"/>
      <c r="AO117" s="30"/>
      <c r="AP117" s="30"/>
      <c r="AQ117" s="29"/>
      <c r="AV117" s="29"/>
      <c r="AW117" s="30"/>
      <c r="AX117" s="30"/>
    </row>
    <row r="118" spans="1:50" ht="15.75" hidden="1" customHeight="1">
      <c r="E118" s="194"/>
      <c r="F118" s="195"/>
      <c r="G118" s="1323"/>
      <c r="H118" s="983" t="s">
        <v>725</v>
      </c>
      <c r="I118" s="1041" t="str">
        <f>IF(HayMonth8&gt;0,"Hay cut in:","")</f>
        <v/>
      </c>
      <c r="J118" s="1042" t="str">
        <f>IF(HayMonth8=0,"",IF(HayMonth8=1,"Jan",IF(HayMonth8=2,"Feb",IF(HayMonth8=3,"Mar",IF(HayMonth8=4,"Apr",IF(HayMonth8=5,"May",IF(HayMonth8=6,"Jun",IF(HayMonth8=7,"Jul",IF(HayMonth8=8,"Aug",IF(HayMonth8=9,"Sep",IF(HayMonth8=10,"Oct",IF(HayMonth8=11,"Nov","Dec"))))))))))))</f>
        <v/>
      </c>
      <c r="K118" s="146"/>
      <c r="L118" s="980"/>
      <c r="M118" s="136"/>
      <c r="N118" s="136"/>
      <c r="O118" s="136"/>
      <c r="P118" s="136"/>
      <c r="Q118" s="134"/>
      <c r="R118" s="136"/>
      <c r="S118" s="136"/>
      <c r="T118" s="136"/>
      <c r="U118" s="136"/>
      <c r="V118" s="136"/>
      <c r="W118" s="136"/>
      <c r="X118" s="136"/>
      <c r="Y118" s="142"/>
      <c r="Z118" s="457"/>
      <c r="AQ118" s="29"/>
      <c r="AV118" s="29"/>
    </row>
    <row r="119" spans="1:50" ht="15.95" hidden="1" customHeight="1">
      <c r="E119" s="194"/>
      <c r="F119" s="195"/>
      <c r="G119" s="1324"/>
      <c r="H119" s="241"/>
      <c r="I119" s="58"/>
      <c r="J119" s="55"/>
      <c r="K119" s="18">
        <f t="shared" ref="K119" si="9">I119*J119</f>
        <v>0</v>
      </c>
      <c r="L119" s="245" t="str">
        <f>IF(ISBLANK(Field9)="",(VLOOKUP(ROUND(TotalAcreGrazed/Acres9,0),[0]!PastureEffTable,2,)),"")</f>
        <v/>
      </c>
      <c r="M119" s="18">
        <f t="shared" si="8"/>
        <v>0</v>
      </c>
      <c r="N119" s="17" t="str">
        <f>IF($H119="","",IF(HayMonth9=0,VLOOKUP($H119,FORAGE2,3)*($M119),IF(AND(HayMonth9&gt;0,HayMonth9&lt;4),VLOOKUP($H119,FORAGE2,3)*($M119),0)))</f>
        <v/>
      </c>
      <c r="O119" s="17" t="str">
        <f>IF($H119="","",IF(HayMonth9=0,VLOOKUP($H119,FORAGE2,4)*($M119),IF(AND(HayMonth9&gt;0,HayMonth9&lt;5),VLOOKUP($H119,FORAGE2,4)*($M119),0)))</f>
        <v/>
      </c>
      <c r="P119" s="17" t="str">
        <f>IF($H119="","",IF(HayMonth9=0,VLOOKUP($H119,FORAGE2,5)*($M119),IF(AND(HayMonth9&gt;0,HayMonth9&lt;6),VLOOKUP($H119,FORAGE2,5)*($M119),0)))</f>
        <v/>
      </c>
      <c r="Q119" s="17" t="str">
        <f>IF($H119="","",IF(HayMonth9=0,VLOOKUP($H119,FORAGE2,6)*($M119),IF(AND(HayMonth9&gt;0,HayMonth9&lt;7),VLOOKUP($H119,FORAGE2,6)*($M119),0)))</f>
        <v/>
      </c>
      <c r="R119" s="17" t="str">
        <f>IF($H119="","",IF(HayMonth9=0,VLOOKUP($H119,FORAGE2,7)*($M119),IF(AND(HayMonth9&gt;0,HayMonth9&lt;8),VLOOKUP($H119,FORAGE2,7)*($M119),0)))</f>
        <v/>
      </c>
      <c r="S119" s="17" t="str">
        <f>IF($H119="","",IF(HayMonth9=0,VLOOKUP($H119,FORAGE2,8)*($M119),IF(AND(HayMonth9&gt;0,HayMonth9&lt;9),VLOOKUP($H119,FORAGE2,8)*($M119),0)))</f>
        <v/>
      </c>
      <c r="T119" s="17" t="str">
        <f>IF($H119="","",IF(HayMonth9=0,VLOOKUP($H119,FORAGE2,9)*($M119),IF(AND(HayMonth9&gt;0,HayMonth9&lt;10),VLOOKUP($H119,FORAGE2,9)*($M119),0)))</f>
        <v/>
      </c>
      <c r="U119" s="17" t="str">
        <f>IF($H119="","",IF(HayMonth9=0,VLOOKUP($H119,FORAGE2,10)*($M119),IF(AND(HayMonth9&gt;0,HayMonth9&lt;11),VLOOKUP($H119,FORAGE2,10)*($M119),0)))</f>
        <v/>
      </c>
      <c r="V119" s="17" t="str">
        <f>IF($H119="","",IF(HayMonth9=0,VLOOKUP($H119,FORAGE2,11)*($M119),IF(AND(HayMonth9&gt;0,HayMonth9&lt;12),VLOOKUP($H119,FORAGE2,11)*($M119),0)))</f>
        <v/>
      </c>
      <c r="W119" s="17" t="str">
        <f>IF($H119="","",IF(HayMonth9=0,VLOOKUP($H119,FORAGE2,12)*($M119),IF(AND(HayMonth9&gt;0,HayMonth9&lt;1),VLOOKUP($H119,FORAGE2,12)*($M119),0)))</f>
        <v/>
      </c>
      <c r="X119" s="17" t="str">
        <f>IF($H119="","",IF(HayMonth9=0,VLOOKUP($H119,FORAGE2,13)*($M119),IF(AND(HayMonth9&gt;0,HayMonth9&lt;2),VLOOKUP($H119,FORAGE2,13)*($M119),0)))</f>
        <v/>
      </c>
      <c r="Y119" s="17" t="str">
        <f>IF($H119="","",IF(HayMonth9=0,VLOOKUP($H119,FORAGE2,14)*($M119),IF(AND(HayMonth9&gt;0,HayMonth9&lt;3),VLOOKUP($H119,FORAGE2,14)*($M119),0)))</f>
        <v/>
      </c>
      <c r="Z119" s="457"/>
    </row>
    <row r="120" spans="1:50" ht="15.75" hidden="1" customHeight="1">
      <c r="E120" s="194"/>
      <c r="F120" s="195"/>
      <c r="G120" s="1325"/>
      <c r="H120" s="983" t="s">
        <v>725</v>
      </c>
      <c r="I120" s="1041" t="str">
        <f>IF(HayMonth9&gt;0,"Hay cut in:","")</f>
        <v/>
      </c>
      <c r="J120" s="1042" t="str">
        <f>IF(HayMonth9=0,"",IF(HayMonth9=1,"Jan",IF(HayMonth9=2,"Feb",IF(HayMonth9=3,"Mar",IF(HayMonth9=4,"Apr",IF(HayMonth9=5,"May",IF(HayMonth9=6,"Jun",IF(HayMonth9=7,"Jul",IF(HayMonth9=8,"Aug",IF(HayMonth9=9,"Sep",IF(HayMonth9=10,"Oct",IF(HayMonth9=11,"Nov","Dec"))))))))))))</f>
        <v/>
      </c>
      <c r="K120" s="146"/>
      <c r="L120" s="980"/>
      <c r="M120" s="136"/>
      <c r="N120" s="136"/>
      <c r="O120" s="136"/>
      <c r="P120" s="136"/>
      <c r="Q120" s="134"/>
      <c r="R120" s="136"/>
      <c r="S120" s="136"/>
      <c r="T120" s="136"/>
      <c r="U120" s="136"/>
      <c r="V120" s="136"/>
      <c r="W120" s="136"/>
      <c r="X120" s="136"/>
      <c r="Y120" s="142"/>
      <c r="Z120" s="457"/>
    </row>
    <row r="121" spans="1:50" ht="15.95" hidden="1" customHeight="1">
      <c r="E121" s="194"/>
      <c r="F121" s="195"/>
      <c r="G121" s="1322"/>
      <c r="H121" s="241"/>
      <c r="I121" s="58"/>
      <c r="J121" s="55"/>
      <c r="K121" s="18">
        <f t="shared" ref="K121" si="10">I121*J121</f>
        <v>0</v>
      </c>
      <c r="L121" s="245" t="str">
        <f>IF(ISBLANK(Field10)="",(VLOOKUP(ROUND(TotalAcreGrazed/Acres10,0),[0]!PastureEffTable,2,)),"")</f>
        <v/>
      </c>
      <c r="M121" s="18">
        <f t="shared" si="8"/>
        <v>0</v>
      </c>
      <c r="N121" s="17" t="str">
        <f>IF($H121="","",IF(HayMonth10=0,VLOOKUP($H121,FORAGE2,3)*($M121),IF(AND(HayMonth10&gt;0,HayMonth10&lt;4),VLOOKUP($H121,FORAGE2,3)*($M121),0)))</f>
        <v/>
      </c>
      <c r="O121" s="17" t="str">
        <f>IF($H121="","",IF(HayMonth10=0,VLOOKUP($H121,FORAGE2,4)*($M121),IF(AND(HayMonth10&gt;0,HayMonth10&lt;5),VLOOKUP($H121,FORAGE2,4)*($M121),0)))</f>
        <v/>
      </c>
      <c r="P121" s="17" t="str">
        <f>IF($H121="","",IF(HayMonth10=0,VLOOKUP($H121,FORAGE2,5)*($M121),IF(AND(HayMonth10&gt;0,HayMonth10&lt;6),VLOOKUP($H121,FORAGE2,5)*($M121),0)))</f>
        <v/>
      </c>
      <c r="Q121" s="17" t="str">
        <f>IF($H121="","",IF(HayMonth10=0,VLOOKUP($H121,FORAGE2,6)*($M121),IF(AND(HayMonth10&gt;0,HayMonth10&lt;7),VLOOKUP($H121,FORAGE2,6)*($M121),0)))</f>
        <v/>
      </c>
      <c r="R121" s="17" t="str">
        <f>IF($H121="","",IF(HayMonth10=0,VLOOKUP($H121,FORAGE2,7)*($M121),IF(AND(HayMonth10&gt;0,HayMonth10&lt;8),VLOOKUP($H121,FORAGE2,7)*($M121),0)))</f>
        <v/>
      </c>
      <c r="S121" s="17" t="str">
        <f>IF($H121="","",IF(HayMonth10=0,VLOOKUP($H121,FORAGE2,8)*($M121),IF(AND(HayMonth10&gt;0,HayMonth10&lt;9),VLOOKUP($H121,FORAGE2,8)*($M121),0)))</f>
        <v/>
      </c>
      <c r="T121" s="17" t="str">
        <f>IF($H121="","",IF(HayMonth10=0,VLOOKUP($H121,FORAGE2,9)*($M121),IF(AND(HayMonth10&gt;0,HayMonth10&lt;10),VLOOKUP($H121,FORAGE2,9)*($M121),0)))</f>
        <v/>
      </c>
      <c r="U121" s="17" t="str">
        <f>IF($H121="","",IF(HayMonth10=0,VLOOKUP($H121,FORAGE2,10)*($M121),IF(AND(HayMonth10&gt;0,HayMonth10&lt;11),VLOOKUP($H121,FORAGE2,10)*($M121),0)))</f>
        <v/>
      </c>
      <c r="V121" s="17" t="str">
        <f>IF($H121="","",IF(HayMonth10=0,VLOOKUP($H121,FORAGE2,11)*($M121),IF(AND(HayMonth10&gt;0,HayMonth10&lt;12),VLOOKUP($H121,FORAGE2,11)*($M121),0)))</f>
        <v/>
      </c>
      <c r="W121" s="17" t="str">
        <f>IF($H121="","",IF(HayMonth10=0,VLOOKUP($H121,FORAGE2,12)*($M121),IF(AND(HayMonth10&gt;0,HayMonth10&lt;1),VLOOKUP($H121,FORAGE2,12)*($M121),0)))</f>
        <v/>
      </c>
      <c r="X121" s="17" t="str">
        <f>IF($H121="","",IF(HayMonth10=0,VLOOKUP($H121,FORAGE2,13)*($M121),IF(AND(HayMonth10&gt;0,HayMonth10&lt;2),VLOOKUP($H121,FORAGE2,13)*($M121),0)))</f>
        <v/>
      </c>
      <c r="Y121" s="17" t="str">
        <f>IF($H121="","",IF(HayMonth10=0,VLOOKUP($H121,FORAGE2,14)*($M121),IF(AND(HayMonth10&gt;0,HayMonth10&lt;3),VLOOKUP($H121,FORAGE2,14)*($M121),0)))</f>
        <v/>
      </c>
      <c r="Z121" s="457"/>
      <c r="AQ121" s="29"/>
    </row>
    <row r="122" spans="1:50" ht="15.75" hidden="1" customHeight="1">
      <c r="E122" s="194"/>
      <c r="F122" s="195"/>
      <c r="G122" s="1323"/>
      <c r="H122" s="983" t="s">
        <v>725</v>
      </c>
      <c r="I122" s="1041" t="str">
        <f>IF(HayMonth10&gt;0,"Hay cut in:","")</f>
        <v/>
      </c>
      <c r="J122" s="1042" t="str">
        <f>IF(HayMonth10=0,"",IF(HayMonth10=1,"Jan",IF(HayMonth10=2,"Feb",IF(HayMonth10=3,"Mar",IF(HayMonth10=4,"Apr",IF(HayMonth10=5,"May",IF(HayMonth10=6,"Jun",IF(HayMonth10=7,"Jul",IF(HayMonth10=8,"Aug",IF(HayMonth10=9,"Sep",IF(HayMonth10=10,"Oct",IF(HayMonth10=11,"Nov","Dec"))))))))))))</f>
        <v/>
      </c>
      <c r="K122" s="146"/>
      <c r="L122" s="980"/>
      <c r="M122" s="136"/>
      <c r="N122" s="136"/>
      <c r="O122" s="136"/>
      <c r="P122" s="136"/>
      <c r="Q122" s="134"/>
      <c r="R122" s="136"/>
      <c r="S122" s="136"/>
      <c r="T122" s="136"/>
      <c r="U122" s="136"/>
      <c r="V122" s="136"/>
      <c r="W122" s="136"/>
      <c r="X122" s="136"/>
      <c r="Y122" s="142"/>
      <c r="Z122" s="457"/>
      <c r="AQ122" s="29"/>
    </row>
    <row r="123" spans="1:50" ht="15.95" hidden="1" customHeight="1">
      <c r="E123" s="194"/>
      <c r="F123" s="195"/>
      <c r="G123" s="1322"/>
      <c r="H123" s="241"/>
      <c r="I123" s="58"/>
      <c r="J123" s="55"/>
      <c r="K123" s="18">
        <f t="shared" ref="K123" si="11">I123*J123</f>
        <v>0</v>
      </c>
      <c r="L123" s="245" t="str">
        <f>IF(ISBLANK(Field11)="",(VLOOKUP(ROUND(TotalAcreGrazed/Acres11,0),[0]!PastureEffTable,2,)),"")</f>
        <v/>
      </c>
      <c r="M123" s="18">
        <f>K123*L123/100</f>
        <v>0</v>
      </c>
      <c r="N123" s="17" t="str">
        <f>IF($H123="","",IF(HayMonth11=0,VLOOKUP($H123,FORAGE2,3)*($M123),IF(AND(HayMonth11&gt;0,HayMonth11&lt;4),VLOOKUP($H123,FORAGE2,3)*($M123),0)))</f>
        <v/>
      </c>
      <c r="O123" s="17" t="str">
        <f>IF($H123="","",IF(HayMonth11=0,VLOOKUP($H123,FORAGE2,4)*($M123),IF(AND(HayMonth11&gt;0,HayMonth11&lt;5),VLOOKUP($H123,FORAGE2,4)*($M123),0)))</f>
        <v/>
      </c>
      <c r="P123" s="17" t="str">
        <f>IF($H123="","",IF(HayMonth11=0,VLOOKUP($H123,FORAGE2,5)*($M123),IF(AND(HayMonth11&gt;0,HayMonth11&lt;6),VLOOKUP($H123,FORAGE2,5)*($M123),0)))</f>
        <v/>
      </c>
      <c r="Q123" s="17" t="str">
        <f>IF($H123="","",IF(HayMonth11=0,VLOOKUP($H123,FORAGE2,6)*($M123),IF(AND(HayMonth11&gt;0,HayMonth11&lt;7),VLOOKUP($H123,FORAGE2,6)*($M123),0)))</f>
        <v/>
      </c>
      <c r="R123" s="17" t="str">
        <f>IF($H123="","",IF(HayMonth11=0,VLOOKUP($H123,FORAGE2,7)*($M123),IF(AND(HayMonth11&gt;0,HayMonth11&lt;8),VLOOKUP($H123,FORAGE2,7)*($M123),0)))</f>
        <v/>
      </c>
      <c r="S123" s="17" t="str">
        <f>IF($H123="","",IF(HayMonth11=0,VLOOKUP($H123,FORAGE2,8)*($M123),IF(AND(HayMonth11&gt;0,HayMonth11&lt;9),VLOOKUP($H123,FORAGE2,8)*($M123),0)))</f>
        <v/>
      </c>
      <c r="T123" s="17" t="str">
        <f>IF($H123="","",IF(HayMonth11=0,VLOOKUP($H123,FORAGE2,9)*($M123),IF(AND(HayMonth11&gt;0,HayMonth11&lt;10),VLOOKUP($H123,FORAGE2,9)*($M123),0)))</f>
        <v/>
      </c>
      <c r="U123" s="17" t="str">
        <f>IF($H123="","",IF(HayMonth11=0,VLOOKUP($H123,FORAGE2,10)*($M123),IF(AND(HayMonth11&gt;0,HayMonth11&lt;11),VLOOKUP($H123,FORAGE2,10)*($M123),0)))</f>
        <v/>
      </c>
      <c r="V123" s="17" t="str">
        <f>IF($H123="","",IF(HayMonth11=0,VLOOKUP($H123,FORAGE2,11)*($M123),IF(AND(HayMonth11&gt;0,HayMonth11&lt;12),VLOOKUP($H123,FORAGE2,11)*($M123),0)))</f>
        <v/>
      </c>
      <c r="W123" s="17" t="str">
        <f>IF($H123="","",IF(HayMonth11=0,VLOOKUP($H123,FORAGE2,12)*($M123),IF(AND(HayMonth11&gt;0,HayMonth11&lt;1),VLOOKUP($H123,FORAGE2,12)*($M123),0)))</f>
        <v/>
      </c>
      <c r="X123" s="17" t="str">
        <f>IF($H123="","",IF(HayMonth11=0,VLOOKUP($H123,FORAGE2,13)*($M123),IF(AND(HayMonth11&gt;0,HayMonth11&lt;2),VLOOKUP($H123,FORAGE2,13)*($M123),0)))</f>
        <v/>
      </c>
      <c r="Y123" s="17" t="str">
        <f>IF($H123="","",IF(HayMonth11=0,VLOOKUP($H123,FORAGE2,14)*($M123),IF(AND(HayMonth11&gt;0,HayMonth11&lt;3),VLOOKUP($H123,FORAGE2,14)*($M123),0)))</f>
        <v/>
      </c>
      <c r="Z123" s="457"/>
      <c r="AQ123" s="29"/>
    </row>
    <row r="124" spans="1:50" ht="15.75" hidden="1" customHeight="1">
      <c r="E124" s="194"/>
      <c r="F124" s="195"/>
      <c r="G124" s="1323"/>
      <c r="H124" s="983" t="s">
        <v>725</v>
      </c>
      <c r="I124" s="1041" t="str">
        <f>IF(HayMonth11&gt;0,"Hay cut in:","")</f>
        <v/>
      </c>
      <c r="J124" s="1042" t="str">
        <f>IF(HayMonth11=0,"",IF(HayMonth11=1,"Jan",IF(HayMonth11=2,"Feb",IF(HayMonth11=3,"Mar",IF(HayMonth11=4,"Apr",IF(HayMonth11=5,"May",IF(HayMonth11=6,"Jun",IF(HayMonth11=7,"Jul",IF(HayMonth11=8,"Aug",IF(HayMonth11=9,"Sep",IF(HayMonth11=10,"Oct",IF(HayMonth11=11,"Nov","Dec"))))))))))))</f>
        <v/>
      </c>
      <c r="K124" s="146"/>
      <c r="L124" s="980"/>
      <c r="M124" s="136"/>
      <c r="N124" s="136"/>
      <c r="O124" s="136"/>
      <c r="P124" s="136"/>
      <c r="Q124" s="134"/>
      <c r="R124" s="136"/>
      <c r="S124" s="136"/>
      <c r="T124" s="136"/>
      <c r="U124" s="136"/>
      <c r="V124" s="136"/>
      <c r="W124" s="136"/>
      <c r="X124" s="136"/>
      <c r="Y124" s="142"/>
      <c r="Z124" s="457"/>
      <c r="AQ124" s="29"/>
    </row>
    <row r="125" spans="1:50" ht="15.95" hidden="1" customHeight="1">
      <c r="E125" s="194"/>
      <c r="F125" s="195"/>
      <c r="G125" s="1322"/>
      <c r="H125" s="241"/>
      <c r="I125" s="58"/>
      <c r="J125" s="55"/>
      <c r="K125" s="18">
        <f t="shared" ref="K125" si="12">I125*J125</f>
        <v>0</v>
      </c>
      <c r="L125" s="245" t="str">
        <f>IF(ISBLANK(Field12)="",(VLOOKUP(ROUND(TotalAcreGrazed/Acres12,0),[0]!PastureEffTable,2,)),"")</f>
        <v/>
      </c>
      <c r="M125" s="18">
        <f t="shared" ref="M125" si="13">K125*L125/100</f>
        <v>0</v>
      </c>
      <c r="N125" s="17" t="str">
        <f>IF($H125="","",IF(HayMonth12=0,VLOOKUP($H125,FORAGE2,3)*($M125),IF(AND(HayMonth12&gt;0,HayMonth12&lt;4),VLOOKUP($H125,FORAGE2,3)*($M125),0)))</f>
        <v/>
      </c>
      <c r="O125" s="17" t="str">
        <f>IF($H125="","",IF(HayMonth12=0,VLOOKUP($H125,FORAGE2,4)*($M125),IF(AND(HayMonth12&gt;0,HayMonth12&lt;5),VLOOKUP($H125,FORAGE2,4)*($M125),0)))</f>
        <v/>
      </c>
      <c r="P125" s="17" t="str">
        <f>IF($H125="","",IF(HayMonth12=0,VLOOKUP($H125,FORAGE2,5)*($M125),IF(AND(HayMonth12&gt;0,HayMonth12&lt;6),VLOOKUP($H125,FORAGE2,5)*($M125),0)))</f>
        <v/>
      </c>
      <c r="Q125" s="17" t="str">
        <f>IF($H125="","",IF(HayMonth12=0,VLOOKUP($H125,FORAGE2,6)*($M125),IF(AND(HayMonth12&gt;0,HayMonth12&lt;7),VLOOKUP($H125,FORAGE2,6)*($M125),0)))</f>
        <v/>
      </c>
      <c r="R125" s="17" t="str">
        <f>IF($H125="","",IF(HayMonth12=0,VLOOKUP($H125,FORAGE2,7)*($M125),IF(AND(HayMonth12&gt;0,HayMonth12&lt;8),VLOOKUP($H125,FORAGE2,7)*($M125),0)))</f>
        <v/>
      </c>
      <c r="S125" s="17" t="str">
        <f>IF($H125="","",IF(HayMonth12=0,VLOOKUP($H125,FORAGE2,8)*($M125),IF(AND(HayMonth12&gt;0,HayMonth12&lt;9),VLOOKUP($H125,FORAGE2,8)*($M125),0)))</f>
        <v/>
      </c>
      <c r="T125" s="17" t="str">
        <f>IF($H125="","",IF(HayMonth12=0,VLOOKUP($H125,FORAGE2,9)*($M125),IF(AND(HayMonth12&gt;0,HayMonth12&lt;10),VLOOKUP($H125,FORAGE2,9)*($M125),0)))</f>
        <v/>
      </c>
      <c r="U125" s="17" t="str">
        <f>IF($H125="","",IF(HayMonth12=0,VLOOKUP($H125,FORAGE2,10)*($M125),IF(AND(HayMonth12&gt;0,HayMonth12&lt;11),VLOOKUP($H125,FORAGE2,10)*($M125),0)))</f>
        <v/>
      </c>
      <c r="V125" s="17" t="str">
        <f>IF($H125="","",IF(HayMonth12=0,VLOOKUP($H125,FORAGE2,11)*($M125),IF(AND(HayMonth12&gt;0,HayMonth12&lt;12),VLOOKUP($H125,FORAGE2,11)*($M125),0)))</f>
        <v/>
      </c>
      <c r="W125" s="17" t="str">
        <f>IF($H125="","",IF(HayMonth12=0,VLOOKUP($H125,FORAGE2,12)*($M125),IF(AND(HayMonth12&gt;0,HayMonth12&lt;1),VLOOKUP($H125,FORAGE2,12)*($M125),0)))</f>
        <v/>
      </c>
      <c r="X125" s="17" t="str">
        <f>IF($H125="","",IF(HayMonth12=0,VLOOKUP($H125,FORAGE2,13)*($M125),IF(AND(HayMonth12&gt;0,HayMonth12&lt;2),VLOOKUP($H125,FORAGE2,13)*($M125),0)))</f>
        <v/>
      </c>
      <c r="Y125" s="17" t="str">
        <f>IF($H125="","",IF(HayMonth12=0,VLOOKUP($H125,FORAGE2,14)*($M125),IF(AND(HayMonth12&gt;0,HayMonth12&lt;3),VLOOKUP($H125,FORAGE2,14)*($M125),0)))</f>
        <v/>
      </c>
      <c r="Z125" s="457"/>
      <c r="AQ125" s="29"/>
    </row>
    <row r="126" spans="1:50" ht="15.75" hidden="1" customHeight="1">
      <c r="E126" s="194"/>
      <c r="F126" s="195"/>
      <c r="G126" s="1323"/>
      <c r="H126" s="983" t="s">
        <v>725</v>
      </c>
      <c r="I126" s="1041" t="str">
        <f>IF(HayMonth12&gt;0,"Hay cut in:","")</f>
        <v/>
      </c>
      <c r="J126" s="1042" t="str">
        <f>IF(HayMonth12=0,"",IF(HayMonth12=1,"Jan",IF(HayMonth12=2,"Feb",IF(HayMonth12=3,"Mar",IF(HayMonth12=4,"Apr",IF(HayMonth12=5,"May",IF(HayMonth12=6,"Jun",IF(HayMonth12=7,"Jul",IF(HayMonth12=8,"Aug",IF(HayMonth12=9,"Sep",IF(HayMonth12=10,"Oct",IF(HayMonth12=11,"Nov","Dec"))))))))))))</f>
        <v/>
      </c>
      <c r="K126" s="146"/>
      <c r="L126" s="980"/>
      <c r="M126" s="136"/>
      <c r="N126" s="136"/>
      <c r="O126" s="136"/>
      <c r="P126" s="136"/>
      <c r="Q126" s="134"/>
      <c r="R126" s="136"/>
      <c r="S126" s="136"/>
      <c r="T126" s="136"/>
      <c r="U126" s="136"/>
      <c r="V126" s="136"/>
      <c r="W126" s="136"/>
      <c r="X126" s="136"/>
      <c r="Y126" s="142"/>
      <c r="Z126" s="457"/>
      <c r="AQ126" s="29"/>
    </row>
    <row r="127" spans="1:50" ht="15.95" hidden="1" customHeight="1">
      <c r="E127" s="194"/>
      <c r="F127" s="195"/>
      <c r="G127" s="1322"/>
      <c r="H127" s="241"/>
      <c r="I127" s="58"/>
      <c r="J127" s="55"/>
      <c r="K127" s="18">
        <f t="shared" ref="K127" si="14">I127*J127</f>
        <v>0</v>
      </c>
      <c r="L127" s="245" t="str">
        <f>IF(ISBLANK(Field13)="",(VLOOKUP(ROUND(TotalAcreGrazed/Acres13,0),[0]!PastureEffTable,2,)),"")</f>
        <v/>
      </c>
      <c r="M127" s="18">
        <f t="shared" ref="M127" si="15">K127*L127/100</f>
        <v>0</v>
      </c>
      <c r="N127" s="17" t="str">
        <f>IF($H127="","",IF(HayMonth13=0,VLOOKUP($H127,FORAGE2,3)*($M127),IF(AND(HayMonth13&gt;0,HayMonth13&lt;4),VLOOKUP($H127,FORAGE2,3)*($M127),0)))</f>
        <v/>
      </c>
      <c r="O127" s="17" t="str">
        <f>IF($H127="","",IF(HayMonth13=0,VLOOKUP($H127,FORAGE2,4)*($M127),IF(AND(HayMonth13&gt;0,HayMonth13&lt;5),VLOOKUP($H127,FORAGE2,4)*($M127),0)))</f>
        <v/>
      </c>
      <c r="P127" s="17" t="str">
        <f>IF($H127="","",IF(HayMonth13=0,VLOOKUP($H127,FORAGE2,5)*($M127),IF(AND(HayMonth13&gt;0,HayMonth13&lt;6),VLOOKUP($H127,FORAGE2,5)*($M127),0)))</f>
        <v/>
      </c>
      <c r="Q127" s="17" t="str">
        <f>IF($H127="","",IF(HayMonth13=0,VLOOKUP($H127,FORAGE2,6)*($M127),IF(AND(HayMonth13&gt;0,HayMonth13&lt;7),VLOOKUP($H127,FORAGE2,6)*($M127),0)))</f>
        <v/>
      </c>
      <c r="R127" s="17" t="str">
        <f>IF($H127="","",IF(HayMonth13=0,VLOOKUP($H127,FORAGE2,7)*($M127),IF(AND(HayMonth13&gt;0,HayMonth13&lt;8),VLOOKUP($H127,FORAGE2,7)*($M127),0)))</f>
        <v/>
      </c>
      <c r="S127" s="17" t="str">
        <f>IF($H127="","",IF(HayMonth13=0,VLOOKUP($H127,FORAGE2,8)*($M127),IF(AND(HayMonth13&gt;0,HayMonth13&lt;9),VLOOKUP($H127,FORAGE2,8)*($M127),0)))</f>
        <v/>
      </c>
      <c r="T127" s="17" t="str">
        <f>IF($H127="","",IF(HayMonth13=0,VLOOKUP($H127,FORAGE2,9)*($M127),IF(AND(HayMonth13&gt;0,HayMonth13&lt;10),VLOOKUP($H127,FORAGE2,9)*($M127),0)))</f>
        <v/>
      </c>
      <c r="U127" s="17" t="str">
        <f>IF($H127="","",IF(HayMonth13=0,VLOOKUP($H127,FORAGE2,10)*($M127),IF(AND(HayMonth13&gt;0,HayMonth13&lt;11),VLOOKUP($H127,FORAGE2,10)*($M127),0)))</f>
        <v/>
      </c>
      <c r="V127" s="17" t="str">
        <f>IF($H127="","",IF(HayMonth13=0,VLOOKUP($H127,FORAGE2,11)*($M127),IF(AND(HayMonth13&gt;0,HayMonth13&lt;12),VLOOKUP($H127,FORAGE2,11)*($M127),0)))</f>
        <v/>
      </c>
      <c r="W127" s="17" t="str">
        <f>IF($H127="","",IF(HayMonth13=0,VLOOKUP($H127,FORAGE2,12)*($M127),IF(AND(HayMonth13&gt;0,HayMonth13&lt;1),VLOOKUP($H127,FORAGE2,12)*($M127),0)))</f>
        <v/>
      </c>
      <c r="X127" s="17" t="str">
        <f>IF($H127="","",IF(HayMonth13=0,VLOOKUP($H127,FORAGE2,13)*($M127),IF(AND(HayMonth13&gt;0,HayMonth13&lt;2),VLOOKUP($H127,FORAGE2,13)*($M127),0)))</f>
        <v/>
      </c>
      <c r="Y127" s="17" t="str">
        <f>IF($H127="","",IF(HayMonth13=0,VLOOKUP($H127,FORAGE2,14)*($M127),IF(AND(HayMonth13&gt;0,HayMonth13&lt;3),VLOOKUP($H127,FORAGE2,14)*($M127),0)))</f>
        <v/>
      </c>
      <c r="Z127" s="457"/>
      <c r="AQ127" s="29"/>
    </row>
    <row r="128" spans="1:50" ht="15.75" hidden="1" customHeight="1">
      <c r="E128" s="194"/>
      <c r="F128" s="195"/>
      <c r="G128" s="1323"/>
      <c r="H128" s="983" t="s">
        <v>725</v>
      </c>
      <c r="I128" s="1041" t="str">
        <f>IF(HayMonth13&gt;0,"Hay cut in:","")</f>
        <v/>
      </c>
      <c r="J128" s="1042" t="str">
        <f>IF(HayMonth13=0,"",IF(HayMonth13=1,"Jan",IF(HayMonth13=2,"Feb",IF(HayMonth13=3,"Mar",IF(HayMonth13=4,"Apr",IF(HayMonth13=5,"May",IF(HayMonth13=6,"Jun",IF(HayMonth13=7,"Jul",IF(HayMonth13=8,"Aug",IF(HayMonth13=9,"Sep",IF(HayMonth13=10,"Oct",IF(HayMonth13=11,"Nov","Dec"))))))))))))</f>
        <v/>
      </c>
      <c r="K128" s="146"/>
      <c r="L128" s="980"/>
      <c r="M128" s="136"/>
      <c r="N128" s="136"/>
      <c r="O128" s="136"/>
      <c r="P128" s="136"/>
      <c r="Q128" s="134"/>
      <c r="R128" s="136"/>
      <c r="S128" s="136"/>
      <c r="T128" s="136"/>
      <c r="U128" s="136"/>
      <c r="V128" s="136"/>
      <c r="W128" s="136"/>
      <c r="X128" s="136"/>
      <c r="Y128" s="142"/>
      <c r="Z128" s="457"/>
      <c r="AQ128" s="29"/>
    </row>
    <row r="129" spans="5:43" ht="15.95" hidden="1" customHeight="1">
      <c r="E129" s="194"/>
      <c r="F129" s="195"/>
      <c r="G129" s="1322"/>
      <c r="H129" s="241"/>
      <c r="I129" s="58"/>
      <c r="J129" s="55"/>
      <c r="K129" s="18">
        <f t="shared" ref="K129" si="16">I129*J129</f>
        <v>0</v>
      </c>
      <c r="L129" s="245" t="str">
        <f>IF(ISBLANK(Field14)="",(VLOOKUP(ROUND(TotalAcreGrazed/Acres14,0),[0]!PastureEffTable,2,)),"")</f>
        <v/>
      </c>
      <c r="M129" s="18">
        <f t="shared" ref="M129" si="17">K129*L129/100</f>
        <v>0</v>
      </c>
      <c r="N129" s="17" t="str">
        <f>IF($H129="","",IF(HayMonth14=0,VLOOKUP($H129,FORAGE2,3)*($M129),IF(AND(HayMonth14&gt;0,HayMonth14&lt;4),VLOOKUP($H129,FORAGE2,3)*($M129),0)))</f>
        <v/>
      </c>
      <c r="O129" s="17" t="str">
        <f>IF($H129="","",IF(HayMonth14=0,VLOOKUP($H129,FORAGE2,4)*($M129),IF(AND(HayMonth14&gt;0,HayMonth14&lt;5),VLOOKUP($H129,FORAGE2,4)*($M129),0)))</f>
        <v/>
      </c>
      <c r="P129" s="17" t="str">
        <f>IF($H129="","",IF(HayMonth14=0,VLOOKUP($H129,FORAGE2,5)*($M129),IF(AND(HayMonth14&gt;0,HayMonth14&lt;6),VLOOKUP($H129,FORAGE2,5)*($M129),0)))</f>
        <v/>
      </c>
      <c r="Q129" s="17" t="str">
        <f>IF($H129="","",IF(HayMonth14=0,VLOOKUP($H129,FORAGE2,6)*($M129),IF(AND(HayMonth14&gt;0,HayMonth14&lt;7),VLOOKUP($H129,FORAGE2,6)*($M129),0)))</f>
        <v/>
      </c>
      <c r="R129" s="17" t="str">
        <f>IF($H129="","",IF(HayMonth14=0,VLOOKUP($H129,FORAGE2,7)*($M129),IF(AND(HayMonth14&gt;0,HayMonth14&lt;8),VLOOKUP($H129,FORAGE2,7)*($M129),0)))</f>
        <v/>
      </c>
      <c r="S129" s="17" t="str">
        <f>IF($H129="","",IF(HayMonth14=0,VLOOKUP($H129,FORAGE2,8)*($M129),IF(AND(HayMonth14&gt;0,HayMonth14&lt;9),VLOOKUP($H129,FORAGE2,8)*($M129),0)))</f>
        <v/>
      </c>
      <c r="T129" s="17" t="str">
        <f>IF($H129="","",IF(HayMonth14=0,VLOOKUP($H129,FORAGE2,9)*($M129),IF(AND(HayMonth14&gt;0,HayMonth14&lt;10),VLOOKUP($H129,FORAGE2,9)*($M129),0)))</f>
        <v/>
      </c>
      <c r="U129" s="17" t="str">
        <f>IF($H129="","",IF(HayMonth14=0,VLOOKUP($H129,FORAGE2,10)*($M129),IF(AND(HayMonth14&gt;0,HayMonth14&lt;11),VLOOKUP($H129,FORAGE2,10)*($M129),0)))</f>
        <v/>
      </c>
      <c r="V129" s="17" t="str">
        <f>IF($H129="","",IF(HayMonth14=0,VLOOKUP($H129,FORAGE2,11)*($M129),IF(AND(HayMonth14&gt;0,HayMonth14&lt;12),VLOOKUP($H129,FORAGE2,11)*($M129),0)))</f>
        <v/>
      </c>
      <c r="W129" s="17" t="str">
        <f>IF($H129="","",IF(HayMonth14=0,VLOOKUP($H129,FORAGE2,12)*($M129),IF(AND(HayMonth14&gt;0,HayMonth14&lt;1),VLOOKUP($H129,FORAGE2,12)*($M129),0)))</f>
        <v/>
      </c>
      <c r="X129" s="17" t="str">
        <f>IF($H129="","",IF(HayMonth14=0,VLOOKUP($H129,FORAGE2,13)*($M129),IF(AND(HayMonth14&gt;0,HayMonth14&lt;2),VLOOKUP($H129,FORAGE2,13)*($M129),0)))</f>
        <v/>
      </c>
      <c r="Y129" s="17" t="str">
        <f>IF($H129="","",IF(HayMonth14=0,VLOOKUP($H129,FORAGE2,14)*($M129),IF(AND(HayMonth14&gt;0,HayMonth14&lt;3),VLOOKUP($H129,FORAGE2,14)*($M129),0)))</f>
        <v/>
      </c>
      <c r="Z129" s="457"/>
      <c r="AQ129" s="29"/>
    </row>
    <row r="130" spans="5:43" ht="15.75" hidden="1" customHeight="1">
      <c r="E130" s="194"/>
      <c r="F130" s="195"/>
      <c r="G130" s="1323"/>
      <c r="H130" s="983" t="s">
        <v>725</v>
      </c>
      <c r="I130" s="1041" t="str">
        <f>IF(HayMonth14&gt;0,"Hay cut in:","")</f>
        <v/>
      </c>
      <c r="J130" s="1042" t="str">
        <f>IF(HayMonth14=0,"",IF(HayMonth14=1,"Jan",IF(HayMonth14=2,"Feb",IF(HayMonth14=3,"Mar",IF(HayMonth14=4,"Apr",IF(HayMonth14=5,"May",IF(HayMonth14=6,"Jun",IF(HayMonth14=7,"Jul",IF(HayMonth14=8,"Aug",IF(HayMonth14=9,"Sep",IF(HayMonth14=10,"Oct",IF(HayMonth14=11,"Nov","Dec"))))))))))))</f>
        <v/>
      </c>
      <c r="K130" s="146"/>
      <c r="L130" s="980"/>
      <c r="M130" s="136"/>
      <c r="N130" s="136"/>
      <c r="O130" s="136"/>
      <c r="P130" s="136"/>
      <c r="Q130" s="134"/>
      <c r="R130" s="136"/>
      <c r="S130" s="136"/>
      <c r="T130" s="136"/>
      <c r="U130" s="136"/>
      <c r="V130" s="136"/>
      <c r="W130" s="136"/>
      <c r="X130" s="136"/>
      <c r="Y130" s="142"/>
      <c r="Z130" s="457"/>
    </row>
    <row r="131" spans="5:43" ht="15.95" hidden="1" customHeight="1">
      <c r="E131" s="194"/>
      <c r="F131" s="195"/>
      <c r="G131" s="1322"/>
      <c r="H131" s="241"/>
      <c r="I131" s="58"/>
      <c r="J131" s="55"/>
      <c r="K131" s="18">
        <f t="shared" ref="K131" si="18">I131*J131</f>
        <v>0</v>
      </c>
      <c r="L131" s="245" t="str">
        <f>IF(ISBLANK(Field15)="",(VLOOKUP(ROUND(TotalAcreGrazed/Acres15,0),[0]!PastureEffTable,2,)),"")</f>
        <v/>
      </c>
      <c r="M131" s="18">
        <f t="shared" ref="M131" si="19">K131*L131/100</f>
        <v>0</v>
      </c>
      <c r="N131" s="17" t="str">
        <f>IF($H131="","",IF(HayMonth15=0,VLOOKUP($H131,FORAGE2,3)*($M131),IF(AND(HayMonth15&gt;0,HayMonth15&lt;4),VLOOKUP($H131,FORAGE2,3)*($M131),0)))</f>
        <v/>
      </c>
      <c r="O131" s="17" t="str">
        <f>IF($H131="","",IF(HayMonth15=0,VLOOKUP($H131,FORAGE2,4)*($M131),IF(AND(HayMonth15&gt;0,HayMonth15&lt;5),VLOOKUP($H131,FORAGE2,4)*($M131),0)))</f>
        <v/>
      </c>
      <c r="P131" s="17" t="str">
        <f>IF($H131="","",IF(HayMonth15=0,VLOOKUP($H131,FORAGE2,5)*($M131),IF(AND(HayMonth15&gt;0,HayMonth15&lt;6),VLOOKUP($H131,FORAGE2,5)*($M131),0)))</f>
        <v/>
      </c>
      <c r="Q131" s="17" t="str">
        <f>IF($H131="","",IF(HayMonth15=0,VLOOKUP($H131,FORAGE2,6)*($M131),IF(AND(HayMonth15&gt;0,HayMonth15&lt;7),VLOOKUP($H131,FORAGE2,6)*($M131),0)))</f>
        <v/>
      </c>
      <c r="R131" s="17" t="str">
        <f>IF($H131="","",IF(HayMonth15=0,VLOOKUP($H131,FORAGE2,7)*($M131),IF(AND(HayMonth15&gt;0,HayMonth15&lt;8),VLOOKUP($H131,FORAGE2,7)*($M131),0)))</f>
        <v/>
      </c>
      <c r="S131" s="17" t="str">
        <f>IF($H131="","",IF(HayMonth15=0,VLOOKUP($H131,FORAGE2,8)*($M131),IF(AND(HayMonth15&gt;0,HayMonth15&lt;9),VLOOKUP($H131,FORAGE2,8)*($M131),0)))</f>
        <v/>
      </c>
      <c r="T131" s="17" t="str">
        <f>IF($H131="","",IF(HayMonth15=0,VLOOKUP($H131,FORAGE2,9)*($M131),IF(AND(HayMonth15&gt;0,HayMonth15&lt;10),VLOOKUP($H131,FORAGE2,9)*($M131),0)))</f>
        <v/>
      </c>
      <c r="U131" s="17" t="str">
        <f>IF($H131="","",IF(HayMonth15=0,VLOOKUP($H131,FORAGE2,10)*($M131),IF(AND(HayMonth15&gt;0,HayMonth15&lt;11),VLOOKUP($H131,FORAGE2,10)*($M131),0)))</f>
        <v/>
      </c>
      <c r="V131" s="17" t="str">
        <f>IF($H131="","",IF(HayMonth15=0,VLOOKUP($H131,FORAGE2,11)*($M131),IF(AND(HayMonth15&gt;0,HayMonth15&lt;12),VLOOKUP($H131,FORAGE2,11)*($M131),0)))</f>
        <v/>
      </c>
      <c r="W131" s="17" t="str">
        <f>IF($H131="","",IF(HayMonth15=0,VLOOKUP($H131,FORAGE2,12)*($M131),IF(AND(HayMonth15&gt;0,HayMonth15&lt;1),VLOOKUP($H131,FORAGE2,12)*($M131),0)))</f>
        <v/>
      </c>
      <c r="X131" s="17" t="str">
        <f>IF($H131="","",IF(HayMonth15=0,VLOOKUP($H131,FORAGE2,13)*($M131),IF(AND(HayMonth15&gt;0,HayMonth15&lt;2),VLOOKUP($H131,FORAGE2,13)*($M131),0)))</f>
        <v/>
      </c>
      <c r="Y131" s="17" t="str">
        <f>IF($H131="","",IF(HayMonth15=0,VLOOKUP($H131,FORAGE2,14)*($M131),IF(AND(HayMonth15&gt;0,HayMonth15&lt;3),VLOOKUP($H131,FORAGE2,14)*($M131),0)))</f>
        <v/>
      </c>
      <c r="Z131" s="457"/>
      <c r="AQ131" s="29"/>
    </row>
    <row r="132" spans="5:43" ht="15.75" hidden="1" customHeight="1">
      <c r="E132" s="194"/>
      <c r="F132" s="195"/>
      <c r="G132" s="1323"/>
      <c r="H132" s="983" t="s">
        <v>725</v>
      </c>
      <c r="I132" s="1041" t="str">
        <f>IF(HayMonth15&gt;0,"Hay cut in:","")</f>
        <v/>
      </c>
      <c r="J132" s="1042" t="str">
        <f>IF(HayMonth15=0,"",IF(HayMonth15=1,"Jan",IF(HayMonth15=2,"Feb",IF(HayMonth15=3,"Mar",IF(HayMonth15=4,"Apr",IF(HayMonth15=5,"May",IF(HayMonth15=6,"Jun",IF(HayMonth15=7,"Jul",IF(HayMonth15=8,"Aug",IF(HayMonth15=9,"Sep",IF(HayMonth15=10,"Oct",IF(HayMonth15=11,"Nov","Dec"))))))))))))</f>
        <v/>
      </c>
      <c r="K132" s="146"/>
      <c r="L132" s="980"/>
      <c r="M132" s="136"/>
      <c r="N132" s="136"/>
      <c r="O132" s="136"/>
      <c r="P132" s="136"/>
      <c r="Q132" s="134"/>
      <c r="R132" s="136"/>
      <c r="S132" s="136"/>
      <c r="T132" s="136"/>
      <c r="U132" s="136"/>
      <c r="V132" s="136"/>
      <c r="W132" s="136"/>
      <c r="X132" s="136"/>
      <c r="Y132" s="142"/>
      <c r="Z132" s="457"/>
    </row>
    <row r="133" spans="5:43" ht="15.95" hidden="1" customHeight="1">
      <c r="E133" s="194"/>
      <c r="F133" s="195"/>
      <c r="G133" s="1322"/>
      <c r="H133" s="241"/>
      <c r="I133" s="58"/>
      <c r="J133" s="55"/>
      <c r="K133" s="18">
        <f t="shared" ref="K133" si="20">I133*J133</f>
        <v>0</v>
      </c>
      <c r="L133" s="245" t="str">
        <f>IF(ISBLANK(Field16)="",(VLOOKUP(ROUND(TotalAcreGrazed/Acres16,0),[0]!PastureEffTable,2,)),"")</f>
        <v/>
      </c>
      <c r="M133" s="18">
        <f t="shared" ref="M133" si="21">K133*L133/100</f>
        <v>0</v>
      </c>
      <c r="N133" s="17" t="str">
        <f>IF($H133="","",IF(HayMonth16=0,VLOOKUP($H133,FORAGE2,3)*($M133),IF(AND(HayMonth16&gt;0,HayMonth16&lt;4),VLOOKUP($H133,FORAGE2,3)*($M133),0)))</f>
        <v/>
      </c>
      <c r="O133" s="17" t="str">
        <f>IF($H133="","",IF(HayMonth16=0,VLOOKUP($H133,FORAGE2,4)*($M133),IF(AND(HayMonth16&gt;0,HayMonth16&lt;5),VLOOKUP($H133,FORAGE2,4)*($M133),0)))</f>
        <v/>
      </c>
      <c r="P133" s="17" t="str">
        <f>IF($H133="","",IF(HayMonth16=0,VLOOKUP($H133,FORAGE2,5)*($M133),IF(AND(HayMonth16&gt;0,HayMonth16&lt;6),VLOOKUP($H133,FORAGE2,5)*($M133),0)))</f>
        <v/>
      </c>
      <c r="Q133" s="17" t="str">
        <f>IF($H133="","",IF(HayMonth16=0,VLOOKUP($H133,FORAGE2,6)*($M133),IF(AND(HayMonth16&gt;0,HayMonth16&lt;7),VLOOKUP($H133,FORAGE2,6)*($M133),0)))</f>
        <v/>
      </c>
      <c r="R133" s="17" t="str">
        <f>IF($H133="","",IF(HayMonth16=0,VLOOKUP($H133,FORAGE2,7)*($M133),IF(AND(HayMonth16&gt;0,HayMonth16&lt;8),VLOOKUP($H133,FORAGE2,7)*($M133),0)))</f>
        <v/>
      </c>
      <c r="S133" s="17" t="str">
        <f>IF($H133="","",IF(HayMonth16=0,VLOOKUP($H133,FORAGE2,8)*($M133),IF(AND(HayMonth16&gt;0,HayMonth16&lt;9),VLOOKUP($H133,FORAGE2,8)*($M133),0)))</f>
        <v/>
      </c>
      <c r="T133" s="17" t="str">
        <f>IF($H133="","",IF(HayMonth16=0,VLOOKUP($H133,FORAGE2,9)*($M133),IF(AND(HayMonth16&gt;0,HayMonth16&lt;10),VLOOKUP($H133,FORAGE2,9)*($M133),0)))</f>
        <v/>
      </c>
      <c r="U133" s="17" t="str">
        <f>IF($H133="","",IF(HayMonth16=0,VLOOKUP($H133,FORAGE2,10)*($M133),IF(AND(HayMonth16&gt;0,HayMonth16&lt;11),VLOOKUP($H133,FORAGE2,10)*($M133),0)))</f>
        <v/>
      </c>
      <c r="V133" s="17" t="str">
        <f>IF($H133="","",IF(HayMonth16=0,VLOOKUP($H133,FORAGE2,11)*($M133),IF(AND(HayMonth16&gt;0,HayMonth16&lt;12),VLOOKUP($H133,FORAGE2,11)*($M133),0)))</f>
        <v/>
      </c>
      <c r="W133" s="17" t="str">
        <f>IF($H133="","",IF(HayMonth16=0,VLOOKUP($H133,FORAGE2,12)*($M133),IF(AND(HayMonth16&gt;0,HayMonth16&lt;1),VLOOKUP($H133,FORAGE2,12)*($M133),0)))</f>
        <v/>
      </c>
      <c r="X133" s="17" t="str">
        <f>IF($H133="","",IF(HayMonth16=0,VLOOKUP($H133,FORAGE2,13)*($M133),IF(AND(HayMonth16&gt;0,HayMonth16&lt;2),VLOOKUP($H133,FORAGE2,13)*($M133),0)))</f>
        <v/>
      </c>
      <c r="Y133" s="17" t="str">
        <f>IF($H133="","",IF(HayMonth16=0,VLOOKUP($H133,FORAGE2,14)*($M133),IF(AND(HayMonth16&gt;0,HayMonth16&lt;3),VLOOKUP($H133,FORAGE2,14)*($M133),0)))</f>
        <v/>
      </c>
      <c r="Z133" s="457"/>
    </row>
    <row r="134" spans="5:43" ht="15.75" hidden="1" customHeight="1">
      <c r="E134" s="194"/>
      <c r="F134" s="195"/>
      <c r="G134" s="1323"/>
      <c r="H134" s="983" t="s">
        <v>725</v>
      </c>
      <c r="I134" s="1041" t="str">
        <f>IF(HayMonth16&gt;0,"Hay cut in:","")</f>
        <v/>
      </c>
      <c r="J134" s="1042" t="str">
        <f>IF(HayMonth16=0,"",IF(HayMonth16=1,"Jan",IF(HayMonth16=2,"Feb",IF(HayMonth16=3,"Mar",IF(HayMonth16=4,"Apr",IF(HayMonth16=5,"May",IF(HayMonth16=6,"Jun",IF(HayMonth16=7,"Jul",IF(HayMonth16=8,"Aug",IF(HayMonth16=9,"Sep",IF(HayMonth16=10,"Oct",IF(HayMonth16=11,"Nov","Dec"))))))))))))</f>
        <v/>
      </c>
      <c r="K134" s="146"/>
      <c r="L134" s="980"/>
      <c r="M134" s="136"/>
      <c r="N134" s="136"/>
      <c r="O134" s="136"/>
      <c r="P134" s="136"/>
      <c r="Q134" s="134"/>
      <c r="R134" s="136"/>
      <c r="S134" s="136"/>
      <c r="T134" s="136"/>
      <c r="U134" s="136"/>
      <c r="V134" s="136"/>
      <c r="W134" s="136"/>
      <c r="X134" s="136"/>
      <c r="Y134" s="142"/>
      <c r="Z134" s="457"/>
    </row>
    <row r="135" spans="5:43" ht="15.95" hidden="1" customHeight="1">
      <c r="E135" s="194"/>
      <c r="F135" s="195"/>
      <c r="G135" s="1322"/>
      <c r="H135" s="241"/>
      <c r="I135" s="58"/>
      <c r="J135" s="55"/>
      <c r="K135" s="18">
        <f t="shared" ref="K135" si="22">I135*J135</f>
        <v>0</v>
      </c>
      <c r="L135" s="245" t="str">
        <f>IF(ISBLANK(Field17)="",(VLOOKUP(ROUND(TotalAcreGrazed/Acres17,0),[0]!PastureEffTable,2,)),"")</f>
        <v/>
      </c>
      <c r="M135" s="18">
        <f t="shared" ref="M135" si="23">K135*L135/100</f>
        <v>0</v>
      </c>
      <c r="N135" s="17" t="str">
        <f>IF($H135="","",IF(HayMonth17=0,VLOOKUP($H135,FORAGE2,3)*($M135),IF(AND(HayMonth17&gt;0,HayMonth17&lt;4),VLOOKUP($H135,FORAGE2,3)*($M135),0)))</f>
        <v/>
      </c>
      <c r="O135" s="17" t="str">
        <f>IF($H135="","",IF(HayMonth17=0,VLOOKUP($H135,FORAGE2,4)*($M135),IF(AND(HayMonth17&gt;0,HayMonth17&lt;5),VLOOKUP($H135,FORAGE2,4)*($M135),0)))</f>
        <v/>
      </c>
      <c r="P135" s="17" t="str">
        <f>IF($H135="","",IF(HayMonth17=0,VLOOKUP($H135,FORAGE2,5)*($M135),IF(AND(HayMonth17&gt;0,HayMonth17&lt;6),VLOOKUP($H135,FORAGE2,5)*($M135),0)))</f>
        <v/>
      </c>
      <c r="Q135" s="17" t="str">
        <f>IF($H135="","",IF(HayMonth17=0,VLOOKUP($H135,FORAGE2,6)*($M135),IF(AND(HayMonth17&gt;0,HayMonth17&lt;7),VLOOKUP($H135,FORAGE2,6)*($M135),0)))</f>
        <v/>
      </c>
      <c r="R135" s="17" t="str">
        <f>IF($H135="","",IF(HayMonth17=0,VLOOKUP($H135,FORAGE2,7)*($M135),IF(AND(HayMonth17&gt;0,HayMonth17&lt;8),VLOOKUP($H135,FORAGE2,7)*($M135),0)))</f>
        <v/>
      </c>
      <c r="S135" s="17" t="str">
        <f>IF($H135="","",IF(HayMonth17=0,VLOOKUP($H135,FORAGE2,8)*($M135),IF(AND(HayMonth17&gt;0,HayMonth17&lt;9),VLOOKUP($H135,FORAGE2,8)*($M135),0)))</f>
        <v/>
      </c>
      <c r="T135" s="17" t="str">
        <f>IF($H135="","",IF(HayMonth17=0,VLOOKUP($H135,FORAGE2,9)*($M135),IF(AND(HayMonth17&gt;0,HayMonth17&lt;10),VLOOKUP($H135,FORAGE2,9)*($M135),0)))</f>
        <v/>
      </c>
      <c r="U135" s="17" t="str">
        <f>IF($H135="","",IF(HayMonth17=0,VLOOKUP($H135,FORAGE2,10)*($M135),IF(AND(HayMonth17&gt;0,HayMonth17&lt;11),VLOOKUP($H135,FORAGE2,10)*($M135),0)))</f>
        <v/>
      </c>
      <c r="V135" s="17" t="str">
        <f>IF($H135="","",IF(HayMonth17=0,VLOOKUP($H135,FORAGE2,11)*($M135),IF(AND(HayMonth17&gt;0,HayMonth17&lt;12),VLOOKUP($H135,FORAGE2,11)*($M135),0)))</f>
        <v/>
      </c>
      <c r="W135" s="17" t="str">
        <f>IF($H135="","",IF(HayMonth17=0,VLOOKUP($H135,FORAGE2,12)*($M135),IF(AND(HayMonth17&gt;0,HayMonth17&lt;1),VLOOKUP($H135,FORAGE2,12)*($M135),0)))</f>
        <v/>
      </c>
      <c r="X135" s="17" t="str">
        <f>IF($H135="","",IF(HayMonth17=0,VLOOKUP($H135,FORAGE2,13)*($M135),IF(AND(HayMonth17&gt;0,HayMonth17&lt;2),VLOOKUP($H135,FORAGE2,13)*($M135),0)))</f>
        <v/>
      </c>
      <c r="Y135" s="17" t="str">
        <f>IF($H135="","",IF(HayMonth17=0,VLOOKUP($H135,FORAGE2,14)*($M135),IF(AND(HayMonth17&gt;0,HayMonth17&lt;3),VLOOKUP($H135,FORAGE2,14)*($M135),0)))</f>
        <v/>
      </c>
      <c r="Z135" s="457"/>
    </row>
    <row r="136" spans="5:43" ht="15.75" hidden="1" customHeight="1">
      <c r="E136" s="194"/>
      <c r="F136" s="195"/>
      <c r="G136" s="1323"/>
      <c r="H136" s="983" t="s">
        <v>725</v>
      </c>
      <c r="I136" s="1041" t="str">
        <f>IF(HayMonth17&gt;0,"Hay cut in:","")</f>
        <v/>
      </c>
      <c r="J136" s="1042" t="str">
        <f>IF(HayMonth17=0,"",IF(HayMonth17=1,"Jan",IF(HayMonth17=2,"Feb",IF(HayMonth17=3,"Mar",IF(HayMonth17=4,"Apr",IF(HayMonth17=5,"May",IF(HayMonth17=6,"Jun",IF(HayMonth17=7,"Jul",IF(HayMonth17=8,"Aug",IF(HayMonth17=9,"Sep",IF(HayMonth17=10,"Oct",IF(HayMonth17=11,"Nov","Dec"))))))))))))</f>
        <v/>
      </c>
      <c r="K136" s="146"/>
      <c r="L136" s="980"/>
      <c r="M136" s="136"/>
      <c r="N136" s="136"/>
      <c r="O136" s="136"/>
      <c r="P136" s="136"/>
      <c r="Q136" s="134"/>
      <c r="R136" s="136"/>
      <c r="S136" s="136"/>
      <c r="T136" s="136"/>
      <c r="U136" s="136"/>
      <c r="V136" s="136"/>
      <c r="W136" s="136"/>
      <c r="X136" s="136"/>
      <c r="Y136" s="142"/>
      <c r="Z136" s="457"/>
    </row>
    <row r="137" spans="5:43" ht="15.95" hidden="1" customHeight="1">
      <c r="E137" s="194"/>
      <c r="F137" s="195"/>
      <c r="G137" s="1322"/>
      <c r="H137" s="241"/>
      <c r="I137" s="58"/>
      <c r="J137" s="55"/>
      <c r="K137" s="18">
        <f t="shared" ref="K137" si="24">I137*J137</f>
        <v>0</v>
      </c>
      <c r="L137" s="245" t="str">
        <f>IF(ISBLANK(Field18)="",(VLOOKUP(ROUND(TotalAcreGrazed/Acres18,0),[0]!PastureEffTable,2,)),"")</f>
        <v/>
      </c>
      <c r="M137" s="18">
        <f t="shared" ref="M137" si="25">K137*L137/100</f>
        <v>0</v>
      </c>
      <c r="N137" s="17" t="str">
        <f>IF($H137="","",IF(HayMonth18=0,VLOOKUP($H137,FORAGE2,3)*($M137),IF(AND(HayMonth18&gt;0,HayMonth18&lt;4),VLOOKUP($H137,FORAGE2,3)*($M137),0)))</f>
        <v/>
      </c>
      <c r="O137" s="17" t="str">
        <f>IF($H137="","",IF(HayMonth18=0,VLOOKUP($H137,FORAGE2,4)*($M137),IF(AND(HayMonth18&gt;0,HayMonth18&lt;5),VLOOKUP($H137,FORAGE2,4)*($M137),0)))</f>
        <v/>
      </c>
      <c r="P137" s="17" t="str">
        <f>IF($H137="","",IF(HayMonth18=0,VLOOKUP($H137,FORAGE2,5)*($M137),IF(AND(HayMonth18&gt;0,HayMonth18&lt;6),VLOOKUP($H137,FORAGE2,5)*($M137),0)))</f>
        <v/>
      </c>
      <c r="Q137" s="17" t="str">
        <f>IF($H137="","",IF(HayMonth18=0,VLOOKUP($H137,FORAGE2,6)*($M137),IF(AND(HayMonth18&gt;0,HayMonth18&lt;7),VLOOKUP($H137,FORAGE2,6)*($M137),0)))</f>
        <v/>
      </c>
      <c r="R137" s="17" t="str">
        <f>IF($H137="","",IF(HayMonth18=0,VLOOKUP($H137,FORAGE2,7)*($M137),IF(AND(HayMonth18&gt;0,HayMonth18&lt;8),VLOOKUP($H137,FORAGE2,7)*($M137),0)))</f>
        <v/>
      </c>
      <c r="S137" s="17" t="str">
        <f>IF($H137="","",IF(HayMonth18=0,VLOOKUP($H137,FORAGE2,8)*($M137),IF(AND(HayMonth18&gt;0,HayMonth18&lt;9),VLOOKUP($H137,FORAGE2,8)*($M137),0)))</f>
        <v/>
      </c>
      <c r="T137" s="17" t="str">
        <f>IF($H137="","",IF(HayMonth18=0,VLOOKUP($H137,FORAGE2,9)*($M137),IF(AND(HayMonth18&gt;0,HayMonth18&lt;10),VLOOKUP($H137,FORAGE2,9)*($M137),0)))</f>
        <v/>
      </c>
      <c r="U137" s="17" t="str">
        <f>IF($H137="","",IF(HayMonth18=0,VLOOKUP($H137,FORAGE2,10)*($M137),IF(AND(HayMonth18&gt;0,HayMonth18&lt;11),VLOOKUP($H137,FORAGE2,10)*($M137),0)))</f>
        <v/>
      </c>
      <c r="V137" s="17" t="str">
        <f>IF($H137="","",IF(HayMonth18=0,VLOOKUP($H137,FORAGE2,11)*($M137),IF(AND(HayMonth18&gt;0,HayMonth18&lt;12),VLOOKUP($H137,FORAGE2,11)*($M137),0)))</f>
        <v/>
      </c>
      <c r="W137" s="17" t="str">
        <f>IF($H137="","",IF(HayMonth18=0,VLOOKUP($H137,FORAGE2,12)*($M137),IF(AND(HayMonth18&gt;0,HayMonth18&lt;1),VLOOKUP($H137,FORAGE2,12)*($M137),0)))</f>
        <v/>
      </c>
      <c r="X137" s="17" t="str">
        <f>IF($H137="","",IF(HayMonth18=0,VLOOKUP($H137,FORAGE2,13)*($M137),IF(AND(HayMonth18&gt;0,HayMonth18&lt;2),VLOOKUP($H137,FORAGE2,13)*($M137),0)))</f>
        <v/>
      </c>
      <c r="Y137" s="17" t="str">
        <f>IF($H137="","",IF(HayMonth18=0,VLOOKUP($H137,FORAGE2,14)*($M137),IF(AND(HayMonth18&gt;0,HayMonth18&lt;3),VLOOKUP($H137,FORAGE2,14)*($M137),0)))</f>
        <v/>
      </c>
      <c r="Z137" s="457"/>
    </row>
    <row r="138" spans="5:43" ht="15.75" hidden="1" customHeight="1">
      <c r="E138" s="194"/>
      <c r="F138" s="195"/>
      <c r="G138" s="1323"/>
      <c r="H138" s="983" t="s">
        <v>725</v>
      </c>
      <c r="I138" s="1041" t="str">
        <f>IF(HayMonth18&gt;0,"Hay cut in:","")</f>
        <v/>
      </c>
      <c r="J138" s="1042" t="str">
        <f>IF(HayMonth18=0,"",IF(HayMonth18=1,"Jan",IF(HayMonth18=2,"Feb",IF(HayMonth18=3,"Mar",IF(HayMonth18=4,"Apr",IF(HayMonth18=5,"May",IF(HayMonth18=6,"Jun",IF(HayMonth18=7,"Jul",IF(HayMonth18=8,"Aug",IF(HayMonth18=9,"Sep",IF(HayMonth18=10,"Oct",IF(HayMonth18=11,"Nov","Dec"))))))))))))</f>
        <v/>
      </c>
      <c r="K138" s="146"/>
      <c r="L138" s="980"/>
      <c r="M138" s="136"/>
      <c r="N138" s="136"/>
      <c r="O138" s="136"/>
      <c r="P138" s="136"/>
      <c r="Q138" s="134"/>
      <c r="R138" s="136"/>
      <c r="S138" s="136"/>
      <c r="T138" s="136"/>
      <c r="U138" s="136"/>
      <c r="V138" s="136"/>
      <c r="W138" s="136"/>
      <c r="X138" s="136"/>
      <c r="Y138" s="142"/>
      <c r="Z138" s="457"/>
    </row>
    <row r="139" spans="5:43" ht="15.95" hidden="1" customHeight="1">
      <c r="E139" s="194"/>
      <c r="F139" s="195"/>
      <c r="G139" s="1322"/>
      <c r="H139" s="241"/>
      <c r="I139" s="58"/>
      <c r="J139" s="55"/>
      <c r="K139" s="18">
        <f t="shared" ref="K139" si="26">I139*J139</f>
        <v>0</v>
      </c>
      <c r="L139" s="245" t="str">
        <f>IF(ISBLANK(Field19)="",(VLOOKUP(ROUND(TotalAcreGrazed/Acres19,0),[0]!PastureEffTable,2,)),"")</f>
        <v/>
      </c>
      <c r="M139" s="18">
        <f t="shared" ref="M139" si="27">K139*L139/100</f>
        <v>0</v>
      </c>
      <c r="N139" s="17" t="str">
        <f>IF($H139="","",IF(HayMonth19=0,VLOOKUP($H139,FORAGE2,3)*($M139),IF(AND(HayMonth19&gt;0,HayMonth19&lt;4),VLOOKUP($H139,FORAGE2,3)*($M139),0)))</f>
        <v/>
      </c>
      <c r="O139" s="17" t="str">
        <f>IF($H139="","",IF(HayMonth19=0,VLOOKUP($H139,FORAGE2,4)*($M139),IF(AND(HayMonth19&gt;0,HayMonth19&lt;5),VLOOKUP($H139,FORAGE2,4)*($M139),0)))</f>
        <v/>
      </c>
      <c r="P139" s="17" t="str">
        <f>IF($H139="","",IF(HayMonth19=0,VLOOKUP($H139,FORAGE2,5)*($M139),IF(AND(HayMonth19&gt;0,HayMonth19&lt;6),VLOOKUP($H139,FORAGE2,5)*($M139),0)))</f>
        <v/>
      </c>
      <c r="Q139" s="17" t="str">
        <f>IF($H139="","",IF(HayMonth19=0,VLOOKUP($H139,FORAGE2,6)*($M139),IF(AND(HayMonth19&gt;0,HayMonth19&lt;7),VLOOKUP($H139,FORAGE2,6)*($M139),0)))</f>
        <v/>
      </c>
      <c r="R139" s="17" t="str">
        <f>IF($H139="","",IF(HayMonth19=0,VLOOKUP($H139,FORAGE2,7)*($M139),IF(AND(HayMonth19&gt;0,HayMonth19&lt;8),VLOOKUP($H139,FORAGE2,7)*($M139),0)))</f>
        <v/>
      </c>
      <c r="S139" s="17" t="str">
        <f>IF($H139="","",IF(HayMonth19=0,VLOOKUP($H139,FORAGE2,8)*($M139),IF(AND(HayMonth19&gt;0,HayMonth19&lt;9),VLOOKUP($H139,FORAGE2,8)*($M139),0)))</f>
        <v/>
      </c>
      <c r="T139" s="17" t="str">
        <f>IF($H139="","",IF(HayMonth19=0,VLOOKUP($H139,FORAGE2,9)*($M139),IF(AND(HayMonth19&gt;0,HayMonth19&lt;10),VLOOKUP($H139,FORAGE2,9)*($M139),0)))</f>
        <v/>
      </c>
      <c r="U139" s="17" t="str">
        <f>IF($H139="","",IF(HayMonth19=0,VLOOKUP($H139,FORAGE2,10)*($M139),IF(AND(HayMonth19&gt;0,HayMonth19&lt;11),VLOOKUP($H139,FORAGE2,10)*($M139),0)))</f>
        <v/>
      </c>
      <c r="V139" s="17" t="str">
        <f>IF($H139="","",IF(HayMonth19=0,VLOOKUP($H139,FORAGE2,11)*($M139),IF(AND(HayMonth19&gt;0,HayMonth19&lt;12),VLOOKUP($H139,FORAGE2,11)*($M139),0)))</f>
        <v/>
      </c>
      <c r="W139" s="17" t="str">
        <f>IF($H139="","",IF(HayMonth19=0,VLOOKUP($H139,FORAGE2,12)*($M139),IF(AND(HayMonth19&gt;0,HayMonth19&lt;1),VLOOKUP($H139,FORAGE2,12)*($M139),0)))</f>
        <v/>
      </c>
      <c r="X139" s="17" t="str">
        <f>IF($H139="","",IF(HayMonth19=0,VLOOKUP($H139,FORAGE2,13)*($M139),IF(AND(HayMonth19&gt;0,HayMonth19&lt;2),VLOOKUP($H139,FORAGE2,13)*($M139),0)))</f>
        <v/>
      </c>
      <c r="Y139" s="17" t="str">
        <f>IF($H139="","",IF(HayMonth19=0,VLOOKUP($H139,FORAGE2,14)*($M139),IF(AND(HayMonth19&gt;0,HayMonth19&lt;3),VLOOKUP($H139,FORAGE2,14)*($M139),0)))</f>
        <v/>
      </c>
      <c r="Z139" s="457"/>
    </row>
    <row r="140" spans="5:43" ht="15.75" hidden="1" customHeight="1">
      <c r="E140" s="194"/>
      <c r="F140" s="195"/>
      <c r="G140" s="1323"/>
      <c r="H140" s="983" t="s">
        <v>725</v>
      </c>
      <c r="I140" s="1041" t="str">
        <f>IF(HayMonth19&gt;0,"Hay cut in:","")</f>
        <v/>
      </c>
      <c r="J140" s="1042" t="str">
        <f>IF(HayMonth19=0,"",IF(HayMonth19=1,"Jan",IF(HayMonth19=2,"Feb",IF(HayMonth19=3,"Mar",IF(HayMonth19=4,"Apr",IF(HayMonth19=5,"May",IF(HayMonth19=6,"Jun",IF(HayMonth19=7,"Jul",IF(HayMonth19=8,"Aug",IF(HayMonth19=9,"Sep",IF(HayMonth19=10,"Oct",IF(HayMonth19=11,"Nov","Dec"))))))))))))</f>
        <v/>
      </c>
      <c r="K140" s="146"/>
      <c r="L140" s="980"/>
      <c r="M140" s="136"/>
      <c r="N140" s="136"/>
      <c r="O140" s="136"/>
      <c r="P140" s="136"/>
      <c r="Q140" s="134"/>
      <c r="R140" s="136"/>
      <c r="S140" s="136"/>
      <c r="T140" s="136"/>
      <c r="U140" s="136"/>
      <c r="V140" s="136"/>
      <c r="W140" s="136"/>
      <c r="X140" s="136"/>
      <c r="Y140" s="142"/>
      <c r="Z140" s="457"/>
    </row>
    <row r="141" spans="5:43" ht="15.95" hidden="1" customHeight="1">
      <c r="E141" s="194"/>
      <c r="F141" s="195"/>
      <c r="G141" s="1322"/>
      <c r="H141" s="241"/>
      <c r="I141" s="58"/>
      <c r="J141" s="55"/>
      <c r="K141" s="18">
        <f t="shared" ref="K141" si="28">I141*J141</f>
        <v>0</v>
      </c>
      <c r="L141" s="245" t="str">
        <f>IF(ISBLANK(Field20)="",(VLOOKUP(ROUND(TotalAcreGrazed/Acres20,0),[0]!PastureEffTable,2,)),"")</f>
        <v/>
      </c>
      <c r="M141" s="18">
        <f t="shared" ref="M141" si="29">K141*L141/100</f>
        <v>0</v>
      </c>
      <c r="N141" s="17" t="str">
        <f>IF($H141="","",IF(HayMonth20=0,VLOOKUP($H141,FORAGE2,3)*($M141),IF(AND(HayMonth20&gt;0,HayMonth20&lt;4),VLOOKUP($H141,FORAGE2,3)*($M141),0)))</f>
        <v/>
      </c>
      <c r="O141" s="17" t="str">
        <f>IF($H141="","",IF(HayMonth20=0,VLOOKUP($H141,FORAGE2,4)*($M141),IF(AND(HayMonth20&gt;0,HayMonth20&lt;5),VLOOKUP($H141,FORAGE2,4)*($M141),0)))</f>
        <v/>
      </c>
      <c r="P141" s="17" t="str">
        <f>IF($H141="","",IF(HayMonth20=0,VLOOKUP($H141,FORAGE2,5)*($M141),IF(AND(HayMonth20&gt;0,HayMonth20&lt;6),VLOOKUP($H141,FORAGE2,5)*($M141),0)))</f>
        <v/>
      </c>
      <c r="Q141" s="17" t="str">
        <f>IF($H141="","",IF(HayMonth20=0,VLOOKUP($H141,FORAGE2,6)*($M141),IF(AND(HayMonth20&gt;0,HayMonth20&lt;7),VLOOKUP($H141,FORAGE2,6)*($M141),0)))</f>
        <v/>
      </c>
      <c r="R141" s="17" t="str">
        <f>IF($H141="","",IF(HayMonth20=0,VLOOKUP($H141,FORAGE2,7)*($M141),IF(AND(HayMonth20&gt;0,HayMonth20&lt;8),VLOOKUP($H141,FORAGE2,7)*($M141),0)))</f>
        <v/>
      </c>
      <c r="S141" s="17" t="str">
        <f>IF($H141="","",IF(HayMonth20=0,VLOOKUP($H141,FORAGE2,8)*($M141),IF(AND(HayMonth20&gt;0,HayMonth20&lt;9),VLOOKUP($H141,FORAGE2,8)*($M141),0)))</f>
        <v/>
      </c>
      <c r="T141" s="17" t="str">
        <f>IF($H141="","",IF(HayMonth20=0,VLOOKUP($H141,FORAGE2,9)*($M141),IF(AND(HayMonth20&gt;0,HayMonth20&lt;10),VLOOKUP($H141,FORAGE2,9)*($M141),0)))</f>
        <v/>
      </c>
      <c r="U141" s="17" t="str">
        <f>IF($H141="","",IF(HayMonth20=0,VLOOKUP($H141,FORAGE2,10)*($M141),IF(AND(HayMonth20&gt;0,HayMonth20&lt;11),VLOOKUP($H141,FORAGE2,10)*($M141),0)))</f>
        <v/>
      </c>
      <c r="V141" s="17" t="str">
        <f>IF($H141="","",IF(HayMonth20=0,VLOOKUP($H141,FORAGE2,11)*($M141),IF(AND(HayMonth20&gt;0,HayMonth20&lt;12),VLOOKUP($H141,FORAGE2,11)*($M141),0)))</f>
        <v/>
      </c>
      <c r="W141" s="17" t="str">
        <f>IF($H141="","",IF(HayMonth20=0,VLOOKUP($H141,FORAGE2,12)*($M141),IF(AND(HayMonth20&gt;0,HayMonth20&lt;1),VLOOKUP($H141,FORAGE2,12)*($M141),0)))</f>
        <v/>
      </c>
      <c r="X141" s="17" t="str">
        <f>IF($H141="","",IF(HayMonth20=0,VLOOKUP($H141,FORAGE2,13)*($M141),IF(AND(HayMonth20&gt;0,HayMonth20&lt;2),VLOOKUP($H141,FORAGE2,13)*($M141),0)))</f>
        <v/>
      </c>
      <c r="Y141" s="17" t="str">
        <f>IF($H141="","",IF(HayMonth20=0,VLOOKUP($H141,FORAGE2,14)*($M141),IF(AND(HayMonth20&gt;0,HayMonth20&lt;3),VLOOKUP($H141,FORAGE2,14)*($M141),0)))</f>
        <v/>
      </c>
      <c r="Z141" s="457"/>
    </row>
    <row r="142" spans="5:43" ht="15.75" hidden="1" customHeight="1">
      <c r="E142" s="194"/>
      <c r="F142" s="195"/>
      <c r="G142" s="1323"/>
      <c r="H142" s="983" t="s">
        <v>725</v>
      </c>
      <c r="I142" s="1041" t="str">
        <f>IF(HayMonth20&gt;0,"Hay cut in:","")</f>
        <v/>
      </c>
      <c r="J142" s="1042" t="str">
        <f>IF(HayMonth20=0,"",IF(HayMonth20=1,"Jan",IF(HayMonth20=2,"Feb",IF(HayMonth20=3,"Mar",IF(HayMonth20=4,"Apr",IF(HayMonth20=5,"May",IF(HayMonth20=6,"Jun",IF(HayMonth20=7,"Jul",IF(HayMonth20=8,"Aug",IF(HayMonth20=9,"Sep",IF(HayMonth20=10,"Oct",IF(HayMonth20=11,"Nov","Dec"))))))))))))</f>
        <v/>
      </c>
      <c r="K142" s="146"/>
      <c r="L142" s="980"/>
      <c r="M142" s="136"/>
      <c r="N142" s="136"/>
      <c r="O142" s="136"/>
      <c r="P142" s="136"/>
      <c r="Q142" s="134"/>
      <c r="R142" s="136"/>
      <c r="S142" s="136"/>
      <c r="T142" s="136"/>
      <c r="U142" s="136"/>
      <c r="V142" s="136"/>
      <c r="W142" s="136"/>
      <c r="X142" s="136"/>
      <c r="Y142" s="142"/>
      <c r="Z142" s="457"/>
    </row>
    <row r="143" spans="5:43" ht="15.95" hidden="1" customHeight="1">
      <c r="E143" s="194"/>
      <c r="F143" s="195"/>
      <c r="G143" s="1322"/>
      <c r="H143" s="241"/>
      <c r="I143" s="58"/>
      <c r="J143" s="55"/>
      <c r="K143" s="18">
        <f t="shared" ref="K143" si="30">I143*J143</f>
        <v>0</v>
      </c>
      <c r="L143" s="245" t="str">
        <f>IF(ISBLANK(Field21)="",(VLOOKUP(ROUND(TotalAcreGrazed/Acres21,0),[0]!PastureEffTable,2,)),"")</f>
        <v/>
      </c>
      <c r="M143" s="18">
        <f t="shared" ref="M143" si="31">K143*L143/100</f>
        <v>0</v>
      </c>
      <c r="N143" s="17" t="str">
        <f>IF($H143="","",IF(HayMonth21=0,VLOOKUP($H143,FORAGE2,3)*($M143),IF(AND(HayMonth21&gt;0,HayMonth21&lt;4),VLOOKUP($H143,FORAGE2,3)*($M143),0)))</f>
        <v/>
      </c>
      <c r="O143" s="17" t="str">
        <f>IF($H143="","",IF(HayMonth21=0,VLOOKUP($H143,FORAGE2,4)*($M143),IF(AND(HayMonth21&gt;0,HayMonth21&lt;5),VLOOKUP($H143,FORAGE2,4)*($M143),0)))</f>
        <v/>
      </c>
      <c r="P143" s="17" t="str">
        <f>IF($H143="","",IF(HayMonth21=0,VLOOKUP($H143,FORAGE2,5)*($M143),IF(AND(HayMonth21&gt;0,HayMonth21&lt;6),VLOOKUP($H143,FORAGE2,5)*($M143),0)))</f>
        <v/>
      </c>
      <c r="Q143" s="17" t="str">
        <f>IF($H143="","",IF(HayMonth21=0,VLOOKUP($H143,FORAGE2,6)*($M143),IF(AND(HayMonth21&gt;0,HayMonth21&lt;7),VLOOKUP($H143,FORAGE2,6)*($M143),0)))</f>
        <v/>
      </c>
      <c r="R143" s="17" t="str">
        <f>IF($H143="","",IF(HayMonth21=0,VLOOKUP($H143,FORAGE2,7)*($M143),IF(AND(HayMonth21&gt;0,HayMonth21&lt;8),VLOOKUP($H143,FORAGE2,7)*($M143),0)))</f>
        <v/>
      </c>
      <c r="S143" s="17" t="str">
        <f>IF($H143="","",IF(HayMonth21=0,VLOOKUP($H143,FORAGE2,8)*($M143),IF(AND(HayMonth21&gt;0,HayMonth21&lt;9),VLOOKUP($H143,FORAGE2,8)*($M143),0)))</f>
        <v/>
      </c>
      <c r="T143" s="17" t="str">
        <f>IF($H143="","",IF(HayMonth21=0,VLOOKUP($H143,FORAGE2,9)*($M143),IF(AND(HayMonth21&gt;0,HayMonth21&lt;10),VLOOKUP($H143,FORAGE2,9)*($M143),0)))</f>
        <v/>
      </c>
      <c r="U143" s="17" t="str">
        <f>IF($H143="","",IF(HayMonth21=0,VLOOKUP($H143,FORAGE2,10)*($M143),IF(AND(HayMonth21&gt;0,HayMonth21&lt;11),VLOOKUP($H143,FORAGE2,10)*($M143),0)))</f>
        <v/>
      </c>
      <c r="V143" s="17" t="str">
        <f>IF($H143="","",IF(HayMonth21=0,VLOOKUP($H143,FORAGE2,11)*($M143),IF(AND(HayMonth21&gt;0,HayMonth21&lt;12),VLOOKUP($H143,FORAGE2,11)*($M143),0)))</f>
        <v/>
      </c>
      <c r="W143" s="17" t="str">
        <f>IF($H143="","",IF(HayMonth21=0,VLOOKUP($H143,FORAGE2,12)*($M143),IF(AND(HayMonth21&gt;0,HayMonth21&lt;1),VLOOKUP($H143,FORAGE2,12)*($M143),0)))</f>
        <v/>
      </c>
      <c r="X143" s="17" t="str">
        <f>IF($H143="","",IF(HayMonth21=0,VLOOKUP($H143,FORAGE2,13)*($M143),IF(AND(HayMonth21&gt;0,HayMonth21&lt;2),VLOOKUP($H143,FORAGE2,13)*($M143),0)))</f>
        <v/>
      </c>
      <c r="Y143" s="17" t="str">
        <f>IF($H143="","",IF(HayMonth21=0,VLOOKUP($H143,FORAGE2,14)*($M143),IF(AND(HayMonth21&gt;0,HayMonth21&lt;3),VLOOKUP($H143,FORAGE2,14)*($M143),0)))</f>
        <v/>
      </c>
      <c r="Z143" s="457"/>
    </row>
    <row r="144" spans="5:43" ht="15.75" hidden="1" customHeight="1">
      <c r="E144" s="194"/>
      <c r="F144" s="195"/>
      <c r="G144" s="1323"/>
      <c r="H144" s="983" t="s">
        <v>725</v>
      </c>
      <c r="I144" s="1041" t="str">
        <f>IF(HayMonth21&gt;0,"Hay cut in:","")</f>
        <v/>
      </c>
      <c r="J144" s="1042" t="str">
        <f>IF(HayMonth21=0,"",IF(HayMonth21=1,"Jan",IF(HayMonth21=2,"Feb",IF(HayMonth21=3,"Mar",IF(HayMonth21=4,"Apr",IF(HayMonth21=5,"May",IF(HayMonth21=6,"Jun",IF(HayMonth21=7,"Jul",IF(HayMonth21=8,"Aug",IF(HayMonth21=9,"Sep",IF(HayMonth21=10,"Oct",IF(HayMonth21=11,"Nov","Dec"))))))))))))</f>
        <v/>
      </c>
      <c r="K144" s="146"/>
      <c r="L144" s="980"/>
      <c r="M144" s="136"/>
      <c r="N144" s="136"/>
      <c r="O144" s="136"/>
      <c r="P144" s="136"/>
      <c r="Q144" s="134"/>
      <c r="R144" s="136"/>
      <c r="S144" s="136"/>
      <c r="T144" s="136"/>
      <c r="U144" s="136"/>
      <c r="V144" s="136"/>
      <c r="W144" s="136"/>
      <c r="X144" s="136"/>
      <c r="Y144" s="142"/>
      <c r="Z144" s="457"/>
    </row>
    <row r="145" spans="5:26" ht="15.95" hidden="1" customHeight="1">
      <c r="E145" s="194"/>
      <c r="F145" s="195"/>
      <c r="G145" s="1322"/>
      <c r="H145" s="241"/>
      <c r="I145" s="58"/>
      <c r="J145" s="55"/>
      <c r="K145" s="18">
        <f t="shared" ref="K145" si="32">I145*J145</f>
        <v>0</v>
      </c>
      <c r="L145" s="245" t="str">
        <f>IF(ISBLANK(Field22)="",(VLOOKUP(ROUND(TotalAcreGrazed/Acres22,0),[0]!PastureEffTable,2,)),"")</f>
        <v/>
      </c>
      <c r="M145" s="18">
        <f t="shared" ref="M145" si="33">K145*L145/100</f>
        <v>0</v>
      </c>
      <c r="N145" s="17" t="str">
        <f>IF($H145="","",IF(HayMonth22=0,VLOOKUP($H145,FORAGE2,3)*($M145),IF(AND(HayMonth22&gt;0,HayMonth22&lt;4),VLOOKUP($H145,FORAGE2,3)*($M145),0)))</f>
        <v/>
      </c>
      <c r="O145" s="17" t="str">
        <f>IF($H145="","",IF(HayMonth22=0,VLOOKUP($H145,FORAGE2,4)*($M145),IF(AND(HayMonth22&gt;0,HayMonth22&lt;5),VLOOKUP($H145,FORAGE2,4)*($M145),0)))</f>
        <v/>
      </c>
      <c r="P145" s="17" t="str">
        <f>IF($H145="","",IF(HayMonth22=0,VLOOKUP($H145,FORAGE2,5)*($M145),IF(AND(HayMonth22&gt;0,HayMonth22&lt;6),VLOOKUP($H145,FORAGE2,5)*($M145),0)))</f>
        <v/>
      </c>
      <c r="Q145" s="17" t="str">
        <f>IF($H145="","",IF(HayMonth22=0,VLOOKUP($H145,FORAGE2,6)*($M145),IF(AND(HayMonth22&gt;0,HayMonth22&lt;7),VLOOKUP($H145,FORAGE2,6)*($M145),0)))</f>
        <v/>
      </c>
      <c r="R145" s="17" t="str">
        <f>IF($H145="","",IF(HayMonth22=0,VLOOKUP($H145,FORAGE2,7)*($M145),IF(AND(HayMonth22&gt;0,HayMonth22&lt;8),VLOOKUP($H145,FORAGE2,7)*($M145),0)))</f>
        <v/>
      </c>
      <c r="S145" s="17" t="str">
        <f>IF($H145="","",IF(HayMonth22=0,VLOOKUP($H145,FORAGE2,8)*($M145),IF(AND(HayMonth22&gt;0,HayMonth22&lt;9),VLOOKUP($H145,FORAGE2,8)*($M145),0)))</f>
        <v/>
      </c>
      <c r="T145" s="17" t="str">
        <f>IF($H145="","",IF(HayMonth22=0,VLOOKUP($H145,FORAGE2,9)*($M145),IF(AND(HayMonth22&gt;0,HayMonth22&lt;10),VLOOKUP($H145,FORAGE2,9)*($M145),0)))</f>
        <v/>
      </c>
      <c r="U145" s="17" t="str">
        <f>IF($H145="","",IF(HayMonth22=0,VLOOKUP($H145,FORAGE2,10)*($M145),IF(AND(HayMonth22&gt;0,HayMonth22&lt;11),VLOOKUP($H145,FORAGE2,10)*($M145),0)))</f>
        <v/>
      </c>
      <c r="V145" s="17" t="str">
        <f>IF($H145="","",IF(HayMonth22=0,VLOOKUP($H145,FORAGE2,11)*($M145),IF(AND(HayMonth22&gt;0,HayMonth22&lt;12),VLOOKUP($H145,FORAGE2,11)*($M145),0)))</f>
        <v/>
      </c>
      <c r="W145" s="17" t="str">
        <f>IF($H145="","",IF(HayMonth22=0,VLOOKUP($H145,FORAGE2,12)*($M145),IF(AND(HayMonth22&gt;0,HayMonth22&lt;1),VLOOKUP($H145,FORAGE2,12)*($M145),0)))</f>
        <v/>
      </c>
      <c r="X145" s="17" t="str">
        <f>IF($H145="","",IF(HayMonth22=0,VLOOKUP($H145,FORAGE2,13)*($M145),IF(AND(HayMonth22&gt;0,HayMonth22&lt;2),VLOOKUP($H145,FORAGE2,13)*($M145),0)))</f>
        <v/>
      </c>
      <c r="Y145" s="17" t="str">
        <f>IF($H145="","",IF(HayMonth22=0,VLOOKUP($H145,FORAGE2,14)*($M145),IF(AND(HayMonth22&gt;0,HayMonth22&lt;3),VLOOKUP($H145,FORAGE2,14)*($M145),0)))</f>
        <v/>
      </c>
      <c r="Z145" s="457"/>
    </row>
    <row r="146" spans="5:26" ht="15.75" hidden="1" customHeight="1">
      <c r="E146" s="194"/>
      <c r="F146" s="195"/>
      <c r="G146" s="1323"/>
      <c r="H146" s="983" t="s">
        <v>725</v>
      </c>
      <c r="I146" s="1041" t="str">
        <f>IF(HayMonth22&gt;0,"Hay cut in:","")</f>
        <v/>
      </c>
      <c r="J146" s="1042" t="str">
        <f>IF(HayMonth22=0,"",IF(HayMonth22=1,"Jan",IF(HayMonth22=2,"Feb",IF(HayMonth22=3,"Mar",IF(HayMonth22=4,"Apr",IF(HayMonth22=5,"May",IF(HayMonth22=6,"Jun",IF(HayMonth22=7,"Jul",IF(HayMonth22=8,"Aug",IF(HayMonth22=9,"Sep",IF(HayMonth22=10,"Oct",IF(HayMonth22=11,"Nov","Dec"))))))))))))</f>
        <v/>
      </c>
      <c r="K146" s="146"/>
      <c r="L146" s="980"/>
      <c r="M146" s="136"/>
      <c r="N146" s="136"/>
      <c r="O146" s="136"/>
      <c r="P146" s="136"/>
      <c r="Q146" s="134"/>
      <c r="R146" s="136"/>
      <c r="S146" s="136"/>
      <c r="T146" s="136"/>
      <c r="U146" s="136"/>
      <c r="V146" s="136"/>
      <c r="W146" s="136"/>
      <c r="X146" s="136"/>
      <c r="Y146" s="142"/>
      <c r="Z146" s="457"/>
    </row>
    <row r="147" spans="5:26" ht="15.95" hidden="1" customHeight="1">
      <c r="E147" s="194"/>
      <c r="F147" s="195"/>
      <c r="G147" s="1322"/>
      <c r="H147" s="241"/>
      <c r="I147" s="58"/>
      <c r="J147" s="55"/>
      <c r="K147" s="18">
        <f t="shared" ref="K147" si="34">I147*J147</f>
        <v>0</v>
      </c>
      <c r="L147" s="245" t="str">
        <f>IF(ISBLANK(Field23)="",(VLOOKUP(ROUND(TotalAcreGrazed/Acres23,0),[0]!PastureEffTable,2,)),"")</f>
        <v/>
      </c>
      <c r="M147" s="18">
        <f t="shared" ref="M147" si="35">K147*L147/100</f>
        <v>0</v>
      </c>
      <c r="N147" s="17" t="str">
        <f>IF($H147="","",IF(HayMonth23=0,VLOOKUP($H147,FORAGE2,3)*($M147),IF(AND(HayMonth23&gt;0,HayMonth23&lt;4),VLOOKUP($H147,FORAGE2,3)*($M147),0)))</f>
        <v/>
      </c>
      <c r="O147" s="17" t="str">
        <f>IF($H147="","",IF(HayMonth23=0,VLOOKUP($H147,FORAGE2,4)*($M147),IF(AND(HayMonth23&gt;0,HayMonth23&lt;5),VLOOKUP($H147,FORAGE2,4)*($M147),0)))</f>
        <v/>
      </c>
      <c r="P147" s="17" t="str">
        <f>IF($H147="","",IF(HayMonth23=0,VLOOKUP($H147,FORAGE2,5)*($M147),IF(AND(HayMonth23&gt;0,HayMonth23&lt;6),VLOOKUP($H147,FORAGE2,5)*($M147),0)))</f>
        <v/>
      </c>
      <c r="Q147" s="17" t="str">
        <f>IF($H147="","",IF(HayMonth23=0,VLOOKUP($H147,FORAGE2,6)*($M147),IF(AND(HayMonth23&gt;0,HayMonth23&lt;7),VLOOKUP($H147,FORAGE2,6)*($M147),0)))</f>
        <v/>
      </c>
      <c r="R147" s="17" t="str">
        <f>IF($H147="","",IF(HayMonth23=0,VLOOKUP($H147,FORAGE2,7)*($M147),IF(AND(HayMonth23&gt;0,HayMonth23&lt;8),VLOOKUP($H147,FORAGE2,7)*($M147),0)))</f>
        <v/>
      </c>
      <c r="S147" s="17" t="str">
        <f>IF($H147="","",IF(HayMonth23=0,VLOOKUP($H147,FORAGE2,8)*($M147),IF(AND(HayMonth23&gt;0,HayMonth23&lt;9),VLOOKUP($H147,FORAGE2,8)*($M147),0)))</f>
        <v/>
      </c>
      <c r="T147" s="17" t="str">
        <f>IF($H147="","",IF(HayMonth23=0,VLOOKUP($H147,FORAGE2,9)*($M147),IF(AND(HayMonth23&gt;0,HayMonth23&lt;10),VLOOKUP($H147,FORAGE2,9)*($M147),0)))</f>
        <v/>
      </c>
      <c r="U147" s="17" t="str">
        <f>IF($H147="","",IF(HayMonth23=0,VLOOKUP($H147,FORAGE2,10)*($M147),IF(AND(HayMonth23&gt;0,HayMonth23&lt;11),VLOOKUP($H147,FORAGE2,10)*($M147),0)))</f>
        <v/>
      </c>
      <c r="V147" s="17" t="str">
        <f>IF($H147="","",IF(HayMonth23=0,VLOOKUP($H147,FORAGE2,11)*($M147),IF(AND(HayMonth23&gt;0,HayMonth23&lt;12),VLOOKUP($H147,FORAGE2,11)*($M147),0)))</f>
        <v/>
      </c>
      <c r="W147" s="17" t="str">
        <f>IF($H147="","",IF(HayMonth23=0,VLOOKUP($H147,FORAGE2,12)*($M147),IF(AND(HayMonth23&gt;0,HayMonth23&lt;1),VLOOKUP($H147,FORAGE2,12)*($M147),0)))</f>
        <v/>
      </c>
      <c r="X147" s="17" t="str">
        <f>IF($H147="","",IF(HayMonth23=0,VLOOKUP($H147,FORAGE2,13)*($M147),IF(AND(HayMonth23&gt;0,HayMonth23&lt;2),VLOOKUP($H147,FORAGE2,13)*($M147),0)))</f>
        <v/>
      </c>
      <c r="Y147" s="17" t="str">
        <f>IF($H147="","",IF(HayMonth23=0,VLOOKUP($H147,FORAGE2,14)*($M147),IF(AND(HayMonth23&gt;0,HayMonth23&lt;3),VLOOKUP($H147,FORAGE2,14)*($M147),0)))</f>
        <v/>
      </c>
      <c r="Z147" s="457"/>
    </row>
    <row r="148" spans="5:26" ht="15.75" hidden="1" customHeight="1">
      <c r="E148" s="194"/>
      <c r="F148" s="195"/>
      <c r="G148" s="1323"/>
      <c r="H148" s="983" t="s">
        <v>725</v>
      </c>
      <c r="I148" s="1041" t="str">
        <f>IF(HayMonth23&gt;0,"Hay cut in:","")</f>
        <v/>
      </c>
      <c r="J148" s="1042" t="str">
        <f>IF(HayMonth23=0,"",IF(HayMonth23=1,"Jan",IF(HayMonth23=2,"Feb",IF(HayMonth23=3,"Mar",IF(HayMonth23=4,"Apr",IF(HayMonth23=5,"May",IF(HayMonth23=6,"Jun",IF(HayMonth23=7,"Jul",IF(HayMonth23=8,"Aug",IF(HayMonth23=9,"Sep",IF(HayMonth23=10,"Oct",IF(HayMonth23=11,"Nov","Dec"))))))))))))</f>
        <v/>
      </c>
      <c r="K148" s="146"/>
      <c r="L148" s="980"/>
      <c r="M148" s="136"/>
      <c r="N148" s="136"/>
      <c r="O148" s="136"/>
      <c r="P148" s="136"/>
      <c r="Q148" s="134"/>
      <c r="R148" s="136"/>
      <c r="S148" s="136"/>
      <c r="T148" s="136"/>
      <c r="U148" s="136"/>
      <c r="V148" s="136"/>
      <c r="W148" s="136"/>
      <c r="X148" s="136"/>
      <c r="Y148" s="142"/>
      <c r="Z148" s="457"/>
    </row>
    <row r="149" spans="5:26" ht="15.95" hidden="1" customHeight="1">
      <c r="E149" s="194"/>
      <c r="F149" s="195"/>
      <c r="G149" s="1322"/>
      <c r="H149" s="241"/>
      <c r="I149" s="58"/>
      <c r="J149" s="55"/>
      <c r="K149" s="18">
        <f t="shared" ref="K149" si="36">I149*J149</f>
        <v>0</v>
      </c>
      <c r="L149" s="245" t="str">
        <f>IF(ISBLANK(Field24)="",(VLOOKUP(ROUND(TotalAcreGrazed/Acres24,0),[0]!PastureEffTable,2,)),"")</f>
        <v/>
      </c>
      <c r="M149" s="18">
        <f t="shared" ref="M149" si="37">K149*L149/100</f>
        <v>0</v>
      </c>
      <c r="N149" s="17" t="str">
        <f>IF($H149="","",IF(HayMonth24=0,VLOOKUP($H149,FORAGE2,3)*($M149),IF(AND(HayMonth24&gt;0,HayMonth24&lt;4),VLOOKUP($H149,FORAGE2,3)*($M149),0)))</f>
        <v/>
      </c>
      <c r="O149" s="17" t="str">
        <f>IF($H149="","",IF(HayMonth24=0,VLOOKUP($H149,FORAGE2,4)*($M149),IF(AND(HayMonth24&gt;0,HayMonth24&lt;5),VLOOKUP($H149,FORAGE2,4)*($M149),0)))</f>
        <v/>
      </c>
      <c r="P149" s="17" t="str">
        <f>IF($H149="","",IF(HayMonth24=0,VLOOKUP($H149,FORAGE2,5)*($M149),IF(AND(HayMonth24&gt;0,HayMonth24&lt;6),VLOOKUP($H149,FORAGE2,5)*($M149),0)))</f>
        <v/>
      </c>
      <c r="Q149" s="17" t="str">
        <f>IF($H149="","",IF(HayMonth24=0,VLOOKUP($H149,FORAGE2,6)*($M149),IF(AND(HayMonth24&gt;0,HayMonth24&lt;7),VLOOKUP($H149,FORAGE2,6)*($M149),0)))</f>
        <v/>
      </c>
      <c r="R149" s="17" t="str">
        <f>IF($H149="","",IF(HayMonth24=0,VLOOKUP($H149,FORAGE2,7)*($M149),IF(AND(HayMonth24&gt;0,HayMonth24&lt;8),VLOOKUP($H149,FORAGE2,7)*($M149),0)))</f>
        <v/>
      </c>
      <c r="S149" s="17" t="str">
        <f>IF($H149="","",IF(HayMonth24=0,VLOOKUP($H149,FORAGE2,8)*($M149),IF(AND(HayMonth24&gt;0,HayMonth24&lt;9),VLOOKUP($H149,FORAGE2,8)*($M149),0)))</f>
        <v/>
      </c>
      <c r="T149" s="17" t="str">
        <f>IF($H149="","",IF(HayMonth24=0,VLOOKUP($H149,FORAGE2,9)*($M149),IF(AND(HayMonth24&gt;0,HayMonth24&lt;10),VLOOKUP($H149,FORAGE2,9)*($M149),0)))</f>
        <v/>
      </c>
      <c r="U149" s="17" t="str">
        <f>IF($H149="","",IF(HayMonth24=0,VLOOKUP($H149,FORAGE2,10)*($M149),IF(AND(HayMonth24&gt;0,HayMonth24&lt;11),VLOOKUP($H149,FORAGE2,10)*($M149),0)))</f>
        <v/>
      </c>
      <c r="V149" s="17" t="str">
        <f>IF($H149="","",IF(HayMonth24=0,VLOOKUP($H149,FORAGE2,11)*($M149),IF(AND(HayMonth24&gt;0,HayMonth24&lt;12),VLOOKUP($H149,FORAGE2,11)*($M149),0)))</f>
        <v/>
      </c>
      <c r="W149" s="17" t="str">
        <f>IF($H149="","",IF(HayMonth24=0,VLOOKUP($H149,FORAGE2,12)*($M149),IF(AND(HayMonth24&gt;0,HayMonth24&lt;1),VLOOKUP($H149,FORAGE2,12)*($M149),0)))</f>
        <v/>
      </c>
      <c r="X149" s="17" t="str">
        <f>IF($H149="","",IF(HayMonth24=0,VLOOKUP($H149,FORAGE2,13)*($M149),IF(AND(HayMonth24&gt;0,HayMonth24&lt;2),VLOOKUP($H149,FORAGE2,13)*($M149),0)))</f>
        <v/>
      </c>
      <c r="Y149" s="17" t="str">
        <f>IF($H149="","",IF(HayMonth24=0,VLOOKUP($H149,FORAGE2,14)*($M149),IF(AND(HayMonth24&gt;0,HayMonth24&lt;3),VLOOKUP($H149,FORAGE2,14)*($M149),0)))</f>
        <v/>
      </c>
      <c r="Z149" s="457"/>
    </row>
    <row r="150" spans="5:26" ht="15.75" hidden="1" customHeight="1">
      <c r="E150" s="194"/>
      <c r="F150" s="195"/>
      <c r="G150" s="1323"/>
      <c r="H150" s="983" t="s">
        <v>725</v>
      </c>
      <c r="I150" s="1041" t="str">
        <f>IF(HayMonth24&gt;0,"Hay cut in:","")</f>
        <v/>
      </c>
      <c r="J150" s="1042" t="str">
        <f>IF(HayMonth24=0,"",IF(HayMonth24=1,"Jan",IF(HayMonth24=2,"Feb",IF(HayMonth24=3,"Mar",IF(HayMonth24=4,"Apr",IF(HayMonth24=5,"May",IF(HayMonth24=6,"Jun",IF(HayMonth24=7,"Jul",IF(HayMonth24=8,"Aug",IF(HayMonth24=9,"Sep",IF(HayMonth24=10,"Oct",IF(HayMonth24=11,"Nov","Dec"))))))))))))</f>
        <v/>
      </c>
      <c r="K150" s="146"/>
      <c r="L150" s="980">
        <v>0</v>
      </c>
      <c r="M150" s="136"/>
      <c r="N150" s="136"/>
      <c r="O150" s="136"/>
      <c r="P150" s="136"/>
      <c r="Q150" s="134"/>
      <c r="R150" s="136"/>
      <c r="S150" s="136"/>
      <c r="T150" s="136"/>
      <c r="U150" s="136"/>
      <c r="V150" s="136"/>
      <c r="W150" s="136"/>
      <c r="X150" s="136"/>
      <c r="Y150" s="142"/>
      <c r="Z150" s="457"/>
    </row>
    <row r="151" spans="5:26" ht="14.25" customHeight="1">
      <c r="E151" s="194"/>
      <c r="F151" s="195"/>
      <c r="G151" s="462"/>
      <c r="H151" s="463"/>
      <c r="I151" s="464"/>
      <c r="J151" s="465"/>
      <c r="K151" s="466"/>
      <c r="L151" s="467"/>
      <c r="M151" s="196"/>
      <c r="N151" s="196"/>
      <c r="O151" s="196"/>
      <c r="P151" s="196"/>
      <c r="Q151" s="196"/>
      <c r="R151" s="196"/>
      <c r="S151" s="196"/>
      <c r="T151" s="196"/>
      <c r="U151" s="196"/>
      <c r="V151" s="196"/>
      <c r="W151" s="196"/>
      <c r="X151" s="196"/>
      <c r="Y151" s="196"/>
      <c r="Z151" s="457"/>
    </row>
    <row r="152" spans="5:26" ht="14.25" customHeight="1">
      <c r="E152" s="194"/>
      <c r="F152" s="195"/>
      <c r="G152" s="462"/>
      <c r="H152" s="246" t="s">
        <v>429</v>
      </c>
      <c r="I152" s="219">
        <f>Acres1+Acres2+Acres3+Acres4+Acres5+Acres6+Acres7+Acres8+Acres9+Acres10+Acres11+Acres12+Acres13+Acres14+Acres15+Acres16+Acres17+Acres18+Acres19+Acres20+Acres21+Acres22+Acres23+Acres24</f>
        <v>0</v>
      </c>
      <c r="J152" s="465"/>
      <c r="K152" s="466"/>
      <c r="L152" s="467"/>
      <c r="M152" s="196"/>
      <c r="N152" s="196"/>
      <c r="O152" s="196"/>
      <c r="P152" s="196"/>
      <c r="Q152" s="196"/>
      <c r="R152" s="515"/>
      <c r="S152" s="196"/>
      <c r="T152" s="196"/>
      <c r="U152" s="196"/>
      <c r="V152" s="196"/>
      <c r="W152" s="196"/>
      <c r="X152" s="196"/>
      <c r="Y152" s="196"/>
      <c r="Z152" s="457"/>
    </row>
    <row r="153" spans="5:26" ht="27" customHeight="1">
      <c r="E153" s="460"/>
      <c r="F153" s="195"/>
      <c r="G153" s="195"/>
      <c r="H153" s="468"/>
      <c r="I153" s="195"/>
      <c r="J153" s="469"/>
      <c r="K153" s="195"/>
      <c r="L153" s="195"/>
      <c r="M153" s="195"/>
      <c r="N153" s="195"/>
      <c r="O153" s="195"/>
      <c r="P153" s="195"/>
      <c r="Q153" s="195"/>
      <c r="R153" s="195"/>
      <c r="S153" s="195"/>
      <c r="T153" s="195"/>
      <c r="U153" s="195"/>
      <c r="V153" s="195"/>
      <c r="W153" s="195"/>
      <c r="X153" s="195"/>
      <c r="Y153" s="195"/>
      <c r="Z153" s="457"/>
    </row>
    <row r="154" spans="5:26" ht="16.5" customHeight="1">
      <c r="E154" s="1021"/>
      <c r="F154" s="991"/>
      <c r="G154" s="991"/>
      <c r="H154" s="1022"/>
      <c r="I154" s="991"/>
      <c r="J154" s="1023"/>
      <c r="K154" s="991"/>
      <c r="L154" s="991"/>
      <c r="M154" s="991"/>
      <c r="N154" s="991"/>
      <c r="O154" s="991"/>
      <c r="P154" s="991"/>
      <c r="Q154" s="991"/>
      <c r="R154" s="991"/>
      <c r="S154" s="991"/>
      <c r="T154" s="991"/>
      <c r="U154" s="991"/>
      <c r="V154" s="991"/>
      <c r="W154" s="991"/>
      <c r="X154" s="991"/>
      <c r="Y154" s="991"/>
      <c r="Z154" s="1024"/>
    </row>
    <row r="155" spans="5:26" ht="18">
      <c r="E155" s="989"/>
      <c r="F155" s="991"/>
      <c r="G155" s="1308" t="s">
        <v>339</v>
      </c>
      <c r="H155" s="1309"/>
      <c r="I155" s="1309"/>
      <c r="J155" s="1309"/>
      <c r="K155" s="1309"/>
      <c r="L155" s="1309"/>
      <c r="M155" s="1309"/>
      <c r="N155" s="1310"/>
      <c r="O155" s="991"/>
      <c r="P155" s="1248"/>
      <c r="Q155" s="991"/>
      <c r="R155" s="1025"/>
      <c r="S155" s="991"/>
      <c r="T155" s="991"/>
      <c r="U155" s="991"/>
      <c r="V155" s="991"/>
      <c r="W155" s="991"/>
      <c r="X155" s="991"/>
      <c r="Y155" s="991"/>
      <c r="Z155" s="985"/>
    </row>
    <row r="156" spans="5:26" ht="105.6" customHeight="1">
      <c r="E156" s="989"/>
      <c r="F156" s="991"/>
      <c r="G156" s="1311" t="s">
        <v>506</v>
      </c>
      <c r="H156" s="1312"/>
      <c r="I156" s="1312"/>
      <c r="J156" s="1312"/>
      <c r="K156" s="1312"/>
      <c r="L156" s="1312"/>
      <c r="M156" s="1312"/>
      <c r="N156" s="1313"/>
      <c r="O156" s="991"/>
      <c r="P156" s="1022"/>
      <c r="Q156" s="991"/>
      <c r="R156" s="991"/>
      <c r="S156" s="991"/>
      <c r="T156" s="991"/>
      <c r="U156" s="991"/>
      <c r="V156" s="991"/>
      <c r="W156" s="991"/>
      <c r="X156" s="991"/>
      <c r="Y156" s="991"/>
      <c r="Z156" s="985"/>
    </row>
    <row r="157" spans="5:26" ht="23.25" customHeight="1">
      <c r="E157" s="989"/>
      <c r="F157" s="991"/>
      <c r="G157" s="516"/>
      <c r="H157" s="192"/>
      <c r="I157" s="471"/>
      <c r="J157" s="1300" t="s">
        <v>498</v>
      </c>
      <c r="K157" s="471" t="s">
        <v>78</v>
      </c>
      <c r="L157" s="471" t="s">
        <v>125</v>
      </c>
      <c r="M157" s="193"/>
      <c r="N157" s="517" t="s">
        <v>60</v>
      </c>
      <c r="O157" s="991"/>
      <c r="P157" s="1249" t="s">
        <v>261</v>
      </c>
      <c r="Q157" s="991"/>
      <c r="R157" s="991"/>
      <c r="S157" s="991"/>
      <c r="T157" s="991"/>
      <c r="U157" s="991"/>
      <c r="V157" s="991"/>
      <c r="W157" s="991"/>
      <c r="X157" s="991"/>
      <c r="Y157" s="991"/>
      <c r="Z157" s="985"/>
    </row>
    <row r="158" spans="5:26" ht="15.75">
      <c r="E158" s="989"/>
      <c r="F158" s="991"/>
      <c r="G158" s="518" t="s">
        <v>59</v>
      </c>
      <c r="H158" s="50"/>
      <c r="I158" s="159" t="s">
        <v>65</v>
      </c>
      <c r="J158" s="1301"/>
      <c r="K158" s="1102" t="s">
        <v>66</v>
      </c>
      <c r="L158" s="159" t="s">
        <v>126</v>
      </c>
      <c r="M158" s="159" t="s">
        <v>341</v>
      </c>
      <c r="N158" s="519" t="s">
        <v>134</v>
      </c>
      <c r="O158" s="991"/>
      <c r="P158" s="1249" t="s">
        <v>925</v>
      </c>
      <c r="Q158" s="991"/>
      <c r="R158" s="991"/>
      <c r="S158" s="991"/>
      <c r="T158" s="991"/>
      <c r="U158" s="991"/>
      <c r="V158" s="991"/>
      <c r="W158" s="991"/>
      <c r="X158" s="991"/>
      <c r="Y158" s="991"/>
      <c r="Z158" s="985"/>
    </row>
    <row r="159" spans="5:26" ht="24.75" customHeight="1">
      <c r="E159" s="989"/>
      <c r="F159" s="991"/>
      <c r="G159" s="520" t="s">
        <v>731</v>
      </c>
      <c r="H159" s="166" t="s">
        <v>81</v>
      </c>
      <c r="I159" s="166" t="s">
        <v>82</v>
      </c>
      <c r="J159" s="166" t="s">
        <v>338</v>
      </c>
      <c r="K159" s="166" t="s">
        <v>83</v>
      </c>
      <c r="L159" s="166" t="s">
        <v>84</v>
      </c>
      <c r="M159" s="166" t="s">
        <v>83</v>
      </c>
      <c r="N159" s="521" t="s">
        <v>334</v>
      </c>
      <c r="O159" s="991"/>
      <c r="P159" s="991" t="s">
        <v>930</v>
      </c>
      <c r="Q159" s="991"/>
      <c r="R159" s="991"/>
      <c r="S159" s="991"/>
      <c r="T159" s="991"/>
      <c r="U159" s="991"/>
      <c r="V159" s="991"/>
      <c r="W159" s="991"/>
      <c r="X159" s="991"/>
      <c r="Y159" s="991"/>
      <c r="Z159" s="985"/>
    </row>
    <row r="160" spans="5:26" hidden="1">
      <c r="E160" s="989"/>
      <c r="F160" s="991"/>
      <c r="G160" s="522">
        <f>Field1</f>
        <v>0</v>
      </c>
      <c r="H160" s="189">
        <f>Kind1</f>
        <v>0</v>
      </c>
      <c r="I160" s="189">
        <f>Acres1</f>
        <v>0</v>
      </c>
      <c r="J160" s="452">
        <f>Yield1</f>
        <v>0</v>
      </c>
      <c r="K160" s="17">
        <f>IF(HayMonth2=3,I160*J160*(VLOOKUP(H160,FORAGE2,12)+VLOOKUP(H160,FORAGE2,13)+VLOOKUP(H160,FORAGE2,14)),IF(HayMonth2=4,I160*J160*(VLOOKUP(H160,FORAGE2,12)+VLOOKUP(H160,FORAGE2,13)+VLOOKUP(H160,FORAGE2,14)+VLOOKUP(H160,FORAGE2,3)),IF(HayMonth2=5,I160*J160*(VLOOKUP(H160,FORAGE2,12)+VLOOKUP(H160,FORAGE2,13)+VLOOKUP(H160,FORAGE2,14)+VLOOKUP(H160,FORAGE2,3)+VLOOKUP(H160,FORAGE2,4)),IF(HayMonth2=6,I160*J160*(VLOOKUP(H160,FORAGE2,12)+VLOOKUP(H160,FORAGE2,13)+VLOOKUP(H160,FORAGE2,14)+VLOOKUP(H160,FORAGE2,3)+VLOOKUP(H160,FORAGE2,4)+VLOOKUP(H160,FORAGE2,5)),IF(HayMonth2=7,I160*J160*(VLOOKUP(H160,FORAGE2,12)+VLOOKUP(H160,FORAGE2,13)+VLOOKUP(H160,FORAGE2,14)+VLOOKUP(H160,FORAGE2,3)+VLOOKUP(H160,FORAGE2,4)+VLOOKUP(H160,FORAGE2,5)+VLOOKUP(H160,FORAGE2,6)), IF(HayMonth2=8,I160*J160*(VLOOKUP(H160,FORAGE2,12)+VLOOKUP(H160,FORAGE2,13)+VLOOKUP(H160,FORAGE2,14)+VLOOKUP(H160,FORAGE2,3)+VLOOKUP(H160,FORAGE2,4)+VLOOKUP(H160,FORAGE2,5)+VLOOKUP(H160,FORAGE2,6)+VLOOKUP(H160,FORAGE2,7)),IF(HayMonth2=9,I160*J160*(VLOOKUP(H160,FORAGE2,12)+VLOOKUP(H160,FORAGE2,13)+VLOOKUP(H160,FORAGE2,14)+VLOOKUP(H160,FORAGE2,3)+VLOOKUP(H160,FORAGE2,4)+VLOOKUP(H160,FORAGE2,5)+VLOOKUP(H160,FORAGE2,6)+VLOOKUP(H160,FORAGE2,7)+VLOOKUP(H160,FORAGE2,8)), IF(HayMonth2=10,I160*J160*(VLOOKUP(H160,FORAGE2,12)+VLOOKUP(H160,FORAGE2,13)+VLOOKUP(H160,FORAGE2,14)+VLOOKUP(H160,FORAGE2,3)+VLOOKUP(H160,FORAGE2,4)+VLOOKUP(H160,FORAGE2,5)+VLOOKUP(H160,FORAGE2,6)+VLOOKUP(H160,FORAGE2,7)+VLOOKUP(H160,FORAGE2,8)+VLOOKUP(H160,FORAGE2,9)),I160*J160*(VLOOKUP(H160,FORAGE2,12)+VLOOKUP(H160,FORAGE2,13)+VLOOKUP(H160,FORAGE2,14)+VLOOKUP(H160,FORAGE2,3)+VLOOKUP(H160,FORAGE2,4)+VLOOKUP(H160,FORAGE2,5)+VLOOKUP(H160,FORAGE2,6)+VLOOKUP(H160,FORAGE2,7)+VLOOKUP(H160,FORAGE2,8)+VLOOKUP(H160,FORAGE2,9)+VLOOKUP(H160,FORAGE2,10)+VLOOKUP(H160,FORAGE2,11))))))))))</f>
        <v>0</v>
      </c>
      <c r="L160" s="145"/>
      <c r="M160" s="17">
        <f>K160*L160</f>
        <v>0</v>
      </c>
      <c r="N160" s="523" t="str">
        <f>IF(H160="","",VLOOKUP(H160,ForageGrowthCurves!$A$6:$P$67,16,FALSE))</f>
        <v/>
      </c>
      <c r="O160" s="991"/>
      <c r="P160" s="1023"/>
      <c r="Q160" s="991"/>
      <c r="R160" s="991"/>
      <c r="S160" s="991"/>
      <c r="T160" s="991"/>
      <c r="U160" s="991"/>
      <c r="V160" s="991"/>
      <c r="W160" s="991"/>
      <c r="X160" s="991"/>
      <c r="Y160" s="991"/>
      <c r="Z160" s="985"/>
    </row>
    <row r="161" spans="5:26" hidden="1">
      <c r="E161" s="989"/>
      <c r="F161" s="991"/>
      <c r="G161" s="522">
        <f>Field2</f>
        <v>0</v>
      </c>
      <c r="H161" s="189">
        <f>Kind2</f>
        <v>0</v>
      </c>
      <c r="I161" s="189">
        <f>Acres2</f>
        <v>0</v>
      </c>
      <c r="J161" s="452">
        <f>Yield2</f>
        <v>0</v>
      </c>
      <c r="K161" s="17">
        <f>IF(HayMonth2=3,I161*J161*(VLOOKUP(H161,FORAGE2,12)+VLOOKUP(H161,FORAGE2,13)+VLOOKUP(H161,FORAGE2,14)),IF(HayMonth2=4,I161*J161*(VLOOKUP(H161,FORAGE2,12)+VLOOKUP(H161,FORAGE2,13)+VLOOKUP(H161,FORAGE2,14)+VLOOKUP(H161,FORAGE2,3)),IF(HayMonth2=5,I161*J161*(VLOOKUP(H161,FORAGE2,12)+VLOOKUP(H161,FORAGE2,13)+VLOOKUP(H161,FORAGE2,14)+VLOOKUP(H161,FORAGE2,3)+VLOOKUP(H161,FORAGE2,4)),IF(HayMonth2=6,I161*J161*(VLOOKUP(H161,FORAGE2,12)+VLOOKUP(H161,FORAGE2,13)+VLOOKUP(H161,FORAGE2,14)+VLOOKUP(H161,FORAGE2,3)+VLOOKUP(H161,FORAGE2,4)+VLOOKUP(H161,FORAGE2,5)),IF(HayMonth2=7,I161*J161*(VLOOKUP(H161,FORAGE2,12)+VLOOKUP(H161,FORAGE2,13)+VLOOKUP(H161,FORAGE2,14)+VLOOKUP(H161,FORAGE2,3)+VLOOKUP(H161,FORAGE2,4)+VLOOKUP(H161,FORAGE2,5)+VLOOKUP(H161,FORAGE2,6)), IF(HayMonth2=8,I161*J161*(VLOOKUP(H161,FORAGE2,12)+VLOOKUP(H161,FORAGE2,13)+VLOOKUP(H161,FORAGE2,14)+VLOOKUP(H161,FORAGE2,3)+VLOOKUP(H161,FORAGE2,4)+VLOOKUP(H161,FORAGE2,5)+VLOOKUP(H161,FORAGE2,6)+VLOOKUP(H161,FORAGE2,7)),IF(HayMonth2=9,I161*J161*(VLOOKUP(H161,FORAGE2,12)+VLOOKUP(H161,FORAGE2,13)+VLOOKUP(H161,FORAGE2,14)+VLOOKUP(H161,FORAGE2,3)+VLOOKUP(H161,FORAGE2,4)+VLOOKUP(H161,FORAGE2,5)+VLOOKUP(H161,FORAGE2,6)+VLOOKUP(H161,FORAGE2,7)+VLOOKUP(H161,FORAGE2,8)), IF(HayMonth2=10,I161*J161*(VLOOKUP(H161,FORAGE2,12)+VLOOKUP(H161,FORAGE2,13)+VLOOKUP(H161,FORAGE2,14)+VLOOKUP(H161,FORAGE2,3)+VLOOKUP(H161,FORAGE2,4)+VLOOKUP(H161,FORAGE2,5)+VLOOKUP(H161,FORAGE2,6)+VLOOKUP(H161,FORAGE2,7)+VLOOKUP(H161,FORAGE2,8)+VLOOKUP(H161,FORAGE2,9)),I161*J161*(VLOOKUP(H161,FORAGE2,12)+VLOOKUP(H161,FORAGE2,13)+VLOOKUP(H161,FORAGE2,14)+VLOOKUP(H161,FORAGE2,3)+VLOOKUP(H161,FORAGE2,4)+VLOOKUP(H161,FORAGE2,5)+VLOOKUP(H161,FORAGE2,6)+VLOOKUP(H161,FORAGE2,7)+VLOOKUP(H161,FORAGE2,8)+VLOOKUP(H161,FORAGE2,9)+VLOOKUP(H161,FORAGE2,10)+VLOOKUP(H161,FORAGE2,11))))))))))</f>
        <v>0</v>
      </c>
      <c r="L161" s="145"/>
      <c r="M161" s="17">
        <f t="shared" ref="M161:M183" si="38">K161*L161</f>
        <v>0</v>
      </c>
      <c r="N161" s="523" t="str">
        <f>IF(H161="","",VLOOKUP(H161,ForageGrowthCurves!$A$6:$P$67,16,FALSE))</f>
        <v/>
      </c>
      <c r="O161" s="991"/>
      <c r="P161" s="991"/>
      <c r="Q161" s="991"/>
      <c r="R161" s="991"/>
      <c r="S161" s="991"/>
      <c r="T161" s="991"/>
      <c r="U161" s="991"/>
      <c r="V161" s="991"/>
      <c r="W161" s="991"/>
      <c r="X161" s="991"/>
      <c r="Y161" s="991"/>
      <c r="Z161" s="985"/>
    </row>
    <row r="162" spans="5:26" hidden="1">
      <c r="E162" s="989"/>
      <c r="F162" s="991"/>
      <c r="G162" s="522">
        <f>Field3</f>
        <v>0</v>
      </c>
      <c r="H162" s="189">
        <f>Kind3</f>
        <v>0</v>
      </c>
      <c r="I162" s="189">
        <f>Acres3</f>
        <v>0</v>
      </c>
      <c r="J162" s="452">
        <f>Yield3</f>
        <v>0</v>
      </c>
      <c r="K162" s="17">
        <f>IF(HayMonth3=3,I162*J162*(VLOOKUP(H162,FORAGE2,12)+VLOOKUP(H162,FORAGE2,13)+VLOOKUP(H162,FORAGE2,14)),IF(HayMonth3=4,I162*J162*(VLOOKUP(H162,FORAGE2,12)+VLOOKUP(H162,FORAGE2,13)+VLOOKUP(H162,FORAGE2,14)+VLOOKUP(H162,FORAGE2,3)),IF(HayMonth3=5,I162*J162*(VLOOKUP(H162,FORAGE2,12)+VLOOKUP(H162,FORAGE2,13)+VLOOKUP(H162,FORAGE2,14)+VLOOKUP(H162,FORAGE2,3)+VLOOKUP(H162,FORAGE2,4)),IF(HayMonth3=6,I162*J162*(VLOOKUP(H162,FORAGE2,12)+VLOOKUP(H162,FORAGE2,13)+VLOOKUP(H162,FORAGE2,14)+VLOOKUP(H162,FORAGE2,3)+VLOOKUP(H162,FORAGE2,4)+VLOOKUP(H162,FORAGE2,5)),IF(HayMonth3=7,I162*J162*(VLOOKUP(H162,FORAGE2,12)+VLOOKUP(H162,FORAGE2,13)+VLOOKUP(H162,FORAGE2,14)+VLOOKUP(H162,FORAGE2,3)+VLOOKUP(H162,FORAGE2,4)+VLOOKUP(H162,FORAGE2,5)+VLOOKUP(H162,FORAGE2,6)), IF(HayMonth3=8,I162*J162*(VLOOKUP(H162,FORAGE2,12)+VLOOKUP(H162,FORAGE2,13)+VLOOKUP(H162,FORAGE2,14)+VLOOKUP(H162,FORAGE2,3)+VLOOKUP(H162,FORAGE2,4)+VLOOKUP(H162,FORAGE2,5)+VLOOKUP(H162,FORAGE2,6)+VLOOKUP(H162,FORAGE2,7)),IF(HayMonth3=9,I162*J162*(VLOOKUP(H162,FORAGE2,12)+VLOOKUP(H162,FORAGE2,13)+VLOOKUP(H162,FORAGE2,14)+VLOOKUP(H162,FORAGE2,3)+VLOOKUP(H162,FORAGE2,4)+VLOOKUP(H162,FORAGE2,5)+VLOOKUP(H162,FORAGE2,6)+VLOOKUP(H162,FORAGE2,7)+VLOOKUP(H162,FORAGE2,8)), IF(HayMonth3=10,I162*J162*(VLOOKUP(H162,FORAGE2,12)+VLOOKUP(H162,FORAGE2,13)+VLOOKUP(H162,FORAGE2,14)+VLOOKUP(H162,FORAGE2,3)+VLOOKUP(H162,FORAGE2,4)+VLOOKUP(H162,FORAGE2,5)+VLOOKUP(H162,FORAGE2,6)+VLOOKUP(H162,FORAGE2,7)+VLOOKUP(H162,FORAGE2,8)+VLOOKUP(H162,FORAGE2,9)),I162*J162*(VLOOKUP(H162,FORAGE2,12)+VLOOKUP(H162,FORAGE2,13)+VLOOKUP(H162,FORAGE2,14)+VLOOKUP(H162,FORAGE2,3)+VLOOKUP(H162,FORAGE2,4)+VLOOKUP(H162,FORAGE2,5)+VLOOKUP(H162,FORAGE2,6)+VLOOKUP(H162,FORAGE2,7)+VLOOKUP(H162,FORAGE2,8)+VLOOKUP(H162,FORAGE2,9)+VLOOKUP(H162,FORAGE2,10)+VLOOKUP(H162,FORAGE2,11))))))))))</f>
        <v>0</v>
      </c>
      <c r="L162" s="145"/>
      <c r="M162" s="17">
        <f t="shared" si="38"/>
        <v>0</v>
      </c>
      <c r="N162" s="523" t="str">
        <f>IF(H162="","",VLOOKUP(H162,ForageGrowthCurves!$A$6:$P$67,16,FALSE))</f>
        <v/>
      </c>
      <c r="O162" s="991"/>
      <c r="P162" s="991"/>
      <c r="Q162" s="991"/>
      <c r="R162" s="991"/>
      <c r="S162" s="991"/>
      <c r="T162" s="991"/>
      <c r="U162" s="991"/>
      <c r="V162" s="991"/>
      <c r="W162" s="991"/>
      <c r="X162" s="991"/>
      <c r="Y162" s="991"/>
      <c r="Z162" s="985"/>
    </row>
    <row r="163" spans="5:26" hidden="1">
      <c r="E163" s="989"/>
      <c r="F163" s="991"/>
      <c r="G163" s="524">
        <f>Field4</f>
        <v>0</v>
      </c>
      <c r="H163" s="190">
        <f>Kind4</f>
        <v>0</v>
      </c>
      <c r="I163" s="190">
        <f>Acres4</f>
        <v>0</v>
      </c>
      <c r="J163" s="452">
        <f>Yield4</f>
        <v>0</v>
      </c>
      <c r="K163" s="17">
        <f>IF(HayMonth4=3,I163*J163*(VLOOKUP(H163,FORAGE2,12)+VLOOKUP(H163,FORAGE2,13)+VLOOKUP(H163,FORAGE2,14)),IF(HayMonth4=4,I163*J163*(VLOOKUP(H163,FORAGE2,12)+VLOOKUP(H163,FORAGE2,13)+VLOOKUP(H163,FORAGE2,14)+VLOOKUP(H163,FORAGE2,3)),IF(HayMonth4=5,I163*J163*(VLOOKUP(H163,FORAGE2,12)+VLOOKUP(H163,FORAGE2,13)+VLOOKUP(H163,FORAGE2,14)+VLOOKUP(H163,FORAGE2,3)+VLOOKUP(H163,FORAGE2,4)),IF(HayMonth4=6,I163*J163*(VLOOKUP(H163,FORAGE2,12)+VLOOKUP(H163,FORAGE2,13)+VLOOKUP(H163,FORAGE2,14)+VLOOKUP(H163,FORAGE2,3)+VLOOKUP(H163,FORAGE2,4)+VLOOKUP(H163,FORAGE2,5)),IF(HayMonth4=7,I163*J163*(VLOOKUP(H163,FORAGE2,12)+VLOOKUP(H163,FORAGE2,13)+VLOOKUP(H163,FORAGE2,14)+VLOOKUP(H163,FORAGE2,3)+VLOOKUP(H163,FORAGE2,4)+VLOOKUP(H163,FORAGE2,5)+VLOOKUP(H163,FORAGE2,6)), IF(HayMonth4=8,I163*J163*(VLOOKUP(H163,FORAGE2,12)+VLOOKUP(H163,FORAGE2,13)+VLOOKUP(H163,FORAGE2,14)+VLOOKUP(H163,FORAGE2,3)+VLOOKUP(H163,FORAGE2,4)+VLOOKUP(H163,FORAGE2,5)+VLOOKUP(H163,FORAGE2,6)+VLOOKUP(H163,FORAGE2,7)),IF(HayMonth4=9,I163*J163*(VLOOKUP(H163,FORAGE2,12)+VLOOKUP(H163,FORAGE2,13)+VLOOKUP(H163,FORAGE2,14)+VLOOKUP(H163,FORAGE2,3)+VLOOKUP(H163,FORAGE2,4)+VLOOKUP(H163,FORAGE2,5)+VLOOKUP(H163,FORAGE2,6)+VLOOKUP(H163,FORAGE2,7)+VLOOKUP(H163,FORAGE2,8)), IF(HayMonth4=10,I163*J163*(VLOOKUP(H163,FORAGE2,12)+VLOOKUP(H163,FORAGE2,13)+VLOOKUP(H163,FORAGE2,14)+VLOOKUP(H163,FORAGE2,3)+VLOOKUP(H163,FORAGE2,4)+VLOOKUP(H163,FORAGE2,5)+VLOOKUP(H163,FORAGE2,6)+VLOOKUP(H163,FORAGE2,7)+VLOOKUP(H163,FORAGE2,8)+VLOOKUP(H163,FORAGE2,9)),I163*J163*(VLOOKUP(H163,FORAGE2,12)+VLOOKUP(H163,FORAGE2,13)+VLOOKUP(H163,FORAGE2,14)+VLOOKUP(H163,FORAGE2,3)+VLOOKUP(H163,FORAGE2,4)+VLOOKUP(H163,FORAGE2,5)+VLOOKUP(H163,FORAGE2,6)+VLOOKUP(H163,FORAGE2,7)+VLOOKUP(H163,FORAGE2,8)+VLOOKUP(H163,FORAGE2,9)+VLOOKUP(H163,FORAGE2,10)+VLOOKUP(H163,FORAGE2,11))))))))))</f>
        <v>0</v>
      </c>
      <c r="L163" s="145"/>
      <c r="M163" s="17">
        <f t="shared" si="38"/>
        <v>0</v>
      </c>
      <c r="N163" s="523" t="str">
        <f>IF(H163="","",VLOOKUP(H163,ForageGrowthCurves!$A$6:$P$67,16,FALSE))</f>
        <v/>
      </c>
      <c r="O163" s="991"/>
      <c r="P163" s="991"/>
      <c r="Q163" s="991"/>
      <c r="R163" s="991"/>
      <c r="S163" s="991"/>
      <c r="T163" s="991"/>
      <c r="U163" s="991"/>
      <c r="V163" s="991"/>
      <c r="W163" s="991"/>
      <c r="X163" s="991"/>
      <c r="Y163" s="991"/>
      <c r="Z163" s="985"/>
    </row>
    <row r="164" spans="5:26" hidden="1">
      <c r="E164" s="989"/>
      <c r="F164" s="991"/>
      <c r="G164" s="522">
        <f>Field5</f>
        <v>0</v>
      </c>
      <c r="H164" s="190">
        <f>Kind5</f>
        <v>0</v>
      </c>
      <c r="I164" s="191">
        <f>Acres5</f>
        <v>0</v>
      </c>
      <c r="J164" s="452">
        <f>Yield5</f>
        <v>0</v>
      </c>
      <c r="K164" s="17">
        <f>IF(HayMonth5=3,I164*J164*(VLOOKUP(H164,FORAGE2,12)+VLOOKUP(H164,FORAGE2,13)+VLOOKUP(H164,FORAGE2,14)),IF(HayMonth5=4,I164*J164*(VLOOKUP(H164,FORAGE2,12)+VLOOKUP(H164,FORAGE2,13)+VLOOKUP(H164,FORAGE2,14)+VLOOKUP(H164,FORAGE2,3)),IF(HayMonth5=5,I164*J164*(VLOOKUP(H164,FORAGE2,12)+VLOOKUP(H164,FORAGE2,13)+VLOOKUP(H164,FORAGE2,14)+VLOOKUP(H164,FORAGE2,3)+VLOOKUP(H164,FORAGE2,4)),IF(HayMonth5=6,I164*J164*(VLOOKUP(H164,FORAGE2,12)+VLOOKUP(H164,FORAGE2,13)+VLOOKUP(H164,FORAGE2,14)+VLOOKUP(H164,FORAGE2,3)+VLOOKUP(H164,FORAGE2,4)+VLOOKUP(H164,FORAGE2,5)),IF(HayMonth5=7,I164*J164*(VLOOKUP(H164,FORAGE2,12)+VLOOKUP(H164,FORAGE2,13)+VLOOKUP(H164,FORAGE2,14)+VLOOKUP(H164,FORAGE2,3)+VLOOKUP(H164,FORAGE2,4)+VLOOKUP(H164,FORAGE2,5)+VLOOKUP(H164,FORAGE2,6)), IF(HayMonth5=8,I164*J164*(VLOOKUP(H164,FORAGE2,12)+VLOOKUP(H164,FORAGE2,13)+VLOOKUP(H164,FORAGE2,14)+VLOOKUP(H164,FORAGE2,3)+VLOOKUP(H164,FORAGE2,4)+VLOOKUP(H164,FORAGE2,5)+VLOOKUP(H164,FORAGE2,6)+VLOOKUP(H164,FORAGE2,7)),IF(HayMonth5=9,I164*J164*(VLOOKUP(H164,FORAGE2,12)+VLOOKUP(H164,FORAGE2,13)+VLOOKUP(H164,FORAGE2,14)+VLOOKUP(H164,FORAGE2,3)+VLOOKUP(H164,FORAGE2,4)+VLOOKUP(H164,FORAGE2,5)+VLOOKUP(H164,FORAGE2,6)+VLOOKUP(H164,FORAGE2,7)+VLOOKUP(H164,FORAGE2,8)), IF(HayMonth5=10,I164*J164*(VLOOKUP(H164,FORAGE2,12)+VLOOKUP(H164,FORAGE2,13)+VLOOKUP(H164,FORAGE2,14)+VLOOKUP(H164,FORAGE2,3)+VLOOKUP(H164,FORAGE2,4)+VLOOKUP(H164,FORAGE2,5)+VLOOKUP(H164,FORAGE2,6)+VLOOKUP(H164,FORAGE2,7)+VLOOKUP(H164,FORAGE2,8)+VLOOKUP(H164,FORAGE2,9)),I164*J164*(VLOOKUP(H164,FORAGE2,12)+VLOOKUP(H164,FORAGE2,13)+VLOOKUP(H164,FORAGE2,14)+VLOOKUP(H164,FORAGE2,3)+VLOOKUP(H164,FORAGE2,4)+VLOOKUP(H164,FORAGE2,5)+VLOOKUP(H164,FORAGE2,6)+VLOOKUP(H164,FORAGE2,7)+VLOOKUP(H164,FORAGE2,8)+VLOOKUP(H164,FORAGE2,9)+VLOOKUP(H164,FORAGE2,10)+VLOOKUP(H164,FORAGE2,11))))))))))</f>
        <v>0</v>
      </c>
      <c r="L164" s="145"/>
      <c r="M164" s="17">
        <f t="shared" si="38"/>
        <v>0</v>
      </c>
      <c r="N164" s="523" t="str">
        <f>IF(H164="","",VLOOKUP(H164,ForageGrowthCurves!$A$6:$P$67,16,FALSE))</f>
        <v/>
      </c>
      <c r="O164" s="991"/>
      <c r="P164" s="991"/>
      <c r="Q164" s="991"/>
      <c r="R164" s="991"/>
      <c r="S164" s="991"/>
      <c r="T164" s="991"/>
      <c r="U164" s="991"/>
      <c r="V164" s="991"/>
      <c r="W164" s="991"/>
      <c r="X164" s="991"/>
      <c r="Y164" s="991"/>
      <c r="Z164" s="985"/>
    </row>
    <row r="165" spans="5:26" hidden="1">
      <c r="E165" s="989"/>
      <c r="F165" s="991"/>
      <c r="G165" s="524">
        <f>Field6</f>
        <v>0</v>
      </c>
      <c r="H165" s="190">
        <f>Kind6</f>
        <v>0</v>
      </c>
      <c r="I165" s="191">
        <f>Acres6</f>
        <v>0</v>
      </c>
      <c r="J165" s="452">
        <f>Yield6</f>
        <v>0</v>
      </c>
      <c r="K165" s="17">
        <f>IF(HayMonth6=3,I165*J165*(VLOOKUP(H165,FORAGE2,12)+VLOOKUP(H165,FORAGE2,13)+VLOOKUP(H165,FORAGE2,14)),IF(HayMonth6=4,I165*J165*(VLOOKUP(H165,FORAGE2,12)+VLOOKUP(H165,FORAGE2,13)+VLOOKUP(H165,FORAGE2,14)+VLOOKUP(H165,FORAGE2,3)),IF(HayMonth6=5,I165*J165*(VLOOKUP(H165,FORAGE2,12)+VLOOKUP(H165,FORAGE2,13)+VLOOKUP(H165,FORAGE2,14)+VLOOKUP(H165,FORAGE2,3)+VLOOKUP(H165,FORAGE2,4)),IF(HayMonth6=6,I165*J165*(VLOOKUP(H165,FORAGE2,12)+VLOOKUP(H165,FORAGE2,13)+VLOOKUP(H165,FORAGE2,14)+VLOOKUP(H165,FORAGE2,3)+VLOOKUP(H165,FORAGE2,4)+VLOOKUP(H165,FORAGE2,5)),IF(HayMonth6=7,I165*J165*(VLOOKUP(H165,FORAGE2,12)+VLOOKUP(H165,FORAGE2,13)+VLOOKUP(H165,FORAGE2,14)+VLOOKUP(H165,FORAGE2,3)+VLOOKUP(H165,FORAGE2,4)+VLOOKUP(H165,FORAGE2,5)+VLOOKUP(H165,FORAGE2,6)), IF(HayMonth6=8,I165*J165*(VLOOKUP(H165,FORAGE2,12)+VLOOKUP(H165,FORAGE2,13)+VLOOKUP(H165,FORAGE2,14)+VLOOKUP(H165,FORAGE2,3)+VLOOKUP(H165,FORAGE2,4)+VLOOKUP(H165,FORAGE2,5)+VLOOKUP(H165,FORAGE2,6)+VLOOKUP(H165,FORAGE2,7)),IF(HayMonth6=9,I165*J165*(VLOOKUP(H165,FORAGE2,12)+VLOOKUP(H165,FORAGE2,13)+VLOOKUP(H165,FORAGE2,14)+VLOOKUP(H165,FORAGE2,3)+VLOOKUP(H165,FORAGE2,4)+VLOOKUP(H165,FORAGE2,5)+VLOOKUP(H165,FORAGE2,6)+VLOOKUP(H165,FORAGE2,7)+VLOOKUP(H165,FORAGE2,8)), IF(HayMonth6=10,I165*J165*(VLOOKUP(H165,FORAGE2,12)+VLOOKUP(H165,FORAGE2,13)+VLOOKUP(H165,FORAGE2,14)+VLOOKUP(H165,FORAGE2,3)+VLOOKUP(H165,FORAGE2,4)+VLOOKUP(H165,FORAGE2,5)+VLOOKUP(H165,FORAGE2,6)+VLOOKUP(H165,FORAGE2,7)+VLOOKUP(H165,FORAGE2,8)+VLOOKUP(H165,FORAGE2,9)),I165*J165*(VLOOKUP(H165,FORAGE2,12)+VLOOKUP(H165,FORAGE2,13)+VLOOKUP(H165,FORAGE2,14)+VLOOKUP(H165,FORAGE2,3)+VLOOKUP(H165,FORAGE2,4)+VLOOKUP(H165,FORAGE2,5)+VLOOKUP(H165,FORAGE2,6)+VLOOKUP(H165,FORAGE2,7)+VLOOKUP(H165,FORAGE2,8)+VLOOKUP(H165,FORAGE2,9)+VLOOKUP(H165,FORAGE2,10)+VLOOKUP(H165,FORAGE2,11))))))))))</f>
        <v>0</v>
      </c>
      <c r="L165" s="145"/>
      <c r="M165" s="17">
        <f t="shared" si="38"/>
        <v>0</v>
      </c>
      <c r="N165" s="523" t="str">
        <f>IF(H165="","",VLOOKUP(H165,ForageGrowthCurves!$A$6:$P$67,16,FALSE))</f>
        <v/>
      </c>
      <c r="O165" s="1023"/>
      <c r="P165" s="991"/>
      <c r="Q165" s="991"/>
      <c r="R165" s="991"/>
      <c r="S165" s="991"/>
      <c r="T165" s="991"/>
      <c r="U165" s="991"/>
      <c r="V165" s="991"/>
      <c r="W165" s="991"/>
      <c r="X165" s="991"/>
      <c r="Y165" s="991"/>
      <c r="Z165" s="985"/>
    </row>
    <row r="166" spans="5:26" hidden="1">
      <c r="E166" s="989"/>
      <c r="F166" s="991"/>
      <c r="G166" s="524">
        <f>Field7</f>
        <v>0</v>
      </c>
      <c r="H166" s="190">
        <f>Kind7</f>
        <v>0</v>
      </c>
      <c r="I166" s="191">
        <f>Acres7</f>
        <v>0</v>
      </c>
      <c r="J166" s="452">
        <f>Yield7</f>
        <v>0</v>
      </c>
      <c r="K166" s="17">
        <f>IF(HayMonth7=3,I166*J166*(VLOOKUP(H166,FORAGE2,12)+VLOOKUP(H166,FORAGE2,13)+VLOOKUP(H166,FORAGE2,14)),IF(HayMonth7=4,I166*J166*(VLOOKUP(H166,FORAGE2,12)+VLOOKUP(H166,FORAGE2,13)+VLOOKUP(H166,FORAGE2,14)+VLOOKUP(H166,FORAGE2,3)),IF(HayMonth7=5,I166*J166*(VLOOKUP(H166,FORAGE2,12)+VLOOKUP(H166,FORAGE2,13)+VLOOKUP(H166,FORAGE2,14)+VLOOKUP(H166,FORAGE2,3)+VLOOKUP(H166,FORAGE2,4)),IF(HayMonth7=6,I166*J166*(VLOOKUP(H166,FORAGE2,12)+VLOOKUP(H166,FORAGE2,13)+VLOOKUP(H166,FORAGE2,14)+VLOOKUP(H166,FORAGE2,3)+VLOOKUP(H166,FORAGE2,4)+VLOOKUP(H166,FORAGE2,5)),IF(HayMonth7=7,I166*J166*(VLOOKUP(H166,FORAGE2,12)+VLOOKUP(H166,FORAGE2,13)+VLOOKUP(H166,FORAGE2,14)+VLOOKUP(H166,FORAGE2,3)+VLOOKUP(H166,FORAGE2,4)+VLOOKUP(H166,FORAGE2,5)+VLOOKUP(H166,FORAGE2,6)), IF(HayMonth7=8,I166*J166*(VLOOKUP(H166,FORAGE2,12)+VLOOKUP(H166,FORAGE2,13)+VLOOKUP(H166,FORAGE2,14)+VLOOKUP(H166,FORAGE2,3)+VLOOKUP(H166,FORAGE2,4)+VLOOKUP(H166,FORAGE2,5)+VLOOKUP(H166,FORAGE2,6)+VLOOKUP(H166,FORAGE2,7)),IF(HayMonth7=9,I166*J166*(VLOOKUP(H166,FORAGE2,12)+VLOOKUP(H166,FORAGE2,13)+VLOOKUP(H166,FORAGE2,14)+VLOOKUP(H166,FORAGE2,3)+VLOOKUP(H166,FORAGE2,4)+VLOOKUP(H166,FORAGE2,5)+VLOOKUP(H166,FORAGE2,6)+VLOOKUP(H166,FORAGE2,7)+VLOOKUP(H166,FORAGE2,8)), IF(HayMonth7=10,I166*J166*(VLOOKUP(H166,FORAGE2,12)+VLOOKUP(H166,FORAGE2,13)+VLOOKUP(H166,FORAGE2,14)+VLOOKUP(H166,FORAGE2,3)+VLOOKUP(H166,FORAGE2,4)+VLOOKUP(H166,FORAGE2,5)+VLOOKUP(H166,FORAGE2,6)+VLOOKUP(H166,FORAGE2,7)+VLOOKUP(H166,FORAGE2,8)+VLOOKUP(H166,FORAGE2,9)),I166*J166*(VLOOKUP(H166,FORAGE2,12)+VLOOKUP(H166,FORAGE2,13)+VLOOKUP(H166,FORAGE2,14)+VLOOKUP(H166,FORAGE2,3)+VLOOKUP(H166,FORAGE2,4)+VLOOKUP(H166,FORAGE2,5)+VLOOKUP(H166,FORAGE2,6)+VLOOKUP(H166,FORAGE2,7)+VLOOKUP(H166,FORAGE2,8)+VLOOKUP(H166,FORAGE2,9)+VLOOKUP(H166,FORAGE2,10)+VLOOKUP(H166,FORAGE2,11))))))))))</f>
        <v>0</v>
      </c>
      <c r="L166" s="145"/>
      <c r="M166" s="17">
        <f t="shared" si="38"/>
        <v>0</v>
      </c>
      <c r="N166" s="523" t="str">
        <f>IF(H166="","",VLOOKUP(H166,ForageGrowthCurves!$A$6:$P$67,16,FALSE))</f>
        <v/>
      </c>
      <c r="O166" s="991"/>
      <c r="P166" s="991"/>
      <c r="Q166" s="991"/>
      <c r="R166" s="991"/>
      <c r="S166" s="991"/>
      <c r="T166" s="991"/>
      <c r="U166" s="991"/>
      <c r="V166" s="991"/>
      <c r="W166" s="991"/>
      <c r="X166" s="991"/>
      <c r="Y166" s="991"/>
      <c r="Z166" s="985"/>
    </row>
    <row r="167" spans="5:26" hidden="1">
      <c r="E167" s="989"/>
      <c r="F167" s="991"/>
      <c r="G167" s="524">
        <f>Field8</f>
        <v>0</v>
      </c>
      <c r="H167" s="190">
        <f>Kind8</f>
        <v>0</v>
      </c>
      <c r="I167" s="191">
        <f>Acres8</f>
        <v>0</v>
      </c>
      <c r="J167" s="452">
        <f>Yield8</f>
        <v>0</v>
      </c>
      <c r="K167" s="17">
        <f>IF(HayMonth8=3,I167*J167*(VLOOKUP(H167,FORAGE2,12)+VLOOKUP(H167,FORAGE2,13)+VLOOKUP(H167,FORAGE2,14)),IF(HayMonth8=4,I167*J167*(VLOOKUP(H167,FORAGE2,12)+VLOOKUP(H167,FORAGE2,13)+VLOOKUP(H167,FORAGE2,14)+VLOOKUP(H167,FORAGE2,3)),IF(HayMonth8=5,I167*J167*(VLOOKUP(H167,FORAGE2,12)+VLOOKUP(H167,FORAGE2,13)+VLOOKUP(H167,FORAGE2,14)+VLOOKUP(H167,FORAGE2,3)+VLOOKUP(H167,FORAGE2,4)),IF(HayMonth8=6,I167*J167*(VLOOKUP(H167,FORAGE2,12)+VLOOKUP(H167,FORAGE2,13)+VLOOKUP(H167,FORAGE2,14)+VLOOKUP(H167,FORAGE2,3)+VLOOKUP(H167,FORAGE2,4)+VLOOKUP(H167,FORAGE2,5)),IF(HayMonth8=7,I167*J167*(VLOOKUP(H167,FORAGE2,12)+VLOOKUP(H167,FORAGE2,13)+VLOOKUP(H167,FORAGE2,14)+VLOOKUP(H167,FORAGE2,3)+VLOOKUP(H167,FORAGE2,4)+VLOOKUP(H167,FORAGE2,5)+VLOOKUP(H167,FORAGE2,6)), IF(HayMonth8=8,I167*J167*(VLOOKUP(H167,FORAGE2,12)+VLOOKUP(H167,FORAGE2,13)+VLOOKUP(H167,FORAGE2,14)+VLOOKUP(H167,FORAGE2,3)+VLOOKUP(H167,FORAGE2,4)+VLOOKUP(H167,FORAGE2,5)+VLOOKUP(H167,FORAGE2,6)+VLOOKUP(H167,FORAGE2,7)),IF(HayMonth8=9,I167*J167*(VLOOKUP(H167,FORAGE2,12)+VLOOKUP(H167,FORAGE2,13)+VLOOKUP(H167,FORAGE2,14)+VLOOKUP(H167,FORAGE2,3)+VLOOKUP(H167,FORAGE2,4)+VLOOKUP(H167,FORAGE2,5)+VLOOKUP(H167,FORAGE2,6)+VLOOKUP(H167,FORAGE2,7)+VLOOKUP(H167,FORAGE2,8)), IF(HayMonth8=10,I167*J167*(VLOOKUP(H167,FORAGE2,12)+VLOOKUP(H167,FORAGE2,13)+VLOOKUP(H167,FORAGE2,14)+VLOOKUP(H167,FORAGE2,3)+VLOOKUP(H167,FORAGE2,4)+VLOOKUP(H167,FORAGE2,5)+VLOOKUP(H167,FORAGE2,6)+VLOOKUP(H167,FORAGE2,7)+VLOOKUP(H167,FORAGE2,8)+VLOOKUP(H167,FORAGE2,9)),I167*J167*(VLOOKUP(H167,FORAGE2,12)+VLOOKUP(H167,FORAGE2,13)+VLOOKUP(H167,FORAGE2,14)+VLOOKUP(H167,FORAGE2,3)+VLOOKUP(H167,FORAGE2,4)+VLOOKUP(H167,FORAGE2,5)+VLOOKUP(H167,FORAGE2,6)+VLOOKUP(H167,FORAGE2,7)+VLOOKUP(H167,FORAGE2,8)+VLOOKUP(H167,FORAGE2,9)+VLOOKUP(H167,FORAGE2,10)+VLOOKUP(H167,FORAGE2,11))))))))))</f>
        <v>0</v>
      </c>
      <c r="L167" s="145"/>
      <c r="M167" s="17">
        <f t="shared" si="38"/>
        <v>0</v>
      </c>
      <c r="N167" s="523" t="str">
        <f>IF(H167="","",VLOOKUP(H167,ForageGrowthCurves!$A$6:$P$67,16,FALSE))</f>
        <v/>
      </c>
      <c r="O167" s="991"/>
      <c r="P167" s="991"/>
      <c r="Q167" s="991"/>
      <c r="R167" s="991"/>
      <c r="S167" s="991"/>
      <c r="T167" s="991"/>
      <c r="U167" s="991"/>
      <c r="V167" s="991"/>
      <c r="W167" s="991"/>
      <c r="X167" s="991"/>
      <c r="Y167" s="991"/>
      <c r="Z167" s="985"/>
    </row>
    <row r="168" spans="5:26" hidden="1">
      <c r="E168" s="989"/>
      <c r="F168" s="991"/>
      <c r="G168" s="524">
        <f>Field9</f>
        <v>0</v>
      </c>
      <c r="H168" s="190">
        <f>Kind9</f>
        <v>0</v>
      </c>
      <c r="I168" s="191">
        <f>Acres9</f>
        <v>0</v>
      </c>
      <c r="J168" s="452">
        <f>Yield9</f>
        <v>0</v>
      </c>
      <c r="K168" s="17">
        <f>IF(HayMonth9=3,I168*J168*(VLOOKUP(H168,FORAGE2,12)+VLOOKUP(H168,FORAGE2,13)+VLOOKUP(H168,FORAGE2,14)),IF(HayMonth9=4,I168*J168*(VLOOKUP(H168,FORAGE2,12)+VLOOKUP(H168,FORAGE2,13)+VLOOKUP(H168,FORAGE2,14)+VLOOKUP(H168,FORAGE2,3)),IF(HayMonth9=5,I168*J168*(VLOOKUP(H168,FORAGE2,12)+VLOOKUP(H168,FORAGE2,13)+VLOOKUP(H168,FORAGE2,14)+VLOOKUP(H168,FORAGE2,3)+VLOOKUP(H168,FORAGE2,4)),IF(HayMonth9=6,I168*J168*(VLOOKUP(H168,FORAGE2,12)+VLOOKUP(H168,FORAGE2,13)+VLOOKUP(H168,FORAGE2,14)+VLOOKUP(H168,FORAGE2,3)+VLOOKUP(H168,FORAGE2,4)+VLOOKUP(H168,FORAGE2,5)),IF(HayMonth9=7,I168*J168*(VLOOKUP(H168,FORAGE2,12)+VLOOKUP(H168,FORAGE2,13)+VLOOKUP(H168,FORAGE2,14)+VLOOKUP(H168,FORAGE2,3)+VLOOKUP(H168,FORAGE2,4)+VLOOKUP(H168,FORAGE2,5)+VLOOKUP(H168,FORAGE2,6)), IF(HayMonth9=8,I168*J168*(VLOOKUP(H168,FORAGE2,12)+VLOOKUP(H168,FORAGE2,13)+VLOOKUP(H168,FORAGE2,14)+VLOOKUP(H168,FORAGE2,3)+VLOOKUP(H168,FORAGE2,4)+VLOOKUP(H168,FORAGE2,5)+VLOOKUP(H168,FORAGE2,6)+VLOOKUP(H168,FORAGE2,7)),IF(HayMonth9=9,I168*J168*(VLOOKUP(H168,FORAGE2,12)+VLOOKUP(H168,FORAGE2,13)+VLOOKUP(H168,FORAGE2,14)+VLOOKUP(H168,FORAGE2,3)+VLOOKUP(H168,FORAGE2,4)+VLOOKUP(H168,FORAGE2,5)+VLOOKUP(H168,FORAGE2,6)+VLOOKUP(H168,FORAGE2,7)+VLOOKUP(H168,FORAGE2,8)), IF(HayMonth9=10,I168*J168*(VLOOKUP(H168,FORAGE2,12)+VLOOKUP(H168,FORAGE2,13)+VLOOKUP(H168,FORAGE2,14)+VLOOKUP(H168,FORAGE2,3)+VLOOKUP(H168,FORAGE2,4)+VLOOKUP(H168,FORAGE2,5)+VLOOKUP(H168,FORAGE2,6)+VLOOKUP(H168,FORAGE2,7)+VLOOKUP(H168,FORAGE2,8)+VLOOKUP(H168,FORAGE2,9)),I168*J168*(VLOOKUP(H168,FORAGE2,12)+VLOOKUP(H168,FORAGE2,13)+VLOOKUP(H168,FORAGE2,14)+VLOOKUP(H168,FORAGE2,3)+VLOOKUP(H168,FORAGE2,4)+VLOOKUP(H168,FORAGE2,5)+VLOOKUP(H168,FORAGE2,6)+VLOOKUP(H168,FORAGE2,7)+VLOOKUP(H168,FORAGE2,8)+VLOOKUP(H168,FORAGE2,9)+VLOOKUP(H168,FORAGE2,10)+VLOOKUP(H168,FORAGE2,11))))))))))</f>
        <v>0</v>
      </c>
      <c r="L168" s="145"/>
      <c r="M168" s="17">
        <f t="shared" si="38"/>
        <v>0</v>
      </c>
      <c r="N168" s="523" t="str">
        <f>IF(H168="","",VLOOKUP(H168,ForageGrowthCurves!$A$6:$P$67,16,FALSE))</f>
        <v/>
      </c>
      <c r="O168" s="991"/>
      <c r="P168" s="991"/>
      <c r="Q168" s="991"/>
      <c r="R168" s="991"/>
      <c r="S168" s="991"/>
      <c r="T168" s="991"/>
      <c r="U168" s="991"/>
      <c r="V168" s="991"/>
      <c r="W168" s="991"/>
      <c r="X168" s="991"/>
      <c r="Y168" s="991"/>
      <c r="Z168" s="985"/>
    </row>
    <row r="169" spans="5:26" hidden="1">
      <c r="E169" s="989"/>
      <c r="F169" s="991"/>
      <c r="G169" s="524">
        <f>Field10</f>
        <v>0</v>
      </c>
      <c r="H169" s="190">
        <f>Kind10</f>
        <v>0</v>
      </c>
      <c r="I169" s="191">
        <f>Acres10</f>
        <v>0</v>
      </c>
      <c r="J169" s="452">
        <f>Yield10</f>
        <v>0</v>
      </c>
      <c r="K169" s="17">
        <f>IF(HayMonth10=3,I169*J169*(VLOOKUP(H169,FORAGE2,12)+VLOOKUP(H169,FORAGE2,13)+VLOOKUP(H169,FORAGE2,14)),IF(HayMonth10=4,I169*J169*(VLOOKUP(H169,FORAGE2,12)+VLOOKUP(H169,FORAGE2,13)+VLOOKUP(H169,FORAGE2,14)+VLOOKUP(H169,FORAGE2,3)),IF(HayMonth10=5,I169*J169*(VLOOKUP(H169,FORAGE2,12)+VLOOKUP(H169,FORAGE2,13)+VLOOKUP(H169,FORAGE2,14)+VLOOKUP(H169,FORAGE2,3)+VLOOKUP(H169,FORAGE2,4)),IF(HayMonth10=6,I169*J169*(VLOOKUP(H169,FORAGE2,12)+VLOOKUP(H169,FORAGE2,13)+VLOOKUP(H169,FORAGE2,14)+VLOOKUP(H169,FORAGE2,3)+VLOOKUP(H169,FORAGE2,4)+VLOOKUP(H169,FORAGE2,5)),IF(HayMonth10=7,I169*J169*(VLOOKUP(H169,FORAGE2,12)+VLOOKUP(H169,FORAGE2,13)+VLOOKUP(H169,FORAGE2,14)+VLOOKUP(H169,FORAGE2,3)+VLOOKUP(H169,FORAGE2,4)+VLOOKUP(H169,FORAGE2,5)+VLOOKUP(H169,FORAGE2,6)), IF(HayMonth10=8,I169*J169*(VLOOKUP(H169,FORAGE2,12)+VLOOKUP(H169,FORAGE2,13)+VLOOKUP(H169,FORAGE2,14)+VLOOKUP(H169,FORAGE2,3)+VLOOKUP(H169,FORAGE2,4)+VLOOKUP(H169,FORAGE2,5)+VLOOKUP(H169,FORAGE2,6)+VLOOKUP(H169,FORAGE2,7)),IF(HayMonth10=9,I169*J169*(VLOOKUP(H169,FORAGE2,12)+VLOOKUP(H169,FORAGE2,13)+VLOOKUP(H169,FORAGE2,14)+VLOOKUP(H169,FORAGE2,3)+VLOOKUP(H169,FORAGE2,4)+VLOOKUP(H169,FORAGE2,5)+VLOOKUP(H169,FORAGE2,6)+VLOOKUP(H169,FORAGE2,7)+VLOOKUP(H169,FORAGE2,8)), IF(HayMonth10=10,I169*J169*(VLOOKUP(H169,FORAGE2,12)+VLOOKUP(H169,FORAGE2,13)+VLOOKUP(H169,FORAGE2,14)+VLOOKUP(H169,FORAGE2,3)+VLOOKUP(H169,FORAGE2,4)+VLOOKUP(H169,FORAGE2,5)+VLOOKUP(H169,FORAGE2,6)+VLOOKUP(H169,FORAGE2,7)+VLOOKUP(H169,FORAGE2,8)+VLOOKUP(H169,FORAGE2,9)),I169*J169*(VLOOKUP(H169,FORAGE2,12)+VLOOKUP(H169,FORAGE2,13)+VLOOKUP(H169,FORAGE2,14)+VLOOKUP(H169,FORAGE2,3)+VLOOKUP(H169,FORAGE2,4)+VLOOKUP(H169,FORAGE2,5)+VLOOKUP(H169,FORAGE2,6)+VLOOKUP(H169,FORAGE2,7)+VLOOKUP(H169,FORAGE2,8)+VLOOKUP(H169,FORAGE2,9)+VLOOKUP(H169,FORAGE2,10)+VLOOKUP(H169,FORAGE2,11))))))))))</f>
        <v>0</v>
      </c>
      <c r="L169" s="145"/>
      <c r="M169" s="17">
        <f t="shared" si="38"/>
        <v>0</v>
      </c>
      <c r="N169" s="523" t="str">
        <f>IF(H169="","",VLOOKUP(H169,ForageGrowthCurves!$A$6:$P$67,16,FALSE))</f>
        <v/>
      </c>
      <c r="O169" s="991"/>
      <c r="P169" s="991"/>
      <c r="Q169" s="991"/>
      <c r="R169" s="991"/>
      <c r="S169" s="991"/>
      <c r="T169" s="991"/>
      <c r="U169" s="991"/>
      <c r="V169" s="991"/>
      <c r="W169" s="991"/>
      <c r="X169" s="991"/>
      <c r="Y169" s="991"/>
      <c r="Z169" s="985"/>
    </row>
    <row r="170" spans="5:26" hidden="1">
      <c r="E170" s="989"/>
      <c r="F170" s="991"/>
      <c r="G170" s="524">
        <f>Field11</f>
        <v>0</v>
      </c>
      <c r="H170" s="190">
        <f>Kind11</f>
        <v>0</v>
      </c>
      <c r="I170" s="191">
        <f>Acres11</f>
        <v>0</v>
      </c>
      <c r="J170" s="452">
        <f>Yield11</f>
        <v>0</v>
      </c>
      <c r="K170" s="17">
        <f>IF(HayMonth11=3,I170*J170*(VLOOKUP(H170,FORAGE2,12)+VLOOKUP(H170,FORAGE2,13)+VLOOKUP(H170,FORAGE2,14)),IF(HayMonth11=4,I170*J170*(VLOOKUP(H170,FORAGE2,12)+VLOOKUP(H170,FORAGE2,13)+VLOOKUP(H170,FORAGE2,14)+VLOOKUP(H170,FORAGE2,3)),IF(HayMonth11=5,I170*J170*(VLOOKUP(H170,FORAGE2,12)+VLOOKUP(H170,FORAGE2,13)+VLOOKUP(H170,FORAGE2,14)+VLOOKUP(H170,FORAGE2,3)+VLOOKUP(H170,FORAGE2,4)),IF(HayMonth11=6,I170*J170*(VLOOKUP(H170,FORAGE2,12)+VLOOKUP(H170,FORAGE2,13)+VLOOKUP(H170,FORAGE2,14)+VLOOKUP(H170,FORAGE2,3)+VLOOKUP(H170,FORAGE2,4)+VLOOKUP(H170,FORAGE2,5)),IF(HayMonth11=7,I170*J170*(VLOOKUP(H170,FORAGE2,12)+VLOOKUP(H170,FORAGE2,13)+VLOOKUP(H170,FORAGE2,14)+VLOOKUP(H170,FORAGE2,3)+VLOOKUP(H170,FORAGE2,4)+VLOOKUP(H170,FORAGE2,5)+VLOOKUP(H170,FORAGE2,6)), IF(HayMonth11=8,I170*J170*(VLOOKUP(H170,FORAGE2,12)+VLOOKUP(H170,FORAGE2,13)+VLOOKUP(H170,FORAGE2,14)+VLOOKUP(H170,FORAGE2,3)+VLOOKUP(H170,FORAGE2,4)+VLOOKUP(H170,FORAGE2,5)+VLOOKUP(H170,FORAGE2,6)+VLOOKUP(H170,FORAGE2,7)),IF(HayMonth11=9,I170*J170*(VLOOKUP(H170,FORAGE2,12)+VLOOKUP(H170,FORAGE2,13)+VLOOKUP(H170,FORAGE2,14)+VLOOKUP(H170,FORAGE2,3)+VLOOKUP(H170,FORAGE2,4)+VLOOKUP(H170,FORAGE2,5)+VLOOKUP(H170,FORAGE2,6)+VLOOKUP(H170,FORAGE2,7)+VLOOKUP(H170,FORAGE2,8)), IF(HayMonth11=10,I170*J170*(VLOOKUP(H170,FORAGE2,12)+VLOOKUP(H170,FORAGE2,13)+VLOOKUP(H170,FORAGE2,14)+VLOOKUP(H170,FORAGE2,3)+VLOOKUP(H170,FORAGE2,4)+VLOOKUP(H170,FORAGE2,5)+VLOOKUP(H170,FORAGE2,6)+VLOOKUP(H170,FORAGE2,7)+VLOOKUP(H170,FORAGE2,8)+VLOOKUP(H170,FORAGE2,9)),I170*J170*(VLOOKUP(H170,FORAGE2,12)+VLOOKUP(H170,FORAGE2,13)+VLOOKUP(H170,FORAGE2,14)+VLOOKUP(H170,FORAGE2,3)+VLOOKUP(H170,FORAGE2,4)+VLOOKUP(H170,FORAGE2,5)+VLOOKUP(H170,FORAGE2,6)+VLOOKUP(H170,FORAGE2,7)+VLOOKUP(H170,FORAGE2,8)+VLOOKUP(H170,FORAGE2,9)+VLOOKUP(H170,FORAGE2,10)+VLOOKUP(H170,FORAGE2,11))))))))))</f>
        <v>0</v>
      </c>
      <c r="L170" s="145"/>
      <c r="M170" s="17">
        <f t="shared" si="38"/>
        <v>0</v>
      </c>
      <c r="N170" s="523" t="str">
        <f>IF(H170="","",VLOOKUP(H170,ForageGrowthCurves!$A$6:$P$67,16,FALSE))</f>
        <v/>
      </c>
      <c r="O170" s="991"/>
      <c r="P170" s="991"/>
      <c r="Q170" s="991"/>
      <c r="R170" s="991"/>
      <c r="S170" s="991"/>
      <c r="T170" s="991"/>
      <c r="U170" s="991"/>
      <c r="V170" s="991"/>
      <c r="W170" s="991"/>
      <c r="X170" s="991"/>
      <c r="Y170" s="991"/>
      <c r="Z170" s="985"/>
    </row>
    <row r="171" spans="5:26" hidden="1">
      <c r="E171" s="989"/>
      <c r="F171" s="991"/>
      <c r="G171" s="524">
        <f>Field12</f>
        <v>0</v>
      </c>
      <c r="H171" s="190">
        <f>Kind12</f>
        <v>0</v>
      </c>
      <c r="I171" s="191">
        <f>Acres12</f>
        <v>0</v>
      </c>
      <c r="J171" s="452">
        <f>Yield12</f>
        <v>0</v>
      </c>
      <c r="K171" s="17">
        <f>IF(HayMonth12=3,I171*J171*(VLOOKUP(H171,FORAGE2,12)+VLOOKUP(H171,FORAGE2,13)+VLOOKUP(H171,FORAGE2,14)),IF(HayMonth12=4,I171*J171*(VLOOKUP(H171,FORAGE2,12)+VLOOKUP(H171,FORAGE2,13)+VLOOKUP(H171,FORAGE2,14)+VLOOKUP(H171,FORAGE2,3)),IF(HayMonth12=5,I171*J171*(VLOOKUP(H171,FORAGE2,12)+VLOOKUP(H171,FORAGE2,13)+VLOOKUP(H171,FORAGE2,14)+VLOOKUP(H171,FORAGE2,3)+VLOOKUP(H171,FORAGE2,4)),IF(HayMonth12=6,I171*J171*(VLOOKUP(H171,FORAGE2,12)+VLOOKUP(H171,FORAGE2,13)+VLOOKUP(H171,FORAGE2,14)+VLOOKUP(H171,FORAGE2,3)+VLOOKUP(H171,FORAGE2,4)+VLOOKUP(H171,FORAGE2,5)),IF(HayMonth12=7,I171*J171*(VLOOKUP(H171,FORAGE2,12)+VLOOKUP(H171,FORAGE2,13)+VLOOKUP(H171,FORAGE2,14)+VLOOKUP(H171,FORAGE2,3)+VLOOKUP(H171,FORAGE2,4)+VLOOKUP(H171,FORAGE2,5)+VLOOKUP(H171,FORAGE2,6)), IF(HayMonth12=8,I171*J171*(VLOOKUP(H171,FORAGE2,12)+VLOOKUP(H171,FORAGE2,13)+VLOOKUP(H171,FORAGE2,14)+VLOOKUP(H171,FORAGE2,3)+VLOOKUP(H171,FORAGE2,4)+VLOOKUP(H171,FORAGE2,5)+VLOOKUP(H171,FORAGE2,6)+VLOOKUP(H171,FORAGE2,7)),IF(HayMonth12=9,I171*J171*(VLOOKUP(H171,FORAGE2,12)+VLOOKUP(H171,FORAGE2,13)+VLOOKUP(H171,FORAGE2,14)+VLOOKUP(H171,FORAGE2,3)+VLOOKUP(H171,FORAGE2,4)+VLOOKUP(H171,FORAGE2,5)+VLOOKUP(H171,FORAGE2,6)+VLOOKUP(H171,FORAGE2,7)+VLOOKUP(H171,FORAGE2,8)), IF(HayMonth12=10,I171*J171*(VLOOKUP(H171,FORAGE2,12)+VLOOKUP(H171,FORAGE2,13)+VLOOKUP(H171,FORAGE2,14)+VLOOKUP(H171,FORAGE2,3)+VLOOKUP(H171,FORAGE2,4)+VLOOKUP(H171,FORAGE2,5)+VLOOKUP(H171,FORAGE2,6)+VLOOKUP(H171,FORAGE2,7)+VLOOKUP(H171,FORAGE2,8)+VLOOKUP(H171,FORAGE2,9)),I171*J171*(VLOOKUP(H171,FORAGE2,12)+VLOOKUP(H171,FORAGE2,13)+VLOOKUP(H171,FORAGE2,14)+VLOOKUP(H171,FORAGE2,3)+VLOOKUP(H171,FORAGE2,4)+VLOOKUP(H171,FORAGE2,5)+VLOOKUP(H171,FORAGE2,6)+VLOOKUP(H171,FORAGE2,7)+VLOOKUP(H171,FORAGE2,8)+VLOOKUP(H171,FORAGE2,9)+VLOOKUP(H171,FORAGE2,10)+VLOOKUP(H171,FORAGE2,11))))))))))</f>
        <v>0</v>
      </c>
      <c r="L171" s="145"/>
      <c r="M171" s="17">
        <f t="shared" si="38"/>
        <v>0</v>
      </c>
      <c r="N171" s="523" t="str">
        <f>IF(H171="","",VLOOKUP(H171,ForageGrowthCurves!$A$6:$P$67,16,FALSE))</f>
        <v/>
      </c>
      <c r="O171" s="991"/>
      <c r="P171" s="991"/>
      <c r="Q171" s="991"/>
      <c r="R171" s="991"/>
      <c r="S171" s="991"/>
      <c r="T171" s="991"/>
      <c r="U171" s="991"/>
      <c r="V171" s="991"/>
      <c r="W171" s="991"/>
      <c r="X171" s="991"/>
      <c r="Y171" s="991"/>
      <c r="Z171" s="985"/>
    </row>
    <row r="172" spans="5:26" hidden="1">
      <c r="E172" s="989"/>
      <c r="F172" s="991"/>
      <c r="G172" s="524">
        <f>Field13</f>
        <v>0</v>
      </c>
      <c r="H172" s="190">
        <f>Kind13</f>
        <v>0</v>
      </c>
      <c r="I172" s="191">
        <f>Acres13</f>
        <v>0</v>
      </c>
      <c r="J172" s="452">
        <f>Yield13</f>
        <v>0</v>
      </c>
      <c r="K172" s="17">
        <f>IF(HayMonth13=3,I172*J172*(VLOOKUP(H172,FORAGE2,12)+VLOOKUP(H172,FORAGE2,13)+VLOOKUP(H172,FORAGE2,14)),IF(HayMonth13=4,I172*J172*(VLOOKUP(H172,FORAGE2,12)+VLOOKUP(H172,FORAGE2,13)+VLOOKUP(H172,FORAGE2,14)+VLOOKUP(H172,FORAGE2,3)),IF(HayMonth13=5,I172*J172*(VLOOKUP(H172,FORAGE2,12)+VLOOKUP(H172,FORAGE2,13)+VLOOKUP(H172,FORAGE2,14)+VLOOKUP(H172,FORAGE2,3)+VLOOKUP(H172,FORAGE2,4)),IF(HayMonth13=6,I172*J172*(VLOOKUP(H172,FORAGE2,12)+VLOOKUP(H172,FORAGE2,13)+VLOOKUP(H172,FORAGE2,14)+VLOOKUP(H172,FORAGE2,3)+VLOOKUP(H172,FORAGE2,4)+VLOOKUP(H172,FORAGE2,5)),IF(HayMonth13=7,I172*J172*(VLOOKUP(H172,FORAGE2,12)+VLOOKUP(H172,FORAGE2,13)+VLOOKUP(H172,FORAGE2,14)+VLOOKUP(H172,FORAGE2,3)+VLOOKUP(H172,FORAGE2,4)+VLOOKUP(H172,FORAGE2,5)+VLOOKUP(H172,FORAGE2,6)), IF(HayMonth13=8,I172*J172*(VLOOKUP(H172,FORAGE2,12)+VLOOKUP(H172,FORAGE2,13)+VLOOKUP(H172,FORAGE2,14)+VLOOKUP(H172,FORAGE2,3)+VLOOKUP(H172,FORAGE2,4)+VLOOKUP(H172,FORAGE2,5)+VLOOKUP(H172,FORAGE2,6)+VLOOKUP(H172,FORAGE2,7)),IF(HayMonth13=9,I172*J172*(VLOOKUP(H172,FORAGE2,12)+VLOOKUP(H172,FORAGE2,13)+VLOOKUP(H172,FORAGE2,14)+VLOOKUP(H172,FORAGE2,3)+VLOOKUP(H172,FORAGE2,4)+VLOOKUP(H172,FORAGE2,5)+VLOOKUP(H172,FORAGE2,6)+VLOOKUP(H172,FORAGE2,7)+VLOOKUP(H172,FORAGE2,8)), IF(HayMonth13=10,I172*J172*(VLOOKUP(H172,FORAGE2,12)+VLOOKUP(H172,FORAGE2,13)+VLOOKUP(H172,FORAGE2,14)+VLOOKUP(H172,FORAGE2,3)+VLOOKUP(H172,FORAGE2,4)+VLOOKUP(H172,FORAGE2,5)+VLOOKUP(H172,FORAGE2,6)+VLOOKUP(H172,FORAGE2,7)+VLOOKUP(H172,FORAGE2,8)+VLOOKUP(H172,FORAGE2,9)),I172*J172*(VLOOKUP(H172,FORAGE2,12)+VLOOKUP(H172,FORAGE2,13)+VLOOKUP(H172,FORAGE2,14)+VLOOKUP(H172,FORAGE2,3)+VLOOKUP(H172,FORAGE2,4)+VLOOKUP(H172,FORAGE2,5)+VLOOKUP(H172,FORAGE2,6)+VLOOKUP(H172,FORAGE2,7)+VLOOKUP(H172,FORAGE2,8)+VLOOKUP(H172,FORAGE2,9)+VLOOKUP(H172,FORAGE2,10)+VLOOKUP(H172,FORAGE2,11))))))))))</f>
        <v>0</v>
      </c>
      <c r="L172" s="145"/>
      <c r="M172" s="17">
        <f t="shared" si="38"/>
        <v>0</v>
      </c>
      <c r="N172" s="523" t="str">
        <f>IF(H172="","",VLOOKUP(H172,ForageGrowthCurves!$A$6:$P$67,16,FALSE))</f>
        <v/>
      </c>
      <c r="O172" s="991"/>
      <c r="P172" s="991"/>
      <c r="Q172" s="991"/>
      <c r="R172" s="991"/>
      <c r="S172" s="991"/>
      <c r="T172" s="991"/>
      <c r="U172" s="991"/>
      <c r="V172" s="991"/>
      <c r="W172" s="991"/>
      <c r="X172" s="991"/>
      <c r="Y172" s="991"/>
      <c r="Z172" s="985"/>
    </row>
    <row r="173" spans="5:26" hidden="1">
      <c r="E173" s="989"/>
      <c r="F173" s="991"/>
      <c r="G173" s="524">
        <f>Field14</f>
        <v>0</v>
      </c>
      <c r="H173" s="190">
        <f>Kind14</f>
        <v>0</v>
      </c>
      <c r="I173" s="191">
        <f>Acres14</f>
        <v>0</v>
      </c>
      <c r="J173" s="452">
        <f>Yield14</f>
        <v>0</v>
      </c>
      <c r="K173" s="17">
        <f>IF(HayMonth14=3,I173*J173*(VLOOKUP(H173,FORAGE2,12)+VLOOKUP(H173,FORAGE2,13)+VLOOKUP(H173,FORAGE2,14)),IF(HayMonth14=4,I173*J173*(VLOOKUP(H173,FORAGE2,12)+VLOOKUP(H173,FORAGE2,13)+VLOOKUP(H173,FORAGE2,14)+VLOOKUP(H173,FORAGE2,3)),IF(HayMonth14=5,I173*J173*(VLOOKUP(H173,FORAGE2,12)+VLOOKUP(H173,FORAGE2,13)+VLOOKUP(H173,FORAGE2,14)+VLOOKUP(H173,FORAGE2,3)+VLOOKUP(H173,FORAGE2,4)),IF(HayMonth14=6,I173*J173*(VLOOKUP(H173,FORAGE2,12)+VLOOKUP(H173,FORAGE2,13)+VLOOKUP(H173,FORAGE2,14)+VLOOKUP(H173,FORAGE2,3)+VLOOKUP(H173,FORAGE2,4)+VLOOKUP(H173,FORAGE2,5)),IF(HayMonth14=7,I173*J173*(VLOOKUP(H173,FORAGE2,12)+VLOOKUP(H173,FORAGE2,13)+VLOOKUP(H173,FORAGE2,14)+VLOOKUP(H173,FORAGE2,3)+VLOOKUP(H173,FORAGE2,4)+VLOOKUP(H173,FORAGE2,5)+VLOOKUP(H173,FORAGE2,6)), IF(HayMonth14=8,I173*J173*(VLOOKUP(H173,FORAGE2,12)+VLOOKUP(H173,FORAGE2,13)+VLOOKUP(H173,FORAGE2,14)+VLOOKUP(H173,FORAGE2,3)+VLOOKUP(H173,FORAGE2,4)+VLOOKUP(H173,FORAGE2,5)+VLOOKUP(H173,FORAGE2,6)+VLOOKUP(H173,FORAGE2,7)),IF(HayMonth14=9,I173*J173*(VLOOKUP(H173,FORAGE2,12)+VLOOKUP(H173,FORAGE2,13)+VLOOKUP(H173,FORAGE2,14)+VLOOKUP(H173,FORAGE2,3)+VLOOKUP(H173,FORAGE2,4)+VLOOKUP(H173,FORAGE2,5)+VLOOKUP(H173,FORAGE2,6)+VLOOKUP(H173,FORAGE2,7)+VLOOKUP(H173,FORAGE2,8)), IF(HayMonth14=10,I173*J173*(VLOOKUP(H173,FORAGE2,12)+VLOOKUP(H173,FORAGE2,13)+VLOOKUP(H173,FORAGE2,14)+VLOOKUP(H173,FORAGE2,3)+VLOOKUP(H173,FORAGE2,4)+VLOOKUP(H173,FORAGE2,5)+VLOOKUP(H173,FORAGE2,6)+VLOOKUP(H173,FORAGE2,7)+VLOOKUP(H173,FORAGE2,8)+VLOOKUP(H173,FORAGE2,9)),I173*J173*(VLOOKUP(H173,FORAGE2,12)+VLOOKUP(H173,FORAGE2,13)+VLOOKUP(H173,FORAGE2,14)+VLOOKUP(H173,FORAGE2,3)+VLOOKUP(H173,FORAGE2,4)+VLOOKUP(H173,FORAGE2,5)+VLOOKUP(H173,FORAGE2,6)+VLOOKUP(H173,FORAGE2,7)+VLOOKUP(H173,FORAGE2,8)+VLOOKUP(H173,FORAGE2,9)+VLOOKUP(H173,FORAGE2,10)+VLOOKUP(H173,FORAGE2,11))))))))))</f>
        <v>0</v>
      </c>
      <c r="L173" s="145"/>
      <c r="M173" s="17">
        <f t="shared" si="38"/>
        <v>0</v>
      </c>
      <c r="N173" s="523" t="str">
        <f>IF(H173="","",VLOOKUP(H173,ForageGrowthCurves!$A$6:$P$67,16,FALSE))</f>
        <v/>
      </c>
      <c r="O173" s="991"/>
      <c r="P173" s="991"/>
      <c r="Q173" s="991"/>
      <c r="R173" s="991"/>
      <c r="S173" s="991"/>
      <c r="T173" s="991"/>
      <c r="U173" s="991"/>
      <c r="V173" s="991"/>
      <c r="W173" s="991"/>
      <c r="X173" s="991"/>
      <c r="Y173" s="991"/>
      <c r="Z173" s="985"/>
    </row>
    <row r="174" spans="5:26" hidden="1">
      <c r="E174" s="989"/>
      <c r="F174" s="991"/>
      <c r="G174" s="524">
        <f>Field15</f>
        <v>0</v>
      </c>
      <c r="H174" s="190">
        <f>Kind15</f>
        <v>0</v>
      </c>
      <c r="I174" s="191">
        <f>Acres15</f>
        <v>0</v>
      </c>
      <c r="J174" s="452">
        <f>Yield15</f>
        <v>0</v>
      </c>
      <c r="K174" s="17">
        <f>IF(HayMonth15=3,I174*J174*(VLOOKUP(H174,FORAGE2,12)+VLOOKUP(H174,FORAGE2,13)+VLOOKUP(H174,FORAGE2,14)),IF(HayMonth15=4,I174*J174*(VLOOKUP(H174,FORAGE2,12)+VLOOKUP(H174,FORAGE2,13)+VLOOKUP(H174,FORAGE2,14)+VLOOKUP(H174,FORAGE2,3)),IF(HayMonth15=5,I174*J174*(VLOOKUP(H174,FORAGE2,12)+VLOOKUP(H174,FORAGE2,13)+VLOOKUP(H174,FORAGE2,14)+VLOOKUP(H174,FORAGE2,3)+VLOOKUP(H174,FORAGE2,4)),IF(HayMonth15=6,I174*J174*(VLOOKUP(H174,FORAGE2,12)+VLOOKUP(H174,FORAGE2,13)+VLOOKUP(H174,FORAGE2,14)+VLOOKUP(H174,FORAGE2,3)+VLOOKUP(H174,FORAGE2,4)+VLOOKUP(H174,FORAGE2,5)),IF(HayMonth15=7,I174*J174*(VLOOKUP(H174,FORAGE2,12)+VLOOKUP(H174,FORAGE2,13)+VLOOKUP(H174,FORAGE2,14)+VLOOKUP(H174,FORAGE2,3)+VLOOKUP(H174,FORAGE2,4)+VLOOKUP(H174,FORAGE2,5)+VLOOKUP(H174,FORAGE2,6)), IF(HayMonth15=8,I174*J174*(VLOOKUP(H174,FORAGE2,12)+VLOOKUP(H174,FORAGE2,13)+VLOOKUP(H174,FORAGE2,14)+VLOOKUP(H174,FORAGE2,3)+VLOOKUP(H174,FORAGE2,4)+VLOOKUP(H174,FORAGE2,5)+VLOOKUP(H174,FORAGE2,6)+VLOOKUP(H174,FORAGE2,7)),IF(HayMonth15=9,I174*J174*(VLOOKUP(H174,FORAGE2,12)+VLOOKUP(H174,FORAGE2,13)+VLOOKUP(H174,FORAGE2,14)+VLOOKUP(H174,FORAGE2,3)+VLOOKUP(H174,FORAGE2,4)+VLOOKUP(H174,FORAGE2,5)+VLOOKUP(H174,FORAGE2,6)+VLOOKUP(H174,FORAGE2,7)+VLOOKUP(H174,FORAGE2,8)), IF(HayMonth15=10,I174*J174*(VLOOKUP(H174,FORAGE2,12)+VLOOKUP(H174,FORAGE2,13)+VLOOKUP(H174,FORAGE2,14)+VLOOKUP(H174,FORAGE2,3)+VLOOKUP(H174,FORAGE2,4)+VLOOKUP(H174,FORAGE2,5)+VLOOKUP(H174,FORAGE2,6)+VLOOKUP(H174,FORAGE2,7)+VLOOKUP(H174,FORAGE2,8)+VLOOKUP(H174,FORAGE2,9)),I174*J174*(VLOOKUP(H174,FORAGE2,12)+VLOOKUP(H174,FORAGE2,13)+VLOOKUP(H174,FORAGE2,14)+VLOOKUP(H174,FORAGE2,3)+VLOOKUP(H174,FORAGE2,4)+VLOOKUP(H174,FORAGE2,5)+VLOOKUP(H174,FORAGE2,6)+VLOOKUP(H174,FORAGE2,7)+VLOOKUP(H174,FORAGE2,8)+VLOOKUP(H174,FORAGE2,9)+VLOOKUP(H174,FORAGE2,10)+VLOOKUP(H174,FORAGE2,11))))))))))</f>
        <v>0</v>
      </c>
      <c r="L174" s="145"/>
      <c r="M174" s="17">
        <f t="shared" si="38"/>
        <v>0</v>
      </c>
      <c r="N174" s="523" t="str">
        <f>IF(H174="","",VLOOKUP(H174,ForageGrowthCurves!$A$6:$P$67,16,FALSE))</f>
        <v/>
      </c>
      <c r="O174" s="991"/>
      <c r="P174" s="991"/>
      <c r="Q174" s="991"/>
      <c r="R174" s="991"/>
      <c r="S174" s="991"/>
      <c r="T174" s="991"/>
      <c r="U174" s="991"/>
      <c r="V174" s="991"/>
      <c r="W174" s="991"/>
      <c r="X174" s="991"/>
      <c r="Y174" s="991"/>
      <c r="Z174" s="985"/>
    </row>
    <row r="175" spans="5:26" ht="15" hidden="1" customHeight="1">
      <c r="E175" s="989"/>
      <c r="F175" s="991"/>
      <c r="G175" s="587">
        <f>Field16</f>
        <v>0</v>
      </c>
      <c r="H175" s="587">
        <f>Kind16</f>
        <v>0</v>
      </c>
      <c r="I175" s="587">
        <f>Acres16</f>
        <v>0</v>
      </c>
      <c r="J175" s="199">
        <f>Yield16</f>
        <v>0</v>
      </c>
      <c r="K175" s="17">
        <f>IF(HayMonth16=3,I175*J175*(VLOOKUP(H175,FORAGE2,12)+VLOOKUP(H175,FORAGE2,13)+VLOOKUP(H175,FORAGE2,14)),IF(HayMonth16=4,I175*J175*(VLOOKUP(H175,FORAGE2,12)+VLOOKUP(H175,FORAGE2,13)+VLOOKUP(H175,FORAGE2,14)+VLOOKUP(H175,FORAGE2,3)),IF(HayMonth16=5,I175*J175*(VLOOKUP(H175,FORAGE2,12)+VLOOKUP(H175,FORAGE2,13)+VLOOKUP(H175,FORAGE2,14)+VLOOKUP(H175,FORAGE2,3)+VLOOKUP(H175,FORAGE2,4)),IF(HayMonth16=6,I175*J175*(VLOOKUP(H175,FORAGE2,12)+VLOOKUP(H175,FORAGE2,13)+VLOOKUP(H175,FORAGE2,14)+VLOOKUP(H175,FORAGE2,3)+VLOOKUP(H175,FORAGE2,4)+VLOOKUP(H175,FORAGE2,5)),IF(HayMonth16=7,I175*J175*(VLOOKUP(H175,FORAGE2,12)+VLOOKUP(H175,FORAGE2,13)+VLOOKUP(H175,FORAGE2,14)+VLOOKUP(H175,FORAGE2,3)+VLOOKUP(H175,FORAGE2,4)+VLOOKUP(H175,FORAGE2,5)+VLOOKUP(H175,FORAGE2,6)), IF(HayMonth16=8,I175*J175*(VLOOKUP(H175,FORAGE2,12)+VLOOKUP(H175,FORAGE2,13)+VLOOKUP(H175,FORAGE2,14)+VLOOKUP(H175,FORAGE2,3)+VLOOKUP(H175,FORAGE2,4)+VLOOKUP(H175,FORAGE2,5)+VLOOKUP(H175,FORAGE2,6)+VLOOKUP(H175,FORAGE2,7)),IF(HayMonth16=9,I175*J175*(VLOOKUP(H175,FORAGE2,12)+VLOOKUP(H175,FORAGE2,13)+VLOOKUP(H175,FORAGE2,14)+VLOOKUP(H175,FORAGE2,3)+VLOOKUP(H175,FORAGE2,4)+VLOOKUP(H175,FORAGE2,5)+VLOOKUP(H175,FORAGE2,6)+VLOOKUP(H175,FORAGE2,7)+VLOOKUP(H175,FORAGE2,8)), IF(HayMonth16=10,I175*J175*(VLOOKUP(H175,FORAGE2,12)+VLOOKUP(H175,FORAGE2,13)+VLOOKUP(H175,FORAGE2,14)+VLOOKUP(H175,FORAGE2,3)+VLOOKUP(H175,FORAGE2,4)+VLOOKUP(H175,FORAGE2,5)+VLOOKUP(H175,FORAGE2,6)+VLOOKUP(H175,FORAGE2,7)+VLOOKUP(H175,FORAGE2,8)+VLOOKUP(H175,FORAGE2,9)),I175*J175*(VLOOKUP(H175,FORAGE2,12)+VLOOKUP(H175,FORAGE2,13)+VLOOKUP(H175,FORAGE2,14)+VLOOKUP(H175,FORAGE2,3)+VLOOKUP(H175,FORAGE2,4)+VLOOKUP(H175,FORAGE2,5)+VLOOKUP(H175,FORAGE2,6)+VLOOKUP(H175,FORAGE2,7)+VLOOKUP(H175,FORAGE2,8)+VLOOKUP(H175,FORAGE2,9)+VLOOKUP(H175,FORAGE2,10)+VLOOKUP(H175,FORAGE2,11))))))))))</f>
        <v>0</v>
      </c>
      <c r="L175" s="145"/>
      <c r="M175" s="17">
        <f t="shared" si="38"/>
        <v>0</v>
      </c>
      <c r="N175" s="523" t="str">
        <f>IF(H175="","",VLOOKUP(H175,ForageGrowthCurves!$A$6:$P$67,16,FALSE))</f>
        <v/>
      </c>
      <c r="O175" s="991"/>
      <c r="P175" s="991"/>
      <c r="Q175" s="991"/>
      <c r="R175" s="991"/>
      <c r="S175" s="991"/>
      <c r="T175" s="991"/>
      <c r="U175" s="991"/>
      <c r="V175" s="991"/>
      <c r="W175" s="991"/>
      <c r="X175" s="991"/>
      <c r="Y175" s="991"/>
      <c r="Z175" s="985"/>
    </row>
    <row r="176" spans="5:26" ht="15" hidden="1" customHeight="1">
      <c r="E176" s="989"/>
      <c r="F176" s="991"/>
      <c r="G176" s="587">
        <f>Field17</f>
        <v>0</v>
      </c>
      <c r="H176" s="587">
        <f>Kind17</f>
        <v>0</v>
      </c>
      <c r="I176" s="587">
        <f>Acres17</f>
        <v>0</v>
      </c>
      <c r="J176" s="199">
        <f>Yield17</f>
        <v>0</v>
      </c>
      <c r="K176" s="17">
        <f>IF(HayMonth17=3,I176*J176*(VLOOKUP(H176,FORAGE2,12)+VLOOKUP(H176,FORAGE2,13)+VLOOKUP(H176,FORAGE2,14)),IF(HayMonth17=4,I176*J176*(VLOOKUP(H176,FORAGE2,12)+VLOOKUP(H176,FORAGE2,13)+VLOOKUP(H176,FORAGE2,14)+VLOOKUP(H176,FORAGE2,3)),IF(HayMonth17=5,I176*J176*(VLOOKUP(H176,FORAGE2,12)+VLOOKUP(H176,FORAGE2,13)+VLOOKUP(H176,FORAGE2,14)+VLOOKUP(H176,FORAGE2,3)+VLOOKUP(H176,FORAGE2,4)),IF(HayMonth17=6,I176*J176*(VLOOKUP(H176,FORAGE2,12)+VLOOKUP(H176,FORAGE2,13)+VLOOKUP(H176,FORAGE2,14)+VLOOKUP(H176,FORAGE2,3)+VLOOKUP(H176,FORAGE2,4)+VLOOKUP(H176,FORAGE2,5)),IF(HayMonth17=7,I176*J176*(VLOOKUP(H176,FORAGE2,12)+VLOOKUP(H176,FORAGE2,13)+VLOOKUP(H176,FORAGE2,14)+VLOOKUP(H176,FORAGE2,3)+VLOOKUP(H176,FORAGE2,4)+VLOOKUP(H176,FORAGE2,5)+VLOOKUP(H176,FORAGE2,6)), IF(HayMonth17=8,I176*J176*(VLOOKUP(H176,FORAGE2,12)+VLOOKUP(H176,FORAGE2,13)+VLOOKUP(H176,FORAGE2,14)+VLOOKUP(H176,FORAGE2,3)+VLOOKUP(H176,FORAGE2,4)+VLOOKUP(H176,FORAGE2,5)+VLOOKUP(H176,FORAGE2,6)+VLOOKUP(H176,FORAGE2,7)),IF(HayMonth17=9,I176*J176*(VLOOKUP(H176,FORAGE2,12)+VLOOKUP(H176,FORAGE2,13)+VLOOKUP(H176,FORAGE2,14)+VLOOKUP(H176,FORAGE2,3)+VLOOKUP(H176,FORAGE2,4)+VLOOKUP(H176,FORAGE2,5)+VLOOKUP(H176,FORAGE2,6)+VLOOKUP(H176,FORAGE2,7)+VLOOKUP(H176,FORAGE2,8)), IF(HayMonth17=10,I176*J176*(VLOOKUP(H176,FORAGE2,12)+VLOOKUP(H176,FORAGE2,13)+VLOOKUP(H176,FORAGE2,14)+VLOOKUP(H176,FORAGE2,3)+VLOOKUP(H176,FORAGE2,4)+VLOOKUP(H176,FORAGE2,5)+VLOOKUP(H176,FORAGE2,6)+VLOOKUP(H176,FORAGE2,7)+VLOOKUP(H176,FORAGE2,8)+VLOOKUP(H176,FORAGE2,9)),I176*J176*(VLOOKUP(H176,FORAGE2,12)+VLOOKUP(H176,FORAGE2,13)+VLOOKUP(H176,FORAGE2,14)+VLOOKUP(H176,FORAGE2,3)+VLOOKUP(H176,FORAGE2,4)+VLOOKUP(H176,FORAGE2,5)+VLOOKUP(H176,FORAGE2,6)+VLOOKUP(H176,FORAGE2,7)+VLOOKUP(H176,FORAGE2,8)+VLOOKUP(H176,FORAGE2,9)+VLOOKUP(H176,FORAGE2,10)+VLOOKUP(H176,FORAGE2,11))))))))))</f>
        <v>0</v>
      </c>
      <c r="L176" s="145"/>
      <c r="M176" s="17">
        <f t="shared" si="38"/>
        <v>0</v>
      </c>
      <c r="N176" s="523" t="str">
        <f>IF(H176="","",VLOOKUP(H176,ForageGrowthCurves!$A$6:$P$67,16,FALSE))</f>
        <v/>
      </c>
      <c r="O176" s="991"/>
      <c r="P176" s="991"/>
      <c r="Q176" s="991"/>
      <c r="R176" s="991"/>
      <c r="S176" s="991"/>
      <c r="T176" s="991"/>
      <c r="U176" s="991"/>
      <c r="V176" s="991"/>
      <c r="W176" s="991"/>
      <c r="X176" s="991"/>
      <c r="Y176" s="991"/>
      <c r="Z176" s="985"/>
    </row>
    <row r="177" spans="5:80" ht="15" hidden="1" customHeight="1">
      <c r="E177" s="989"/>
      <c r="F177" s="991"/>
      <c r="G177" s="587">
        <f>Field18</f>
        <v>0</v>
      </c>
      <c r="H177" s="587">
        <f>Kind18</f>
        <v>0</v>
      </c>
      <c r="I177" s="587">
        <f>Acres18</f>
        <v>0</v>
      </c>
      <c r="J177" s="199">
        <f>Yield18</f>
        <v>0</v>
      </c>
      <c r="K177" s="17">
        <f>IF(HayMonth18=3,I177*J177*(VLOOKUP(H177,FORAGE2,12)+VLOOKUP(H177,FORAGE2,13)+VLOOKUP(H177,FORAGE2,14)),IF(HayMonth18=4,I177*J177*(VLOOKUP(H177,FORAGE2,12)+VLOOKUP(H177,FORAGE2,13)+VLOOKUP(H177,FORAGE2,14)+VLOOKUP(H177,FORAGE2,3)),IF(HayMonth18=5,I177*J177*(VLOOKUP(H177,FORAGE2,12)+VLOOKUP(H177,FORAGE2,13)+VLOOKUP(H177,FORAGE2,14)+VLOOKUP(H177,FORAGE2,3)+VLOOKUP(H177,FORAGE2,4)),IF(HayMonth18=6,I177*J177*(VLOOKUP(H177,FORAGE2,12)+VLOOKUP(H177,FORAGE2,13)+VLOOKUP(H177,FORAGE2,14)+VLOOKUP(H177,FORAGE2,3)+VLOOKUP(H177,FORAGE2,4)+VLOOKUP(H177,FORAGE2,5)),IF(HayMonth18=7,I177*J177*(VLOOKUP(H177,FORAGE2,12)+VLOOKUP(H177,FORAGE2,13)+VLOOKUP(H177,FORAGE2,14)+VLOOKUP(H177,FORAGE2,3)+VLOOKUP(H177,FORAGE2,4)+VLOOKUP(H177,FORAGE2,5)+VLOOKUP(H177,FORAGE2,6)), IF(HayMonth18=8,I177*J177*(VLOOKUP(H177,FORAGE2,12)+VLOOKUP(H177,FORAGE2,13)+VLOOKUP(H177,FORAGE2,14)+VLOOKUP(H177,FORAGE2,3)+VLOOKUP(H177,FORAGE2,4)+VLOOKUP(H177,FORAGE2,5)+VLOOKUP(H177,FORAGE2,6)+VLOOKUP(H177,FORAGE2,7)),IF(HayMonth18=9,I177*J177*(VLOOKUP(H177,FORAGE2,12)+VLOOKUP(H177,FORAGE2,13)+VLOOKUP(H177,FORAGE2,14)+VLOOKUP(H177,FORAGE2,3)+VLOOKUP(H177,FORAGE2,4)+VLOOKUP(H177,FORAGE2,5)+VLOOKUP(H177,FORAGE2,6)+VLOOKUP(H177,FORAGE2,7)+VLOOKUP(H177,FORAGE2,8)), IF(HayMonth18=10,I177*J177*(VLOOKUP(H177,FORAGE2,12)+VLOOKUP(H177,FORAGE2,13)+VLOOKUP(H177,FORAGE2,14)+VLOOKUP(H177,FORAGE2,3)+VLOOKUP(H177,FORAGE2,4)+VLOOKUP(H177,FORAGE2,5)+VLOOKUP(H177,FORAGE2,6)+VLOOKUP(H177,FORAGE2,7)+VLOOKUP(H177,FORAGE2,8)+VLOOKUP(H177,FORAGE2,9)),I177*J177*(VLOOKUP(H177,FORAGE2,12)+VLOOKUP(H177,FORAGE2,13)+VLOOKUP(H177,FORAGE2,14)+VLOOKUP(H177,FORAGE2,3)+VLOOKUP(H177,FORAGE2,4)+VLOOKUP(H177,FORAGE2,5)+VLOOKUP(H177,FORAGE2,6)+VLOOKUP(H177,FORAGE2,7)+VLOOKUP(H177,FORAGE2,8)+VLOOKUP(H177,FORAGE2,9)+VLOOKUP(H177,FORAGE2,10)+VLOOKUP(H177,FORAGE2,11))))))))))</f>
        <v>0</v>
      </c>
      <c r="L177" s="145"/>
      <c r="M177" s="17">
        <f t="shared" si="38"/>
        <v>0</v>
      </c>
      <c r="N177" s="523" t="str">
        <f>IF(H177="","",VLOOKUP(H177,ForageGrowthCurves!$A$6:$P$67,16,FALSE))</f>
        <v/>
      </c>
      <c r="O177" s="991"/>
      <c r="P177" s="991"/>
      <c r="Q177" s="991"/>
      <c r="R177" s="991"/>
      <c r="S177" s="991"/>
      <c r="T177" s="991"/>
      <c r="U177" s="991"/>
      <c r="V177" s="991"/>
      <c r="W177" s="991"/>
      <c r="X177" s="991"/>
      <c r="Y177" s="991"/>
      <c r="Z177" s="985"/>
    </row>
    <row r="178" spans="5:80" ht="15" hidden="1" customHeight="1">
      <c r="E178" s="989"/>
      <c r="F178" s="991"/>
      <c r="G178" s="587">
        <f>Field19</f>
        <v>0</v>
      </c>
      <c r="H178" s="587">
        <f>Kind19</f>
        <v>0</v>
      </c>
      <c r="I178" s="587">
        <f>Acres19</f>
        <v>0</v>
      </c>
      <c r="J178" s="199">
        <f>Yield19</f>
        <v>0</v>
      </c>
      <c r="K178" s="17">
        <f>IF(HayMonth19=3,I178*J178*(VLOOKUP(H178,FORAGE2,12)+VLOOKUP(H178,FORAGE2,13)+VLOOKUP(H178,FORAGE2,14)),IF(HayMonth19=4,I178*J178*(VLOOKUP(H178,FORAGE2,12)+VLOOKUP(H178,FORAGE2,13)+VLOOKUP(H178,FORAGE2,14)+VLOOKUP(H178,FORAGE2,3)),IF(HayMonth19=5,I178*J178*(VLOOKUP(H178,FORAGE2,12)+VLOOKUP(H178,FORAGE2,13)+VLOOKUP(H178,FORAGE2,14)+VLOOKUP(H178,FORAGE2,3)+VLOOKUP(H178,FORAGE2,4)),IF(HayMonth19=6,I178*J178*(VLOOKUP(H178,FORAGE2,12)+VLOOKUP(H178,FORAGE2,13)+VLOOKUP(H178,FORAGE2,14)+VLOOKUP(H178,FORAGE2,3)+VLOOKUP(H178,FORAGE2,4)+VLOOKUP(H178,FORAGE2,5)),IF(HayMonth19=7,I178*J178*(VLOOKUP(H178,FORAGE2,12)+VLOOKUP(H178,FORAGE2,13)+VLOOKUP(H178,FORAGE2,14)+VLOOKUP(H178,FORAGE2,3)+VLOOKUP(H178,FORAGE2,4)+VLOOKUP(H178,FORAGE2,5)+VLOOKUP(H178,FORAGE2,6)), IF(HayMonth19=8,I178*J178*(VLOOKUP(H178,FORAGE2,12)+VLOOKUP(H178,FORAGE2,13)+VLOOKUP(H178,FORAGE2,14)+VLOOKUP(H178,FORAGE2,3)+VLOOKUP(H178,FORAGE2,4)+VLOOKUP(H178,FORAGE2,5)+VLOOKUP(H178,FORAGE2,6)+VLOOKUP(H178,FORAGE2,7)),IF(HayMonth19=9,I178*J178*(VLOOKUP(H178,FORAGE2,12)+VLOOKUP(H178,FORAGE2,13)+VLOOKUP(H178,FORAGE2,14)+VLOOKUP(H178,FORAGE2,3)+VLOOKUP(H178,FORAGE2,4)+VLOOKUP(H178,FORAGE2,5)+VLOOKUP(H178,FORAGE2,6)+VLOOKUP(H178,FORAGE2,7)+VLOOKUP(H178,FORAGE2,8)), IF(HayMonth19=10,I178*J178*(VLOOKUP(H178,FORAGE2,12)+VLOOKUP(H178,FORAGE2,13)+VLOOKUP(H178,FORAGE2,14)+VLOOKUP(H178,FORAGE2,3)+VLOOKUP(H178,FORAGE2,4)+VLOOKUP(H178,FORAGE2,5)+VLOOKUP(H178,FORAGE2,6)+VLOOKUP(H178,FORAGE2,7)+VLOOKUP(H178,FORAGE2,8)+VLOOKUP(H178,FORAGE2,9)),I178*J178*(VLOOKUP(H178,FORAGE2,12)+VLOOKUP(H178,FORAGE2,13)+VLOOKUP(H178,FORAGE2,14)+VLOOKUP(H178,FORAGE2,3)+VLOOKUP(H178,FORAGE2,4)+VLOOKUP(H178,FORAGE2,5)+VLOOKUP(H178,FORAGE2,6)+VLOOKUP(H178,FORAGE2,7)+VLOOKUP(H178,FORAGE2,8)+VLOOKUP(H178,FORAGE2,9)+VLOOKUP(H178,FORAGE2,10)+VLOOKUP(H178,FORAGE2,11))))))))))</f>
        <v>0</v>
      </c>
      <c r="L178" s="145"/>
      <c r="M178" s="17">
        <f t="shared" si="38"/>
        <v>0</v>
      </c>
      <c r="N178" s="523" t="str">
        <f>IF(H178="","",VLOOKUP(H178,ForageGrowthCurves!$A$6:$P$67,16,FALSE))</f>
        <v/>
      </c>
      <c r="O178" s="991"/>
      <c r="P178" s="991"/>
      <c r="Q178" s="991"/>
      <c r="R178" s="991"/>
      <c r="S178" s="991"/>
      <c r="T178" s="991"/>
      <c r="U178" s="991"/>
      <c r="V178" s="991"/>
      <c r="W178" s="991"/>
      <c r="X178" s="991"/>
      <c r="Y178" s="991"/>
      <c r="Z178" s="985"/>
    </row>
    <row r="179" spans="5:80" ht="15" hidden="1" customHeight="1">
      <c r="E179" s="989"/>
      <c r="F179" s="991"/>
      <c r="G179" s="587">
        <f>Field20</f>
        <v>0</v>
      </c>
      <c r="H179" s="587">
        <f>Kind20</f>
        <v>0</v>
      </c>
      <c r="I179" s="587">
        <f>Acres20</f>
        <v>0</v>
      </c>
      <c r="J179" s="199">
        <f>Yield20</f>
        <v>0</v>
      </c>
      <c r="K179" s="17">
        <f>IF(HayMonth20=3,I179*J179*(VLOOKUP(H179,FORAGE2,12)+VLOOKUP(H179,FORAGE2,13)+VLOOKUP(H179,FORAGE2,14)),IF(HayMonth20=4,I179*J179*(VLOOKUP(H179,FORAGE2,12)+VLOOKUP(H179,FORAGE2,13)+VLOOKUP(H179,FORAGE2,14)+VLOOKUP(H179,FORAGE2,3)),IF(HayMonth20=5,I179*J179*(VLOOKUP(H179,FORAGE2,12)+VLOOKUP(H179,FORAGE2,13)+VLOOKUP(H179,FORAGE2,14)+VLOOKUP(H179,FORAGE2,3)+VLOOKUP(H179,FORAGE2,4)),IF(HayMonth20=6,I179*J179*(VLOOKUP(H179,FORAGE2,12)+VLOOKUP(H179,FORAGE2,13)+VLOOKUP(H179,FORAGE2,14)+VLOOKUP(H179,FORAGE2,3)+VLOOKUP(H179,FORAGE2,4)+VLOOKUP(H179,FORAGE2,5)),IF(HayMonth20=7,I179*J179*(VLOOKUP(H179,FORAGE2,12)+VLOOKUP(H179,FORAGE2,13)+VLOOKUP(H179,FORAGE2,14)+VLOOKUP(H179,FORAGE2,3)+VLOOKUP(H179,FORAGE2,4)+VLOOKUP(H179,FORAGE2,5)+VLOOKUP(H179,FORAGE2,6)), IF(HayMonth20=8,I179*J179*(VLOOKUP(H179,FORAGE2,12)+VLOOKUP(H179,FORAGE2,13)+VLOOKUP(H179,FORAGE2,14)+VLOOKUP(H179,FORAGE2,3)+VLOOKUP(H179,FORAGE2,4)+VLOOKUP(H179,FORAGE2,5)+VLOOKUP(H179,FORAGE2,6)+VLOOKUP(H179,FORAGE2,7)),IF(HayMonth20=9,I179*J179*(VLOOKUP(H179,FORAGE2,12)+VLOOKUP(H179,FORAGE2,13)+VLOOKUP(H179,FORAGE2,14)+VLOOKUP(H179,FORAGE2,3)+VLOOKUP(H179,FORAGE2,4)+VLOOKUP(H179,FORAGE2,5)+VLOOKUP(H179,FORAGE2,6)+VLOOKUP(H179,FORAGE2,7)+VLOOKUP(H179,FORAGE2,8)), IF(HayMonth20=10,I179*J179*(VLOOKUP(H179,FORAGE2,12)+VLOOKUP(H179,FORAGE2,13)+VLOOKUP(H179,FORAGE2,14)+VLOOKUP(H179,FORAGE2,3)+VLOOKUP(H179,FORAGE2,4)+VLOOKUP(H179,FORAGE2,5)+VLOOKUP(H179,FORAGE2,6)+VLOOKUP(H179,FORAGE2,7)+VLOOKUP(H179,FORAGE2,8)+VLOOKUP(H179,FORAGE2,9)),I179*J179*(VLOOKUP(H179,FORAGE2,12)+VLOOKUP(H179,FORAGE2,13)+VLOOKUP(H179,FORAGE2,14)+VLOOKUP(H179,FORAGE2,3)+VLOOKUP(H179,FORAGE2,4)+VLOOKUP(H179,FORAGE2,5)+VLOOKUP(H179,FORAGE2,6)+VLOOKUP(H179,FORAGE2,7)+VLOOKUP(H179,FORAGE2,8)+VLOOKUP(H179,FORAGE2,9)+VLOOKUP(H179,FORAGE2,10)+VLOOKUP(H179,FORAGE2,11))))))))))</f>
        <v>0</v>
      </c>
      <c r="L179" s="145"/>
      <c r="M179" s="17">
        <f t="shared" si="38"/>
        <v>0</v>
      </c>
      <c r="N179" s="523" t="str">
        <f>IF(H179="","",VLOOKUP(H179,ForageGrowthCurves!$A$6:$P$67,16,FALSE))</f>
        <v/>
      </c>
      <c r="O179" s="991"/>
      <c r="P179" s="991"/>
      <c r="Q179" s="991"/>
      <c r="R179" s="991"/>
      <c r="S179" s="991"/>
      <c r="T179" s="991"/>
      <c r="U179" s="991"/>
      <c r="V179" s="991"/>
      <c r="W179" s="991"/>
      <c r="X179" s="991"/>
      <c r="Y179" s="991"/>
      <c r="Z179" s="985"/>
    </row>
    <row r="180" spans="5:80" ht="15" hidden="1" customHeight="1">
      <c r="E180" s="989"/>
      <c r="F180" s="991"/>
      <c r="G180" s="587">
        <f>Field21</f>
        <v>0</v>
      </c>
      <c r="H180" s="587">
        <f>Kind21</f>
        <v>0</v>
      </c>
      <c r="I180" s="587">
        <f>Acres21</f>
        <v>0</v>
      </c>
      <c r="J180" s="199">
        <f>Yield21</f>
        <v>0</v>
      </c>
      <c r="K180" s="17">
        <f>IF(HayMonth21=3,I180*J180*(VLOOKUP(H180,FORAGE2,12)+VLOOKUP(H180,FORAGE2,13)+VLOOKUP(H180,FORAGE2,14)),IF(HayMonth21=4,I180*J180*(VLOOKUP(H180,FORAGE2,12)+VLOOKUP(H180,FORAGE2,13)+VLOOKUP(H180,FORAGE2,14)+VLOOKUP(H180,FORAGE2,3)),IF(HayMonth21=5,I180*J180*(VLOOKUP(H180,FORAGE2,12)+VLOOKUP(H180,FORAGE2,13)+VLOOKUP(H180,FORAGE2,14)+VLOOKUP(H180,FORAGE2,3)+VLOOKUP(H180,FORAGE2,4)),IF(HayMonth21=6,I180*J180*(VLOOKUP(H180,FORAGE2,12)+VLOOKUP(H180,FORAGE2,13)+VLOOKUP(H180,FORAGE2,14)+VLOOKUP(H180,FORAGE2,3)+VLOOKUP(H180,FORAGE2,4)+VLOOKUP(H180,FORAGE2,5)),IF(HayMonth21=7,I180*J180*(VLOOKUP(H180,FORAGE2,12)+VLOOKUP(H180,FORAGE2,13)+VLOOKUP(H180,FORAGE2,14)+VLOOKUP(H180,FORAGE2,3)+VLOOKUP(H180,FORAGE2,4)+VLOOKUP(H180,FORAGE2,5)+VLOOKUP(H180,FORAGE2,6)), IF(HayMonth21=8,I180*J180*(VLOOKUP(H180,FORAGE2,12)+VLOOKUP(H180,FORAGE2,13)+VLOOKUP(H180,FORAGE2,14)+VLOOKUP(H180,FORAGE2,3)+VLOOKUP(H180,FORAGE2,4)+VLOOKUP(H180,FORAGE2,5)+VLOOKUP(H180,FORAGE2,6)+VLOOKUP(H180,FORAGE2,7)),IF(HayMonth21=9,I180*J180*(VLOOKUP(H180,FORAGE2,12)+VLOOKUP(H180,FORAGE2,13)+VLOOKUP(H180,FORAGE2,14)+VLOOKUP(H180,FORAGE2,3)+VLOOKUP(H180,FORAGE2,4)+VLOOKUP(H180,FORAGE2,5)+VLOOKUP(H180,FORAGE2,6)+VLOOKUP(H180,FORAGE2,7)+VLOOKUP(H180,FORAGE2,8)), IF(HayMonth21=10,I180*J180*(VLOOKUP(H180,FORAGE2,12)+VLOOKUP(H180,FORAGE2,13)+VLOOKUP(H180,FORAGE2,14)+VLOOKUP(H180,FORAGE2,3)+VLOOKUP(H180,FORAGE2,4)+VLOOKUP(H180,FORAGE2,5)+VLOOKUP(H180,FORAGE2,6)+VLOOKUP(H180,FORAGE2,7)+VLOOKUP(H180,FORAGE2,8)+VLOOKUP(H180,FORAGE2,9)),I180*J180*(VLOOKUP(H180,FORAGE2,12)+VLOOKUP(H180,FORAGE2,13)+VLOOKUP(H180,FORAGE2,14)+VLOOKUP(H180,FORAGE2,3)+VLOOKUP(H180,FORAGE2,4)+VLOOKUP(H180,FORAGE2,5)+VLOOKUP(H180,FORAGE2,6)+VLOOKUP(H180,FORAGE2,7)+VLOOKUP(H180,FORAGE2,8)+VLOOKUP(H180,FORAGE2,9)+VLOOKUP(H180,FORAGE2,10)+VLOOKUP(H180,FORAGE2,11))))))))))</f>
        <v>0</v>
      </c>
      <c r="L180" s="145"/>
      <c r="M180" s="17">
        <f t="shared" si="38"/>
        <v>0</v>
      </c>
      <c r="N180" s="523" t="str">
        <f>IF(H180="","",VLOOKUP(H180,ForageGrowthCurves!$A$6:$P$67,16,FALSE))</f>
        <v/>
      </c>
      <c r="O180" s="991"/>
      <c r="P180" s="991"/>
      <c r="Q180" s="991"/>
      <c r="R180" s="991"/>
      <c r="S180" s="991"/>
      <c r="T180" s="991"/>
      <c r="U180" s="991"/>
      <c r="V180" s="991"/>
      <c r="W180" s="991"/>
      <c r="X180" s="991"/>
      <c r="Y180" s="991"/>
      <c r="Z180" s="985"/>
    </row>
    <row r="181" spans="5:80" ht="15" hidden="1" customHeight="1">
      <c r="E181" s="989"/>
      <c r="F181" s="991"/>
      <c r="G181" s="587">
        <f>Field22</f>
        <v>0</v>
      </c>
      <c r="H181" s="587">
        <f>Kind22</f>
        <v>0</v>
      </c>
      <c r="I181" s="587">
        <f>Acres22</f>
        <v>0</v>
      </c>
      <c r="J181" s="199">
        <f>Yield22</f>
        <v>0</v>
      </c>
      <c r="K181" s="17">
        <f>IF(HayMonth22=3,I181*J181*(VLOOKUP(H181,FORAGE2,12)+VLOOKUP(H181,FORAGE2,13)+VLOOKUP(H181,FORAGE2,14)),IF(HayMonth22=4,I181*J181*(VLOOKUP(H181,FORAGE2,12)+VLOOKUP(H181,FORAGE2,13)+VLOOKUP(H181,FORAGE2,14)+VLOOKUP(H181,FORAGE2,3)),IF(HayMonth22=5,I181*J181*(VLOOKUP(H181,FORAGE2,12)+VLOOKUP(H181,FORAGE2,13)+VLOOKUP(H181,FORAGE2,14)+VLOOKUP(H181,FORAGE2,3)+VLOOKUP(H181,FORAGE2,4)),IF(HayMonth22=6,I181*J181*(VLOOKUP(H181,FORAGE2,12)+VLOOKUP(H181,FORAGE2,13)+VLOOKUP(H181,FORAGE2,14)+VLOOKUP(H181,FORAGE2,3)+VLOOKUP(H181,FORAGE2,4)+VLOOKUP(H181,FORAGE2,5)),IF(HayMonth22=7,I181*J181*(VLOOKUP(H181,FORAGE2,12)+VLOOKUP(H181,FORAGE2,13)+VLOOKUP(H181,FORAGE2,14)+VLOOKUP(H181,FORAGE2,3)+VLOOKUP(H181,FORAGE2,4)+VLOOKUP(H181,FORAGE2,5)+VLOOKUP(H181,FORAGE2,6)), IF(HayMonth22=8,I181*J181*(VLOOKUP(H181,FORAGE2,12)+VLOOKUP(H181,FORAGE2,13)+VLOOKUP(H181,FORAGE2,14)+VLOOKUP(H181,FORAGE2,3)+VLOOKUP(H181,FORAGE2,4)+VLOOKUP(H181,FORAGE2,5)+VLOOKUP(H181,FORAGE2,6)+VLOOKUP(H181,FORAGE2,7)),IF(HayMonth22=9,I181*J181*(VLOOKUP(H181,FORAGE2,12)+VLOOKUP(H181,FORAGE2,13)+VLOOKUP(H181,FORAGE2,14)+VLOOKUP(H181,FORAGE2,3)+VLOOKUP(H181,FORAGE2,4)+VLOOKUP(H181,FORAGE2,5)+VLOOKUP(H181,FORAGE2,6)+VLOOKUP(H181,FORAGE2,7)+VLOOKUP(H181,FORAGE2,8)), IF(HayMonth22=10,I181*J181*(VLOOKUP(H181,FORAGE2,12)+VLOOKUP(H181,FORAGE2,13)+VLOOKUP(H181,FORAGE2,14)+VLOOKUP(H181,FORAGE2,3)+VLOOKUP(H181,FORAGE2,4)+VLOOKUP(H181,FORAGE2,5)+VLOOKUP(H181,FORAGE2,6)+VLOOKUP(H181,FORAGE2,7)+VLOOKUP(H181,FORAGE2,8)+VLOOKUP(H181,FORAGE2,9)),I181*J181*(VLOOKUP(H181,FORAGE2,12)+VLOOKUP(H181,FORAGE2,13)+VLOOKUP(H181,FORAGE2,14)+VLOOKUP(H181,FORAGE2,3)+VLOOKUP(H181,FORAGE2,4)+VLOOKUP(H181,FORAGE2,5)+VLOOKUP(H181,FORAGE2,6)+VLOOKUP(H181,FORAGE2,7)+VLOOKUP(H181,FORAGE2,8)+VLOOKUP(H181,FORAGE2,9)+VLOOKUP(H181,FORAGE2,10)+VLOOKUP(H181,FORAGE2,11))))))))))</f>
        <v>0</v>
      </c>
      <c r="L181" s="145"/>
      <c r="M181" s="17">
        <f t="shared" si="38"/>
        <v>0</v>
      </c>
      <c r="N181" s="523" t="str">
        <f>IF(H181="","",VLOOKUP(H181,ForageGrowthCurves!$A$6:$P$67,16,FALSE))</f>
        <v/>
      </c>
      <c r="O181" s="991"/>
      <c r="P181" s="991"/>
      <c r="Q181" s="991"/>
      <c r="R181" s="991"/>
      <c r="S181" s="991"/>
      <c r="T181" s="991"/>
      <c r="U181" s="991"/>
      <c r="V181" s="991"/>
      <c r="W181" s="991"/>
      <c r="X181" s="991"/>
      <c r="Y181" s="991"/>
      <c r="Z181" s="985"/>
    </row>
    <row r="182" spans="5:80" ht="15" hidden="1" customHeight="1">
      <c r="E182" s="989"/>
      <c r="F182" s="991"/>
      <c r="G182" s="587">
        <f>Field23</f>
        <v>0</v>
      </c>
      <c r="H182" s="587">
        <f>Kind23</f>
        <v>0</v>
      </c>
      <c r="I182" s="587">
        <f>Acres23</f>
        <v>0</v>
      </c>
      <c r="J182" s="199">
        <f>Yield23</f>
        <v>0</v>
      </c>
      <c r="K182" s="17">
        <f>IF(HayMonth23=3,I182*J182*(VLOOKUP(H182,FORAGE2,12)+VLOOKUP(H182,FORAGE2,13)+VLOOKUP(H182,FORAGE2,14)),IF(HayMonth23=4,I182*J182*(VLOOKUP(H182,FORAGE2,12)+VLOOKUP(H182,FORAGE2,13)+VLOOKUP(H182,FORAGE2,14)+VLOOKUP(H182,FORAGE2,3)),IF(HayMonth23=5,I182*J182*(VLOOKUP(H182,FORAGE2,12)+VLOOKUP(H182,FORAGE2,13)+VLOOKUP(H182,FORAGE2,14)+VLOOKUP(H182,FORAGE2,3)+VLOOKUP(H182,FORAGE2,4)),IF(HayMonth23=6,I182*J182*(VLOOKUP(H182,FORAGE2,12)+VLOOKUP(H182,FORAGE2,13)+VLOOKUP(H182,FORAGE2,14)+VLOOKUP(H182,FORAGE2,3)+VLOOKUP(H182,FORAGE2,4)+VLOOKUP(H182,FORAGE2,5)),IF(HayMonth23=7,I182*J182*(VLOOKUP(H182,FORAGE2,12)+VLOOKUP(H182,FORAGE2,13)+VLOOKUP(H182,FORAGE2,14)+VLOOKUP(H182,FORAGE2,3)+VLOOKUP(H182,FORAGE2,4)+VLOOKUP(H182,FORAGE2,5)+VLOOKUP(H182,FORAGE2,6)), IF(HayMonth23=8,I182*J182*(VLOOKUP(H182,FORAGE2,12)+VLOOKUP(H182,FORAGE2,13)+VLOOKUP(H182,FORAGE2,14)+VLOOKUP(H182,FORAGE2,3)+VLOOKUP(H182,FORAGE2,4)+VLOOKUP(H182,FORAGE2,5)+VLOOKUP(H182,FORAGE2,6)+VLOOKUP(H182,FORAGE2,7)),IF(HayMonth23=9,I182*J182*(VLOOKUP(H182,FORAGE2,12)+VLOOKUP(H182,FORAGE2,13)+VLOOKUP(H182,FORAGE2,14)+VLOOKUP(H182,FORAGE2,3)+VLOOKUP(H182,FORAGE2,4)+VLOOKUP(H182,FORAGE2,5)+VLOOKUP(H182,FORAGE2,6)+VLOOKUP(H182,FORAGE2,7)+VLOOKUP(H182,FORAGE2,8)), IF(HayMonth23=10,I182*J182*(VLOOKUP(H182,FORAGE2,12)+VLOOKUP(H182,FORAGE2,13)+VLOOKUP(H182,FORAGE2,14)+VLOOKUP(H182,FORAGE2,3)+VLOOKUP(H182,FORAGE2,4)+VLOOKUP(H182,FORAGE2,5)+VLOOKUP(H182,FORAGE2,6)+VLOOKUP(H182,FORAGE2,7)+VLOOKUP(H182,FORAGE2,8)+VLOOKUP(H182,FORAGE2,9)),I182*J182*(VLOOKUP(H182,FORAGE2,12)+VLOOKUP(H182,FORAGE2,13)+VLOOKUP(H182,FORAGE2,14)+VLOOKUP(H182,FORAGE2,3)+VLOOKUP(H182,FORAGE2,4)+VLOOKUP(H182,FORAGE2,5)+VLOOKUP(H182,FORAGE2,6)+VLOOKUP(H182,FORAGE2,7)+VLOOKUP(H182,FORAGE2,8)+VLOOKUP(H182,FORAGE2,9)+VLOOKUP(H182,FORAGE2,10)+VLOOKUP(H182,FORAGE2,11))))))))))</f>
        <v>0</v>
      </c>
      <c r="L182" s="145"/>
      <c r="M182" s="17">
        <f t="shared" si="38"/>
        <v>0</v>
      </c>
      <c r="N182" s="523" t="str">
        <f>IF(H182="","",VLOOKUP(H182,ForageGrowthCurves!$A$6:$P$67,16,FALSE))</f>
        <v/>
      </c>
      <c r="O182" s="991"/>
      <c r="P182" s="991"/>
      <c r="Q182" s="991"/>
      <c r="R182" s="991"/>
      <c r="S182" s="991"/>
      <c r="T182" s="991"/>
      <c r="U182" s="991"/>
      <c r="V182" s="991"/>
      <c r="W182" s="991"/>
      <c r="X182" s="991"/>
      <c r="Y182" s="991"/>
      <c r="Z182" s="985"/>
    </row>
    <row r="183" spans="5:80" ht="15" hidden="1" customHeight="1">
      <c r="E183" s="989"/>
      <c r="F183" s="991"/>
      <c r="G183" s="587">
        <f>Field24</f>
        <v>0</v>
      </c>
      <c r="H183" s="587">
        <f>Kind24</f>
        <v>0</v>
      </c>
      <c r="I183" s="587">
        <f>Acres24</f>
        <v>0</v>
      </c>
      <c r="J183" s="199">
        <f>Yield24</f>
        <v>0</v>
      </c>
      <c r="K183" s="17">
        <f>IF(HayMonth24=3,I183*J183*(VLOOKUP(H183,FORAGE2,12)+VLOOKUP(H183,FORAGE2,13)+VLOOKUP(H183,FORAGE2,14)),IF(HayMonth24=4,I183*J183*(VLOOKUP(H183,FORAGE2,12)+VLOOKUP(H183,FORAGE2,13)+VLOOKUP(H183,FORAGE2,14)+VLOOKUP(H183,FORAGE2,3)),IF(HayMonth24=5,I183*J183*(VLOOKUP(H183,FORAGE2,12)+VLOOKUP(H183,FORAGE2,13)+VLOOKUP(H183,FORAGE2,14)+VLOOKUP(H183,FORAGE2,3)+VLOOKUP(H183,FORAGE2,4)),IF(HayMonth24=6,I183*J183*(VLOOKUP(H183,FORAGE2,12)+VLOOKUP(H183,FORAGE2,13)+VLOOKUP(H183,FORAGE2,14)+VLOOKUP(H183,FORAGE2,3)+VLOOKUP(H183,FORAGE2,4)+VLOOKUP(H183,FORAGE2,5)),IF(HayMonth24=7,I183*J183*(VLOOKUP(H183,FORAGE2,12)+VLOOKUP(H183,FORAGE2,13)+VLOOKUP(H183,FORAGE2,14)+VLOOKUP(H183,FORAGE2,3)+VLOOKUP(H183,FORAGE2,4)+VLOOKUP(H183,FORAGE2,5)+VLOOKUP(H183,FORAGE2,6)), IF(HayMonth24=8,I183*J183*(VLOOKUP(H183,FORAGE2,12)+VLOOKUP(H183,FORAGE2,13)+VLOOKUP(H183,FORAGE2,14)+VLOOKUP(H183,FORAGE2,3)+VLOOKUP(H183,FORAGE2,4)+VLOOKUP(H183,FORAGE2,5)+VLOOKUP(H183,FORAGE2,6)+VLOOKUP(H183,FORAGE2,7)),IF(HayMonth24=9,I183*J183*(VLOOKUP(H183,FORAGE2,12)+VLOOKUP(H183,FORAGE2,13)+VLOOKUP(H183,FORAGE2,14)+VLOOKUP(H183,FORAGE2,3)+VLOOKUP(H183,FORAGE2,4)+VLOOKUP(H183,FORAGE2,5)+VLOOKUP(H183,FORAGE2,6)+VLOOKUP(H183,FORAGE2,7)+VLOOKUP(H183,FORAGE2,8)), IF(HayMonth24=10,I183*J183*(VLOOKUP(H183,FORAGE2,12)+VLOOKUP(H183,FORAGE2,13)+VLOOKUP(H183,FORAGE2,14)+VLOOKUP(H183,FORAGE2,3)+VLOOKUP(H183,FORAGE2,4)+VLOOKUP(H183,FORAGE2,5)+VLOOKUP(H183,FORAGE2,6)+VLOOKUP(H183,FORAGE2,7)+VLOOKUP(H183,FORAGE2,8)+VLOOKUP(H183,FORAGE2,9)),I183*J183*(VLOOKUP(H183,FORAGE2,12)+VLOOKUP(H183,FORAGE2,13)+VLOOKUP(H183,FORAGE2,14)+VLOOKUP(H183,FORAGE2,3)+VLOOKUP(H183,FORAGE2,4)+VLOOKUP(H183,FORAGE2,5)+VLOOKUP(H183,FORAGE2,6)+VLOOKUP(H183,FORAGE2,7)+VLOOKUP(H183,FORAGE2,8)+VLOOKUP(H183,FORAGE2,9)+VLOOKUP(H183,FORAGE2,10)+VLOOKUP(H183,FORAGE2,11))))))))))</f>
        <v>0</v>
      </c>
      <c r="L183" s="145"/>
      <c r="M183" s="17">
        <f t="shared" si="38"/>
        <v>0</v>
      </c>
      <c r="N183" s="523" t="str">
        <f>IF(H183="","",VLOOKUP(H183,ForageGrowthCurves!$A$6:$P$67,16,FALSE))</f>
        <v/>
      </c>
      <c r="O183" s="991"/>
      <c r="P183" s="991" t="s">
        <v>926</v>
      </c>
      <c r="Q183" s="991"/>
      <c r="R183" s="991"/>
      <c r="S183" s="991"/>
      <c r="T183" s="991"/>
      <c r="U183" s="991"/>
      <c r="V183" s="991"/>
      <c r="W183" s="991"/>
      <c r="X183" s="991"/>
      <c r="Y183" s="991"/>
      <c r="Z183" s="985"/>
    </row>
    <row r="184" spans="5:80" ht="15" customHeight="1">
      <c r="E184" s="989"/>
      <c r="F184" s="991"/>
      <c r="G184" s="995"/>
      <c r="H184" s="1027"/>
      <c r="I184" s="1027"/>
      <c r="J184" s="1001"/>
      <c r="K184" s="1001"/>
      <c r="L184" s="1000"/>
      <c r="M184" s="1001"/>
      <c r="N184" s="1028"/>
      <c r="O184" s="991"/>
      <c r="P184" s="991" t="s">
        <v>927</v>
      </c>
      <c r="Q184" s="991"/>
      <c r="R184" s="991"/>
      <c r="S184" s="991"/>
      <c r="T184" s="991"/>
      <c r="U184" s="991"/>
      <c r="V184" s="991"/>
      <c r="W184" s="991"/>
      <c r="X184" s="991"/>
      <c r="Y184" s="991"/>
      <c r="Z184" s="985"/>
    </row>
    <row r="185" spans="5:80" ht="15.75">
      <c r="E185" s="989"/>
      <c r="F185" s="991"/>
      <c r="G185" s="525"/>
      <c r="H185" s="526" t="s">
        <v>340</v>
      </c>
      <c r="I185" s="527">
        <f>SUBTOTAL(109,I160:I183)</f>
        <v>0</v>
      </c>
      <c r="J185" s="528"/>
      <c r="K185" s="529">
        <f>SUBTOTAL(109,K160:K183)</f>
        <v>0</v>
      </c>
      <c r="L185" s="530"/>
      <c r="M185" s="529">
        <f>SUBTOTAL(109,M160:M183)</f>
        <v>0</v>
      </c>
      <c r="N185" s="531"/>
      <c r="O185" s="991"/>
      <c r="P185" s="991" t="s">
        <v>928</v>
      </c>
      <c r="Q185" s="991"/>
      <c r="R185" s="991"/>
      <c r="S185" s="991"/>
      <c r="T185" s="991"/>
      <c r="U185" s="991"/>
      <c r="V185" s="991"/>
      <c r="W185" s="991"/>
      <c r="X185" s="991"/>
      <c r="Y185" s="991"/>
      <c r="Z185" s="985"/>
    </row>
    <row r="186" spans="5:80" ht="16.5" thickBot="1">
      <c r="E186" s="989"/>
      <c r="F186" s="991"/>
      <c r="G186" s="1029"/>
      <c r="H186" s="1029"/>
      <c r="I186" s="1029"/>
      <c r="J186" s="1030"/>
      <c r="K186" s="1031"/>
      <c r="L186" s="1032"/>
      <c r="M186" s="1031"/>
      <c r="N186" s="1033"/>
      <c r="O186" s="991"/>
      <c r="P186" s="1250" t="s">
        <v>929</v>
      </c>
      <c r="Q186" s="992"/>
      <c r="R186" s="992"/>
      <c r="S186" s="992"/>
      <c r="T186" s="992"/>
      <c r="U186" s="991"/>
      <c r="V186" s="991"/>
      <c r="W186" s="991"/>
      <c r="X186" s="991"/>
      <c r="Y186" s="991"/>
      <c r="Z186" s="985"/>
    </row>
    <row r="187" spans="5:80" ht="33.75" customHeight="1" thickBot="1">
      <c r="E187" s="1020"/>
      <c r="F187" s="992"/>
      <c r="G187" s="1034" t="s">
        <v>491</v>
      </c>
      <c r="H187" s="1034"/>
      <c r="I187" s="992"/>
      <c r="J187" s="1035"/>
      <c r="K187" s="992"/>
      <c r="L187" s="992"/>
      <c r="M187" s="992"/>
      <c r="N187" s="1036"/>
      <c r="O187" s="992"/>
      <c r="P187" s="1251" t="s">
        <v>931</v>
      </c>
      <c r="Q187" s="992"/>
      <c r="R187" s="992"/>
      <c r="S187" s="992"/>
      <c r="T187" s="992"/>
      <c r="U187" s="992"/>
      <c r="V187" s="992"/>
      <c r="W187" s="992"/>
      <c r="X187" s="992"/>
      <c r="Y187" s="992"/>
      <c r="Z187" s="1026"/>
    </row>
    <row r="188" spans="5:80" s="177" customFormat="1" ht="20.25" customHeight="1" thickBot="1">
      <c r="E188" s="247"/>
      <c r="F188" s="615"/>
      <c r="G188" s="204"/>
      <c r="H188" s="45"/>
      <c r="I188" s="45"/>
      <c r="J188" s="421"/>
      <c r="K188" s="45"/>
      <c r="L188" s="45"/>
      <c r="M188" s="45"/>
      <c r="N188" s="613"/>
      <c r="O188" s="45"/>
      <c r="P188" s="45"/>
      <c r="Q188" s="45"/>
      <c r="R188" s="45"/>
      <c r="S188" s="45"/>
      <c r="T188" s="45"/>
      <c r="U188" s="45"/>
      <c r="V188" s="45"/>
      <c r="W188" s="45"/>
      <c r="X188" s="45"/>
      <c r="Y188" s="45"/>
      <c r="Z188" s="178"/>
      <c r="CB188" s="179"/>
    </row>
    <row r="189" spans="5:80" s="177" customFormat="1" ht="23.25" customHeight="1">
      <c r="E189" s="1004"/>
      <c r="F189" s="1321" t="s">
        <v>522</v>
      </c>
      <c r="G189" s="1321"/>
      <c r="H189" s="1321"/>
      <c r="I189" s="1321"/>
      <c r="J189" s="1321"/>
      <c r="K189" s="1321"/>
      <c r="L189" s="1321"/>
      <c r="M189" s="1321"/>
      <c r="N189" s="1321"/>
      <c r="O189" s="1321"/>
      <c r="P189" s="1321"/>
      <c r="Q189" s="1321"/>
      <c r="R189" s="1321"/>
      <c r="S189" s="1321"/>
      <c r="T189" s="1321"/>
      <c r="U189" s="1321"/>
      <c r="V189" s="1321"/>
      <c r="W189" s="1321"/>
      <c r="X189" s="1321"/>
      <c r="Y189" s="1321"/>
      <c r="Z189" s="1008"/>
      <c r="AA189" s="45"/>
      <c r="CB189" s="179"/>
    </row>
    <row r="190" spans="5:80" s="177" customFormat="1" ht="18.75">
      <c r="E190" s="1005"/>
      <c r="F190" s="1319" t="s">
        <v>523</v>
      </c>
      <c r="G190" s="1319"/>
      <c r="H190" s="1319"/>
      <c r="I190" s="1319"/>
      <c r="J190" s="1319"/>
      <c r="K190" s="1319"/>
      <c r="L190" s="1319"/>
      <c r="M190" s="1319"/>
      <c r="N190" s="1319"/>
      <c r="O190" s="1319"/>
      <c r="P190" s="1319"/>
      <c r="Q190" s="1319"/>
      <c r="R190" s="1319"/>
      <c r="S190" s="1319"/>
      <c r="T190" s="1319"/>
      <c r="U190" s="1319"/>
      <c r="V190" s="1319"/>
      <c r="W190" s="1319"/>
      <c r="X190" s="1319"/>
      <c r="Y190" s="1319"/>
      <c r="Z190" s="1009"/>
      <c r="AA190" s="45"/>
      <c r="CB190" s="179"/>
    </row>
    <row r="191" spans="5:80" s="177" customFormat="1" ht="18.75">
      <c r="E191" s="1005"/>
      <c r="F191" s="1261" t="str">
        <f>IF(OR(AND(SeasonalDairyCheck=FALSE,AnnualDairyCheck=FALSE,BullsCheck=FALSE,CowCalf1Check=FALSE,CowCalf2Check=FALSE,CowCalf3Check=FALSE,HorsesCheck=FALSE),(AND(Calculations!B72=FALSE,Calculations!B77=FALSE,Calculations!B82=FALSE,Calculations!B100=FALSE,Calculations!H45=FALSE,Calculations!G50=FALSE,Calculations!H54=FALSE,Calculations!B56=FALSE,Calculations!B58=FALSE))),"There are currently no livestock classes selected to utilize alternative pasture","")</f>
        <v>There are currently no livestock classes selected to utilize alternative pasture</v>
      </c>
      <c r="G191" s="1261"/>
      <c r="H191" s="1261"/>
      <c r="I191" s="1261"/>
      <c r="J191" s="1261"/>
      <c r="K191" s="1261"/>
      <c r="L191" s="1261"/>
      <c r="M191" s="1261"/>
      <c r="N191" s="1261"/>
      <c r="O191" s="1261"/>
      <c r="P191" s="1261"/>
      <c r="Q191" s="1261"/>
      <c r="R191" s="1261"/>
      <c r="S191" s="1261"/>
      <c r="T191" s="1261"/>
      <c r="U191" s="1261"/>
      <c r="V191" s="1261"/>
      <c r="W191" s="1261"/>
      <c r="X191" s="1261"/>
      <c r="Y191" s="1261"/>
      <c r="Z191" s="1009"/>
      <c r="AA191" s="45"/>
      <c r="CB191" s="179"/>
    </row>
    <row r="192" spans="5:80" s="177" customFormat="1" ht="18.75">
      <c r="E192" s="1005"/>
      <c r="F192" s="1261" t="str">
        <f>IF(OR(AND(Calculations!B72=TRUE,CowCalf1Check=TRUE),AND(Calculations!B77=TRUE,CowCalf2Check=TRUE),AND(Calculations!B82=TRUE,CowCalf3Check=TRUE),AND(Calculations!B100=TRUE,HorsesCheck=TRUE),AND(Calculations!H45=TRUE,SeasonalDairyCheck=TRUE),AND(Calculations!G50=TRUE,AnnualDairyCheck=TRUE),AND(Calculations!H54=TRUE,AnnualDairyCheck=TRUE),AND(Calculations!B56=TRUE,BullsCheck=TRUE),AND(Calculations!B58=TRUE,BullsCheck=TRUE)),"The livestock class(es) that have Alternative Pasture selected as part of the management is(are):","")</f>
        <v/>
      </c>
      <c r="G192" s="1261"/>
      <c r="H192" s="1261"/>
      <c r="I192" s="1261"/>
      <c r="J192" s="1261"/>
      <c r="K192" s="1261"/>
      <c r="L192" s="1261"/>
      <c r="M192" s="1261"/>
      <c r="N192" s="1261"/>
      <c r="O192" s="1261"/>
      <c r="P192" s="1261"/>
      <c r="Q192" s="1261"/>
      <c r="R192" s="1261"/>
      <c r="S192" s="1261"/>
      <c r="T192" s="1261"/>
      <c r="U192" s="1261"/>
      <c r="V192" s="1261"/>
      <c r="W192" s="1261"/>
      <c r="X192" s="1261"/>
      <c r="Y192" s="1261"/>
      <c r="Z192" s="1009"/>
      <c r="AA192" s="45"/>
      <c r="CB192" s="179"/>
    </row>
    <row r="193" spans="4:81" s="177" customFormat="1" ht="32.25" customHeight="1" thickBot="1">
      <c r="E193" s="1005"/>
      <c r="F193" s="1006"/>
      <c r="G193" s="1007"/>
      <c r="H193" s="1007"/>
      <c r="I193" s="1007"/>
      <c r="J193" s="1007"/>
      <c r="K193" s="1073"/>
      <c r="L193" s="1072" t="str">
        <f>IF(AND(Calculations!B72=TRUE,CowCalf1Check=TRUE),"Cow Calf Herd 1","")</f>
        <v/>
      </c>
      <c r="M193" s="1072" t="str">
        <f>IF(AND(Calculations!B77=TRUE,CowCalf2Check=TRUE),"Cow Calf Herd 2","")</f>
        <v/>
      </c>
      <c r="N193" s="1072" t="str">
        <f>IF(AND(Calculations!B82=TRUE,CowCalf3Check=TRUE),"Cow Calf Herd 3","")</f>
        <v/>
      </c>
      <c r="O193" s="1071" t="str">
        <f>IF(AND(OR(Calculations!B56,Calculations!B58),BullsCheck=TRUE),"Bulls","")</f>
        <v/>
      </c>
      <c r="P193" s="1072" t="str">
        <f>IF(AND(Calculations!H45=TRUE,SeasonalDairyCheck=TRUE),"Dairy, Seasonal","")</f>
        <v/>
      </c>
      <c r="Q193" s="1072" t="str">
        <f>IF(AND(OR(Calculations!G50=TRUE,Calculations!H54=TRUE),AnnualDairyCheck=TRUE),"Dairy, Annual", "")</f>
        <v/>
      </c>
      <c r="R193" s="1074" t="str">
        <f>IF(AND(Calculations!B100=TRUE,HorsesCheck),"Horses","")</f>
        <v/>
      </c>
      <c r="S193" s="1007"/>
      <c r="T193" s="1007"/>
      <c r="U193" s="1007"/>
      <c r="V193" s="1007"/>
      <c r="W193" s="1007"/>
      <c r="X193" s="1007"/>
      <c r="Y193" s="1007"/>
      <c r="Z193" s="1009"/>
      <c r="AA193" s="45"/>
      <c r="CB193" s="179"/>
    </row>
    <row r="194" spans="4:81" s="177" customFormat="1" ht="85.15" customHeight="1" thickBot="1">
      <c r="E194" s="1011"/>
      <c r="F194" s="1357" t="s">
        <v>583</v>
      </c>
      <c r="G194" s="1358"/>
      <c r="H194" s="1358"/>
      <c r="I194" s="1358"/>
      <c r="J194" s="1358"/>
      <c r="K194" s="1358"/>
      <c r="L194" s="1358"/>
      <c r="M194" s="1358"/>
      <c r="N194" s="1358"/>
      <c r="O194" s="1358"/>
      <c r="P194" s="1358"/>
      <c r="Q194" s="1358"/>
      <c r="R194" s="1358"/>
      <c r="S194" s="1358"/>
      <c r="T194" s="1358"/>
      <c r="U194" s="1358"/>
      <c r="V194" s="1358"/>
      <c r="W194" s="1358"/>
      <c r="X194" s="1358"/>
      <c r="Y194" s="1359"/>
      <c r="Z194" s="1009"/>
      <c r="AA194" s="45"/>
      <c r="CB194" s="179"/>
    </row>
    <row r="195" spans="4:81" s="177" customFormat="1">
      <c r="E195" s="1005"/>
      <c r="F195" s="1012"/>
      <c r="G195" s="1012"/>
      <c r="H195" s="1012"/>
      <c r="I195" s="1012"/>
      <c r="J195" s="1012"/>
      <c r="K195" s="1012"/>
      <c r="L195" s="1012"/>
      <c r="M195" s="1012"/>
      <c r="N195" s="1012"/>
      <c r="O195" s="1012"/>
      <c r="P195" s="1012"/>
      <c r="Q195" s="1012"/>
      <c r="R195" s="1012"/>
      <c r="S195" s="1012"/>
      <c r="T195" s="1012"/>
      <c r="U195" s="1012"/>
      <c r="V195" s="1012"/>
      <c r="W195" s="1012"/>
      <c r="X195" s="1012"/>
      <c r="Y195" s="1012"/>
      <c r="Z195" s="1009"/>
      <c r="AA195" s="45"/>
      <c r="CB195" s="179"/>
    </row>
    <row r="196" spans="4:81" s="177" customFormat="1" ht="16.5" customHeight="1">
      <c r="E196" s="1360" t="s">
        <v>333</v>
      </c>
      <c r="F196" s="1361"/>
      <c r="G196" s="208"/>
      <c r="H196" s="170"/>
      <c r="I196" s="170"/>
      <c r="J196" s="171"/>
      <c r="K196" s="171" t="s">
        <v>78</v>
      </c>
      <c r="L196" s="172" t="s">
        <v>88</v>
      </c>
      <c r="M196" s="173"/>
      <c r="N196" s="1343" t="s">
        <v>438</v>
      </c>
      <c r="O196" s="1343"/>
      <c r="P196" s="1343"/>
      <c r="Q196" s="1343"/>
      <c r="R196" s="1343"/>
      <c r="S196" s="1343"/>
      <c r="T196" s="1343"/>
      <c r="U196" s="1343"/>
      <c r="V196" s="1343"/>
      <c r="W196" s="1343"/>
      <c r="X196" s="1343"/>
      <c r="Y196" s="1344"/>
      <c r="Z196" s="1009"/>
      <c r="AA196" s="45"/>
      <c r="CB196" s="179"/>
    </row>
    <row r="197" spans="4:81" s="177" customFormat="1" ht="16.5" customHeight="1">
      <c r="E197" s="1360"/>
      <c r="F197" s="1361"/>
      <c r="G197" s="207" t="s">
        <v>59</v>
      </c>
      <c r="H197" s="413" t="s">
        <v>81</v>
      </c>
      <c r="I197" s="159" t="s">
        <v>65</v>
      </c>
      <c r="J197" s="160" t="s">
        <v>501</v>
      </c>
      <c r="K197" s="1102" t="s">
        <v>66</v>
      </c>
      <c r="L197" s="165" t="s">
        <v>79</v>
      </c>
      <c r="M197" s="168" t="s">
        <v>80</v>
      </c>
      <c r="N197" s="1345"/>
      <c r="O197" s="1345"/>
      <c r="P197" s="1345"/>
      <c r="Q197" s="1345"/>
      <c r="R197" s="1345"/>
      <c r="S197" s="1345"/>
      <c r="T197" s="1345"/>
      <c r="U197" s="1345"/>
      <c r="V197" s="1345"/>
      <c r="W197" s="1345"/>
      <c r="X197" s="1345"/>
      <c r="Y197" s="1346"/>
      <c r="Z197" s="1009"/>
      <c r="AA197" s="45"/>
      <c r="CB197" s="179"/>
    </row>
    <row r="198" spans="4:81" s="177" customFormat="1" ht="24.75" customHeight="1">
      <c r="E198" s="1360"/>
      <c r="F198" s="1361"/>
      <c r="G198" s="175" t="s">
        <v>37</v>
      </c>
      <c r="H198" s="414" t="s">
        <v>467</v>
      </c>
      <c r="I198" s="166" t="s">
        <v>82</v>
      </c>
      <c r="J198" s="166" t="s">
        <v>338</v>
      </c>
      <c r="K198" s="166" t="s">
        <v>83</v>
      </c>
      <c r="L198" s="167" t="s">
        <v>84</v>
      </c>
      <c r="M198" s="169" t="s">
        <v>83</v>
      </c>
      <c r="N198" s="166" t="s">
        <v>91</v>
      </c>
      <c r="O198" s="166" t="s">
        <v>40</v>
      </c>
      <c r="P198" s="166" t="s">
        <v>41</v>
      </c>
      <c r="Q198" s="166" t="s">
        <v>42</v>
      </c>
      <c r="R198" s="166" t="s">
        <v>94</v>
      </c>
      <c r="S198" s="166" t="s">
        <v>330</v>
      </c>
      <c r="T198" s="166" t="s">
        <v>96</v>
      </c>
      <c r="U198" s="166" t="s">
        <v>97</v>
      </c>
      <c r="V198" s="166" t="s">
        <v>98</v>
      </c>
      <c r="W198" s="166" t="s">
        <v>331</v>
      </c>
      <c r="X198" s="166" t="s">
        <v>332</v>
      </c>
      <c r="Y198" s="176" t="s">
        <v>90</v>
      </c>
      <c r="Z198" s="1009"/>
      <c r="AA198" s="45"/>
      <c r="CB198" s="179"/>
    </row>
    <row r="199" spans="4:81" s="177" customFormat="1" ht="15.95" customHeight="1">
      <c r="E199" s="1013"/>
      <c r="F199" s="1014"/>
      <c r="G199" s="418"/>
      <c r="H199" s="418"/>
      <c r="I199" s="418"/>
      <c r="J199" s="419"/>
      <c r="K199" s="259">
        <f t="shared" ref="K199:K204" si="39">I199*J199</f>
        <v>0</v>
      </c>
      <c r="L199" s="420"/>
      <c r="M199" s="259">
        <f>K199*L199/100</f>
        <v>0</v>
      </c>
      <c r="N199" s="259" t="str">
        <f t="shared" ref="N199:N204" si="40">IF($H199="","",VLOOKUP($H199,FORAGE2,3)*($M199))</f>
        <v/>
      </c>
      <c r="O199" s="259" t="str">
        <f t="shared" ref="O199:O204" si="41">IF($H199="","",VLOOKUP($H199,FORAGE2,4)*($M199))</f>
        <v/>
      </c>
      <c r="P199" s="259" t="str">
        <f t="shared" ref="P199:P204" si="42">IF($H199="","",VLOOKUP($H199,FORAGE2,5)*($M199))</f>
        <v/>
      </c>
      <c r="Q199" s="259" t="str">
        <f t="shared" ref="Q199:Q204" si="43">IF($H199="","",VLOOKUP($H199,FORAGE2,6)*($M199))</f>
        <v/>
      </c>
      <c r="R199" s="259" t="str">
        <f t="shared" ref="R199:R204" si="44">IF($H199="","",VLOOKUP($H199,FORAGE2,7)*($M199))</f>
        <v/>
      </c>
      <c r="S199" s="259" t="str">
        <f t="shared" ref="S199:S204" si="45">IF($H199="","",VLOOKUP($H199,FORAGE2,8)*($M199))</f>
        <v/>
      </c>
      <c r="T199" s="259" t="str">
        <f t="shared" ref="T199:T204" si="46">IF($H199="","",VLOOKUP($H199,FORAGE2,9)*($M199))</f>
        <v/>
      </c>
      <c r="U199" s="259" t="str">
        <f t="shared" ref="U199:U204" si="47">IF($H199="","",VLOOKUP($H199,FORAGE2,10)*($M199))</f>
        <v/>
      </c>
      <c r="V199" s="259" t="str">
        <f t="shared" ref="V199:V204" si="48">IF($H199="","",VLOOKUP($H199,FORAGE2,11)*($M199))</f>
        <v/>
      </c>
      <c r="W199" s="259" t="str">
        <f t="shared" ref="W199:W204" si="49">IF($H199="","",VLOOKUP($H199,FORAGE2,12)*($M199))</f>
        <v/>
      </c>
      <c r="X199" s="259" t="str">
        <f t="shared" ref="X199:X204" si="50">IF($H199="","",VLOOKUP($H199,FORAGE2,13)*($M199))</f>
        <v/>
      </c>
      <c r="Y199" s="259" t="str">
        <f t="shared" ref="Y199:Y204" si="51">IF($H199="","",VLOOKUP($H199,FORAGE2,14)*($M199))</f>
        <v/>
      </c>
      <c r="Z199" s="1009"/>
      <c r="AA199" s="45"/>
      <c r="CB199" s="179"/>
    </row>
    <row r="200" spans="4:81" s="177" customFormat="1" ht="15.95" hidden="1" customHeight="1">
      <c r="E200" s="1005"/>
      <c r="F200" s="1014"/>
      <c r="G200" s="418"/>
      <c r="H200" s="418"/>
      <c r="I200" s="418"/>
      <c r="J200" s="419"/>
      <c r="K200" s="259">
        <f t="shared" si="39"/>
        <v>0</v>
      </c>
      <c r="L200" s="420"/>
      <c r="M200" s="259">
        <f t="shared" ref="M200:M204" si="52">K200*L200/100</f>
        <v>0</v>
      </c>
      <c r="N200" s="259" t="str">
        <f t="shared" si="40"/>
        <v/>
      </c>
      <c r="O200" s="259" t="str">
        <f t="shared" si="41"/>
        <v/>
      </c>
      <c r="P200" s="259" t="str">
        <f t="shared" si="42"/>
        <v/>
      </c>
      <c r="Q200" s="259" t="str">
        <f t="shared" si="43"/>
        <v/>
      </c>
      <c r="R200" s="259" t="str">
        <f t="shared" si="44"/>
        <v/>
      </c>
      <c r="S200" s="259" t="str">
        <f t="shared" si="45"/>
        <v/>
      </c>
      <c r="T200" s="259" t="str">
        <f t="shared" si="46"/>
        <v/>
      </c>
      <c r="U200" s="259" t="str">
        <f t="shared" si="47"/>
        <v/>
      </c>
      <c r="V200" s="259" t="str">
        <f t="shared" si="48"/>
        <v/>
      </c>
      <c r="W200" s="259" t="str">
        <f t="shared" si="49"/>
        <v/>
      </c>
      <c r="X200" s="259" t="str">
        <f t="shared" si="50"/>
        <v/>
      </c>
      <c r="Y200" s="259" t="str">
        <f t="shared" si="51"/>
        <v/>
      </c>
      <c r="Z200" s="1009"/>
      <c r="AA200" s="45"/>
      <c r="CB200" s="179"/>
    </row>
    <row r="201" spans="4:81" s="177" customFormat="1" ht="15.95" hidden="1" customHeight="1">
      <c r="E201" s="1005"/>
      <c r="F201" s="1014"/>
      <c r="G201" s="418"/>
      <c r="H201" s="418"/>
      <c r="I201" s="418"/>
      <c r="J201" s="419"/>
      <c r="K201" s="259">
        <f t="shared" si="39"/>
        <v>0</v>
      </c>
      <c r="L201" s="420"/>
      <c r="M201" s="259">
        <f t="shared" si="52"/>
        <v>0</v>
      </c>
      <c r="N201" s="259" t="str">
        <f t="shared" si="40"/>
        <v/>
      </c>
      <c r="O201" s="259" t="str">
        <f t="shared" si="41"/>
        <v/>
      </c>
      <c r="P201" s="259" t="str">
        <f t="shared" si="42"/>
        <v/>
      </c>
      <c r="Q201" s="259" t="str">
        <f t="shared" si="43"/>
        <v/>
      </c>
      <c r="R201" s="259" t="str">
        <f t="shared" si="44"/>
        <v/>
      </c>
      <c r="S201" s="259" t="str">
        <f t="shared" si="45"/>
        <v/>
      </c>
      <c r="T201" s="259" t="str">
        <f t="shared" si="46"/>
        <v/>
      </c>
      <c r="U201" s="259" t="str">
        <f t="shared" si="47"/>
        <v/>
      </c>
      <c r="V201" s="259" t="str">
        <f t="shared" si="48"/>
        <v/>
      </c>
      <c r="W201" s="259" t="str">
        <f t="shared" si="49"/>
        <v/>
      </c>
      <c r="X201" s="259" t="str">
        <f t="shared" si="50"/>
        <v/>
      </c>
      <c r="Y201" s="259" t="str">
        <f t="shared" si="51"/>
        <v/>
      </c>
      <c r="Z201" s="1009"/>
      <c r="AA201" s="45"/>
      <c r="CB201" s="179"/>
    </row>
    <row r="202" spans="4:81" s="177" customFormat="1" ht="15.95" hidden="1" customHeight="1">
      <c r="E202" s="1005"/>
      <c r="F202" s="1014"/>
      <c r="G202" s="418"/>
      <c r="H202" s="418"/>
      <c r="I202" s="418"/>
      <c r="J202" s="419"/>
      <c r="K202" s="259">
        <f t="shared" si="39"/>
        <v>0</v>
      </c>
      <c r="L202" s="420"/>
      <c r="M202" s="259">
        <f t="shared" si="52"/>
        <v>0</v>
      </c>
      <c r="N202" s="259" t="str">
        <f t="shared" si="40"/>
        <v/>
      </c>
      <c r="O202" s="259" t="str">
        <f t="shared" si="41"/>
        <v/>
      </c>
      <c r="P202" s="259" t="str">
        <f t="shared" si="42"/>
        <v/>
      </c>
      <c r="Q202" s="259" t="str">
        <f t="shared" si="43"/>
        <v/>
      </c>
      <c r="R202" s="259" t="str">
        <f t="shared" si="44"/>
        <v/>
      </c>
      <c r="S202" s="259" t="str">
        <f t="shared" si="45"/>
        <v/>
      </c>
      <c r="T202" s="259" t="str">
        <f t="shared" si="46"/>
        <v/>
      </c>
      <c r="U202" s="259" t="str">
        <f t="shared" si="47"/>
        <v/>
      </c>
      <c r="V202" s="259" t="str">
        <f t="shared" si="48"/>
        <v/>
      </c>
      <c r="W202" s="259" t="str">
        <f t="shared" si="49"/>
        <v/>
      </c>
      <c r="X202" s="259" t="str">
        <f t="shared" si="50"/>
        <v/>
      </c>
      <c r="Y202" s="259" t="str">
        <f t="shared" si="51"/>
        <v/>
      </c>
      <c r="Z202" s="1009"/>
      <c r="AA202" s="45"/>
      <c r="CB202" s="179"/>
    </row>
    <row r="203" spans="4:81" s="177" customFormat="1" ht="15.95" hidden="1" customHeight="1">
      <c r="E203" s="1005"/>
      <c r="F203" s="1014"/>
      <c r="G203" s="418"/>
      <c r="H203" s="418"/>
      <c r="I203" s="418"/>
      <c r="J203" s="419"/>
      <c r="K203" s="259">
        <f t="shared" si="39"/>
        <v>0</v>
      </c>
      <c r="L203" s="420"/>
      <c r="M203" s="259">
        <f t="shared" si="52"/>
        <v>0</v>
      </c>
      <c r="N203" s="259" t="str">
        <f t="shared" si="40"/>
        <v/>
      </c>
      <c r="O203" s="259" t="str">
        <f t="shared" si="41"/>
        <v/>
      </c>
      <c r="P203" s="259" t="str">
        <f t="shared" si="42"/>
        <v/>
      </c>
      <c r="Q203" s="259" t="str">
        <f t="shared" si="43"/>
        <v/>
      </c>
      <c r="R203" s="259" t="str">
        <f t="shared" si="44"/>
        <v/>
      </c>
      <c r="S203" s="259" t="str">
        <f t="shared" si="45"/>
        <v/>
      </c>
      <c r="T203" s="259" t="str">
        <f t="shared" si="46"/>
        <v/>
      </c>
      <c r="U203" s="259" t="str">
        <f t="shared" si="47"/>
        <v/>
      </c>
      <c r="V203" s="259" t="str">
        <f t="shared" si="48"/>
        <v/>
      </c>
      <c r="W203" s="259" t="str">
        <f t="shared" si="49"/>
        <v/>
      </c>
      <c r="X203" s="259" t="str">
        <f t="shared" si="50"/>
        <v/>
      </c>
      <c r="Y203" s="259" t="str">
        <f t="shared" si="51"/>
        <v/>
      </c>
      <c r="Z203" s="1009"/>
      <c r="AA203" s="45"/>
      <c r="CB203" s="179"/>
    </row>
    <row r="204" spans="4:81" s="177" customFormat="1" ht="15.95" hidden="1" customHeight="1">
      <c r="E204" s="1005"/>
      <c r="F204" s="1014"/>
      <c r="G204" s="418"/>
      <c r="H204" s="418"/>
      <c r="I204" s="418"/>
      <c r="J204" s="419"/>
      <c r="K204" s="259">
        <f t="shared" si="39"/>
        <v>0</v>
      </c>
      <c r="L204" s="420"/>
      <c r="M204" s="259">
        <f t="shared" si="52"/>
        <v>0</v>
      </c>
      <c r="N204" s="259" t="str">
        <f t="shared" si="40"/>
        <v/>
      </c>
      <c r="O204" s="259" t="str">
        <f t="shared" si="41"/>
        <v/>
      </c>
      <c r="P204" s="259" t="str">
        <f t="shared" si="42"/>
        <v/>
      </c>
      <c r="Q204" s="259" t="str">
        <f t="shared" si="43"/>
        <v/>
      </c>
      <c r="R204" s="259" t="str">
        <f t="shared" si="44"/>
        <v/>
      </c>
      <c r="S204" s="259" t="str">
        <f t="shared" si="45"/>
        <v/>
      </c>
      <c r="T204" s="259" t="str">
        <f t="shared" si="46"/>
        <v/>
      </c>
      <c r="U204" s="259" t="str">
        <f t="shared" si="47"/>
        <v/>
      </c>
      <c r="V204" s="259" t="str">
        <f t="shared" si="48"/>
        <v/>
      </c>
      <c r="W204" s="259" t="str">
        <f t="shared" si="49"/>
        <v/>
      </c>
      <c r="X204" s="259" t="str">
        <f t="shared" si="50"/>
        <v/>
      </c>
      <c r="Y204" s="259" t="str">
        <f t="shared" si="51"/>
        <v/>
      </c>
      <c r="Z204" s="1009"/>
      <c r="AA204" s="45"/>
      <c r="CB204" s="179"/>
    </row>
    <row r="205" spans="4:81" s="177" customFormat="1" ht="14.25" customHeight="1" thickBot="1">
      <c r="E205" s="1015"/>
      <c r="F205" s="1016"/>
      <c r="G205" s="1017"/>
      <c r="H205" s="1017"/>
      <c r="I205" s="1017"/>
      <c r="J205" s="1017"/>
      <c r="K205" s="1017"/>
      <c r="L205" s="1018"/>
      <c r="M205" s="1017"/>
      <c r="N205" s="1017"/>
      <c r="O205" s="1017"/>
      <c r="P205" s="1017"/>
      <c r="Q205" s="1017"/>
      <c r="R205" s="1017"/>
      <c r="S205" s="1017"/>
      <c r="T205" s="1017"/>
      <c r="U205" s="1017"/>
      <c r="V205" s="1017"/>
      <c r="W205" s="1017"/>
      <c r="X205" s="1017"/>
      <c r="Y205" s="1019"/>
      <c r="Z205" s="1010"/>
      <c r="AA205" s="45"/>
      <c r="CB205" s="179"/>
    </row>
    <row r="206" spans="4:81" s="177" customFormat="1" ht="20.25" customHeight="1" thickBot="1">
      <c r="D206" s="45"/>
      <c r="E206" s="78"/>
      <c r="F206" s="615"/>
      <c r="G206" s="616"/>
      <c r="H206" s="510"/>
      <c r="I206" s="510"/>
      <c r="J206" s="510"/>
      <c r="K206" s="510"/>
      <c r="L206" s="511"/>
      <c r="M206" s="510"/>
      <c r="N206" s="510"/>
      <c r="O206" s="510"/>
      <c r="P206" s="510"/>
      <c r="Q206" s="510"/>
      <c r="R206" s="510"/>
      <c r="S206" s="510"/>
      <c r="T206" s="510"/>
      <c r="U206" s="510"/>
      <c r="V206" s="510"/>
      <c r="W206" s="510"/>
      <c r="X206" s="510"/>
      <c r="Y206" s="512"/>
      <c r="Z206" s="513"/>
      <c r="AA206" s="45"/>
      <c r="CB206" s="179"/>
    </row>
    <row r="207" spans="4:81" ht="36" customHeight="1" thickBot="1">
      <c r="E207" s="988"/>
      <c r="F207" s="1356" t="s">
        <v>505</v>
      </c>
      <c r="G207" s="1356"/>
      <c r="H207" s="1356"/>
      <c r="I207" s="1356"/>
      <c r="J207" s="1356"/>
      <c r="K207" s="1356"/>
      <c r="L207" s="1356"/>
      <c r="M207" s="1356"/>
      <c r="N207" s="1356"/>
      <c r="O207" s="1356"/>
      <c r="P207" s="984"/>
      <c r="CB207" s="4"/>
      <c r="CC207" s="126"/>
    </row>
    <row r="208" spans="4:81" ht="98.25" customHeight="1" thickBot="1">
      <c r="E208" s="989"/>
      <c r="F208" s="990"/>
      <c r="G208" s="1353" t="s">
        <v>728</v>
      </c>
      <c r="H208" s="1354"/>
      <c r="I208" s="1354"/>
      <c r="J208" s="1354"/>
      <c r="K208" s="1354"/>
      <c r="L208" s="1354"/>
      <c r="M208" s="1354"/>
      <c r="N208" s="1354"/>
      <c r="O208" s="1355"/>
      <c r="P208" s="985"/>
      <c r="Q208" s="265"/>
      <c r="CB208" s="4"/>
      <c r="CC208" s="126"/>
    </row>
    <row r="209" spans="4:81">
      <c r="E209" s="989"/>
      <c r="F209" s="991"/>
      <c r="G209" s="1003"/>
      <c r="H209" s="1003"/>
      <c r="I209" s="1003"/>
      <c r="J209" s="1003"/>
      <c r="K209" s="1003"/>
      <c r="L209" s="1003"/>
      <c r="M209" s="1003"/>
      <c r="N209" s="1003"/>
      <c r="O209" s="1003"/>
      <c r="P209" s="985"/>
      <c r="Q209" s="265"/>
      <c r="CB209" s="4"/>
      <c r="CC209" s="126"/>
    </row>
    <row r="210" spans="4:81" ht="15.75" customHeight="1">
      <c r="E210" s="1306" t="s">
        <v>333</v>
      </c>
      <c r="F210" s="1307"/>
      <c r="G210" s="532"/>
      <c r="H210" s="533"/>
      <c r="I210" s="514" t="s">
        <v>125</v>
      </c>
      <c r="J210" s="514"/>
      <c r="K210" s="514" t="s">
        <v>502</v>
      </c>
      <c r="L210" s="514" t="s">
        <v>78</v>
      </c>
      <c r="M210" s="514" t="s">
        <v>125</v>
      </c>
      <c r="N210" s="534"/>
      <c r="O210" s="535" t="s">
        <v>60</v>
      </c>
      <c r="P210" s="985"/>
      <c r="Q210" s="265"/>
      <c r="CB210" s="4"/>
      <c r="CC210" s="126"/>
    </row>
    <row r="211" spans="4:81" ht="15.75" customHeight="1">
      <c r="E211" s="1306"/>
      <c r="F211" s="1307"/>
      <c r="G211" s="518" t="s">
        <v>59</v>
      </c>
      <c r="H211" s="415" t="s">
        <v>81</v>
      </c>
      <c r="I211" s="159" t="s">
        <v>65</v>
      </c>
      <c r="J211" s="470" t="s">
        <v>501</v>
      </c>
      <c r="K211" s="415" t="s">
        <v>503</v>
      </c>
      <c r="L211" s="159" t="s">
        <v>66</v>
      </c>
      <c r="M211" s="159" t="s">
        <v>126</v>
      </c>
      <c r="N211" s="159" t="s">
        <v>341</v>
      </c>
      <c r="O211" s="519" t="s">
        <v>134</v>
      </c>
      <c r="P211" s="985"/>
      <c r="CB211" s="4"/>
      <c r="CC211" s="126"/>
    </row>
    <row r="212" spans="4:81" ht="24" customHeight="1">
      <c r="E212" s="1306"/>
      <c r="F212" s="1307"/>
      <c r="G212" s="520" t="s">
        <v>37</v>
      </c>
      <c r="H212" s="536" t="s">
        <v>467</v>
      </c>
      <c r="I212" s="166" t="s">
        <v>82</v>
      </c>
      <c r="J212" s="166" t="s">
        <v>338</v>
      </c>
      <c r="K212" s="1047" t="s">
        <v>730</v>
      </c>
      <c r="L212" s="166" t="s">
        <v>83</v>
      </c>
      <c r="M212" s="166" t="s">
        <v>84</v>
      </c>
      <c r="N212" s="166" t="s">
        <v>83</v>
      </c>
      <c r="O212" s="521" t="s">
        <v>334</v>
      </c>
      <c r="P212" s="985"/>
      <c r="CB212" s="4"/>
      <c r="CC212" s="126"/>
    </row>
    <row r="213" spans="4:81" ht="15.95" customHeight="1">
      <c r="D213" s="23"/>
      <c r="E213" s="989"/>
      <c r="F213" s="991"/>
      <c r="G213" s="1037"/>
      <c r="H213" s="1038"/>
      <c r="I213" s="1039"/>
      <c r="J213" s="419"/>
      <c r="K213" s="419"/>
      <c r="L213" s="259">
        <f t="shared" ref="L213:L222" si="53">IF(K213=3,I213*J213*(VLOOKUP(H213,FORAGE2,12)+VLOOKUP(H213,FORAGE2,13)+VLOOKUP(H213,FORAGE2,14)),IF(K213=4,I213*J213*(VLOOKUP(H213,FORAGE2,12)+VLOOKUP(H213,FORAGE2,13)+VLOOKUP(H213,FORAGE2,14)+VLOOKUP(H213,FORAGE2,3)),IF(K213=5,I213*J213*(VLOOKUP(H213,FORAGE2,12)+VLOOKUP(H213,FORAGE2,13)+VLOOKUP(H213,FORAGE2,14)+VLOOKUP(H213,FORAGE2,3)+VLOOKUP(H213,FORAGE2,4)),IF(K213=6,I213*J213*(VLOOKUP(H213,FORAGE2,12)+VLOOKUP(H213,FORAGE2,13)+VLOOKUP(H213,FORAGE2,14)+VLOOKUP(H213,FORAGE2,3)+VLOOKUP(H213,FORAGE2,4)+VLOOKUP(H213,FORAGE2,5)),IF(K213=7,I213*J213*(VLOOKUP(H213,FORAGE2,12)+VLOOKUP(H213,FORAGE2,13)+VLOOKUP(H213,FORAGE2,14)+VLOOKUP(H213,FORAGE2,3)+VLOOKUP(H213,FORAGE2,4)+VLOOKUP(H213,FORAGE2,5)+VLOOKUP(H213,FORAGE2,6)), IF(K213=8,I213*J213*(VLOOKUP(H213,FORAGE2,12)+VLOOKUP(H213,FORAGE2,13)+VLOOKUP(H213,FORAGE2,14)+VLOOKUP(H213,FORAGE2,3)+VLOOKUP(H213,FORAGE2,4)+VLOOKUP(H213,FORAGE2,5)+VLOOKUP(H213,FORAGE2,6)+VLOOKUP(H213,FORAGE2,7)),IF(K213=9,I213*J213*(VLOOKUP(H213,FORAGE2,12)+VLOOKUP(H213,FORAGE2,13)+VLOOKUP(H213,FORAGE2,14)+VLOOKUP(H213,FORAGE2,3)+VLOOKUP(H213,FORAGE2,4)+VLOOKUP(H213,FORAGE2,5)+VLOOKUP(H213,FORAGE2,6)+VLOOKUP(H213,FORAGE2,7)+VLOOKUP(H213,FORAGE2,8)), IF(K213=10,I213*J213*(VLOOKUP(H213,FORAGE2,12)+VLOOKUP(H213,FORAGE2,13)+VLOOKUP(H213,FORAGE2,14)+VLOOKUP(H213,FORAGE2,3)+VLOOKUP(H213,FORAGE2,4)+VLOOKUP(H213,FORAGE2,5)+VLOOKUP(H213,FORAGE2,6)+VLOOKUP(H213,FORAGE2,7)+VLOOKUP(H213,FORAGE2,8)+VLOOKUP(H213,FORAGE2,9)),I213*J213*(VLOOKUP(H213,FORAGE2,12)+VLOOKUP(H213,FORAGE2,13)+VLOOKUP(H213,FORAGE2,14)+VLOOKUP(H213,FORAGE2,3)+VLOOKUP(H213,FORAGE2,4)+VLOOKUP(H213,FORAGE2,5)+VLOOKUP(H213,FORAGE2,6)+VLOOKUP(H213,FORAGE2,7)+VLOOKUP(H213,FORAGE2,8)+VLOOKUP(H213,FORAGE2,9)+VLOOKUP(H213,FORAGE2,10)+VLOOKUP(H213,FORAGE2,11))))))))))</f>
        <v>0</v>
      </c>
      <c r="M213" s="1040"/>
      <c r="N213" s="259">
        <f>IF(H213="",0,L213*M213)</f>
        <v>0</v>
      </c>
      <c r="O213" s="538" t="str">
        <f>IF($H213="","",VLOOKUP($H213,ForageGrowthCurves!$A$6:$P$67,16))</f>
        <v/>
      </c>
      <c r="P213" s="986"/>
      <c r="Q213" s="265"/>
      <c r="CB213" s="4"/>
      <c r="CC213" s="126"/>
    </row>
    <row r="214" spans="4:81" ht="15.95" hidden="1" customHeight="1">
      <c r="D214" s="23"/>
      <c r="E214" s="989"/>
      <c r="F214" s="991"/>
      <c r="G214" s="537"/>
      <c r="H214" s="260"/>
      <c r="I214" s="261"/>
      <c r="J214" s="262"/>
      <c r="K214" s="262"/>
      <c r="L214" s="259">
        <f t="shared" si="53"/>
        <v>0</v>
      </c>
      <c r="M214" s="263"/>
      <c r="N214" s="259">
        <f t="shared" ref="N214:N222" si="54">IF(H214="",0,L214*M214)</f>
        <v>0</v>
      </c>
      <c r="O214" s="538" t="str">
        <f>IF($H214="","",VLOOKUP($H214,ForageGrowthCurves!$A$6:$P$67,16))</f>
        <v/>
      </c>
      <c r="P214" s="986"/>
      <c r="CB214" s="4"/>
      <c r="CC214" s="126"/>
    </row>
    <row r="215" spans="4:81" ht="15.95" hidden="1" customHeight="1">
      <c r="D215" s="23"/>
      <c r="E215" s="989"/>
      <c r="F215" s="991"/>
      <c r="G215" s="537"/>
      <c r="H215" s="260"/>
      <c r="I215" s="261"/>
      <c r="J215" s="262"/>
      <c r="K215" s="262"/>
      <c r="L215" s="259">
        <f t="shared" si="53"/>
        <v>0</v>
      </c>
      <c r="M215" s="263"/>
      <c r="N215" s="259">
        <f t="shared" si="54"/>
        <v>0</v>
      </c>
      <c r="O215" s="538" t="str">
        <f>IF($H215="","",VLOOKUP($H215,ForageGrowthCurves!$A$6:$P$67,16))</f>
        <v/>
      </c>
      <c r="P215" s="985"/>
      <c r="CB215" s="4"/>
      <c r="CC215" s="126"/>
    </row>
    <row r="216" spans="4:81" ht="15.95" hidden="1" customHeight="1">
      <c r="D216" s="23"/>
      <c r="E216" s="989"/>
      <c r="F216" s="991"/>
      <c r="G216" s="537"/>
      <c r="H216" s="260"/>
      <c r="I216" s="261"/>
      <c r="J216" s="262"/>
      <c r="K216" s="262"/>
      <c r="L216" s="259">
        <f t="shared" si="53"/>
        <v>0</v>
      </c>
      <c r="M216" s="263"/>
      <c r="N216" s="259">
        <f t="shared" si="54"/>
        <v>0</v>
      </c>
      <c r="O216" s="538" t="str">
        <f>IF($H216="","",VLOOKUP($H216,ForageGrowthCurves!$A$6:$P$67,16))</f>
        <v/>
      </c>
      <c r="P216" s="985"/>
      <c r="CB216" s="4"/>
      <c r="CC216" s="126"/>
    </row>
    <row r="217" spans="4:81" ht="15.95" hidden="1" customHeight="1">
      <c r="D217" s="23"/>
      <c r="E217" s="989"/>
      <c r="F217" s="991"/>
      <c r="G217" s="537"/>
      <c r="H217" s="260"/>
      <c r="I217" s="261"/>
      <c r="J217" s="262"/>
      <c r="K217" s="262"/>
      <c r="L217" s="259">
        <f t="shared" si="53"/>
        <v>0</v>
      </c>
      <c r="M217" s="263"/>
      <c r="N217" s="259">
        <f t="shared" si="54"/>
        <v>0</v>
      </c>
      <c r="O217" s="538" t="str">
        <f>IF($H217="","",VLOOKUP($H217,ForageGrowthCurves!$A$6:$P$67,16))</f>
        <v/>
      </c>
      <c r="P217" s="985"/>
      <c r="CB217" s="4"/>
      <c r="CC217" s="126"/>
    </row>
    <row r="218" spans="4:81" ht="15.95" hidden="1" customHeight="1">
      <c r="D218" s="23"/>
      <c r="E218" s="989"/>
      <c r="F218" s="991"/>
      <c r="G218" s="537"/>
      <c r="H218" s="260"/>
      <c r="I218" s="261"/>
      <c r="J218" s="262"/>
      <c r="K218" s="262"/>
      <c r="L218" s="259">
        <f t="shared" si="53"/>
        <v>0</v>
      </c>
      <c r="M218" s="263"/>
      <c r="N218" s="259">
        <f t="shared" si="54"/>
        <v>0</v>
      </c>
      <c r="O218" s="538" t="str">
        <f>IF($H218="","",VLOOKUP($H218,ForageGrowthCurves!$A$6:$P$67,16))</f>
        <v/>
      </c>
      <c r="P218" s="985"/>
      <c r="CB218" s="4"/>
      <c r="CC218" s="126"/>
    </row>
    <row r="219" spans="4:81" ht="15.95" hidden="1" customHeight="1">
      <c r="D219" s="23"/>
      <c r="E219" s="989"/>
      <c r="F219" s="991"/>
      <c r="G219" s="537"/>
      <c r="H219" s="260"/>
      <c r="I219" s="261"/>
      <c r="J219" s="262"/>
      <c r="K219" s="262"/>
      <c r="L219" s="259">
        <f t="shared" si="53"/>
        <v>0</v>
      </c>
      <c r="M219" s="263"/>
      <c r="N219" s="259">
        <f t="shared" si="54"/>
        <v>0</v>
      </c>
      <c r="O219" s="538" t="str">
        <f>IF($H219="","",VLOOKUP($H219,ForageGrowthCurves!$A$6:$P$67,16))</f>
        <v/>
      </c>
      <c r="P219" s="985"/>
      <c r="CB219" s="4"/>
      <c r="CC219" s="126"/>
    </row>
    <row r="220" spans="4:81" ht="15.95" hidden="1" customHeight="1">
      <c r="D220" s="23"/>
      <c r="E220" s="989"/>
      <c r="F220" s="991"/>
      <c r="G220" s="537"/>
      <c r="H220" s="260"/>
      <c r="I220" s="261"/>
      <c r="J220" s="262"/>
      <c r="K220" s="262"/>
      <c r="L220" s="259">
        <f t="shared" si="53"/>
        <v>0</v>
      </c>
      <c r="M220" s="263"/>
      <c r="N220" s="259">
        <f t="shared" si="54"/>
        <v>0</v>
      </c>
      <c r="O220" s="538" t="str">
        <f>IF($H220="","",VLOOKUP($H220,ForageGrowthCurves!$A$6:$P$67,16))</f>
        <v/>
      </c>
      <c r="P220" s="985"/>
      <c r="CB220" s="4"/>
      <c r="CC220" s="126"/>
    </row>
    <row r="221" spans="4:81" ht="15.95" hidden="1" customHeight="1">
      <c r="D221" s="23"/>
      <c r="E221" s="989"/>
      <c r="F221" s="991"/>
      <c r="G221" s="537"/>
      <c r="H221" s="260"/>
      <c r="I221" s="261"/>
      <c r="J221" s="262"/>
      <c r="K221" s="262"/>
      <c r="L221" s="259">
        <f t="shared" si="53"/>
        <v>0</v>
      </c>
      <c r="M221" s="263"/>
      <c r="N221" s="259">
        <f t="shared" si="54"/>
        <v>0</v>
      </c>
      <c r="O221" s="538" t="str">
        <f>IF($H221="","",VLOOKUP($H221,ForageGrowthCurves!$A$6:$P$67,16))</f>
        <v/>
      </c>
      <c r="P221" s="985"/>
      <c r="R221" s="265"/>
      <c r="CB221" s="4"/>
      <c r="CC221" s="126"/>
    </row>
    <row r="222" spans="4:81" ht="15.95" hidden="1" customHeight="1">
      <c r="D222" s="23"/>
      <c r="E222" s="989"/>
      <c r="F222" s="991"/>
      <c r="G222" s="537"/>
      <c r="H222" s="260"/>
      <c r="I222" s="261"/>
      <c r="J222" s="262"/>
      <c r="K222" s="262"/>
      <c r="L222" s="259">
        <f t="shared" si="53"/>
        <v>0</v>
      </c>
      <c r="M222" s="263"/>
      <c r="N222" s="259">
        <f t="shared" si="54"/>
        <v>0</v>
      </c>
      <c r="O222" s="538" t="str">
        <f>IF($H222="","",VLOOKUP($H222,ForageGrowthCurves!$A$6:$P$67,16))</f>
        <v/>
      </c>
      <c r="P222" s="985"/>
      <c r="CB222" s="4"/>
      <c r="CC222" s="126"/>
    </row>
    <row r="223" spans="4:81" ht="10.5" customHeight="1">
      <c r="E223" s="989"/>
      <c r="F223" s="991"/>
      <c r="G223" s="995"/>
      <c r="H223" s="996"/>
      <c r="I223" s="997"/>
      <c r="J223" s="998"/>
      <c r="K223" s="998"/>
      <c r="L223" s="999"/>
      <c r="M223" s="1000"/>
      <c r="N223" s="1001"/>
      <c r="O223" s="1002"/>
      <c r="P223" s="985"/>
      <c r="Q223" s="265"/>
      <c r="CB223" s="4"/>
      <c r="CC223" s="126"/>
    </row>
    <row r="224" spans="4:81" ht="14.25" customHeight="1">
      <c r="E224" s="989"/>
      <c r="F224" s="991"/>
      <c r="G224" s="1304" t="s">
        <v>340</v>
      </c>
      <c r="H224" s="1305"/>
      <c r="I224" s="539">
        <f>SUBTOTAL(109,I213:I222)</f>
        <v>0</v>
      </c>
      <c r="J224" s="540"/>
      <c r="K224" s="540"/>
      <c r="L224" s="541">
        <f>SUBTOTAL(109,L213:L222)</f>
        <v>0</v>
      </c>
      <c r="M224" s="542"/>
      <c r="N224" s="541">
        <f>SUBTOTAL(109,N213:N222)</f>
        <v>0</v>
      </c>
      <c r="O224" s="543"/>
      <c r="P224" s="985"/>
      <c r="CB224" s="4"/>
      <c r="CC224" s="126"/>
    </row>
    <row r="225" spans="5:81" ht="15.75" thickBot="1">
      <c r="E225" s="1302"/>
      <c r="F225" s="1303"/>
      <c r="G225" s="1303"/>
      <c r="H225" s="1303"/>
      <c r="I225" s="992"/>
      <c r="J225" s="993"/>
      <c r="K225" s="993"/>
      <c r="L225" s="993"/>
      <c r="M225" s="994"/>
      <c r="N225" s="993"/>
      <c r="O225" s="993"/>
      <c r="P225" s="987"/>
      <c r="CB225" s="4"/>
      <c r="CC225" s="126"/>
    </row>
    <row r="226" spans="5:81" s="177" customFormat="1" ht="20.25" customHeight="1" thickBot="1">
      <c r="E226" s="45"/>
      <c r="F226" s="45"/>
      <c r="G226" s="204"/>
      <c r="H226" s="45"/>
      <c r="I226" s="45"/>
      <c r="J226" s="45"/>
      <c r="K226" s="45"/>
      <c r="L226" s="45"/>
      <c r="M226" s="45"/>
      <c r="N226" s="45"/>
      <c r="O226" s="45"/>
      <c r="P226" s="45"/>
      <c r="Q226" s="45"/>
      <c r="R226" s="45"/>
      <c r="S226" s="45"/>
      <c r="T226" s="45"/>
      <c r="U226" s="45"/>
      <c r="V226" s="45"/>
      <c r="W226" s="45"/>
      <c r="X226" s="45"/>
      <c r="Y226" s="45"/>
      <c r="Z226" s="178"/>
      <c r="CB226" s="179"/>
    </row>
    <row r="227" spans="5:81" ht="36" customHeight="1">
      <c r="E227" s="180"/>
      <c r="F227" s="181"/>
      <c r="G227" s="1341" t="s">
        <v>335</v>
      </c>
      <c r="H227" s="1341"/>
      <c r="I227" s="1341"/>
      <c r="J227" s="1341"/>
      <c r="K227" s="1341"/>
      <c r="L227" s="1341"/>
      <c r="M227" s="1341"/>
      <c r="N227" s="1341"/>
      <c r="O227" s="1341"/>
      <c r="P227" s="1341"/>
      <c r="Q227" s="1341"/>
      <c r="R227" s="1341"/>
      <c r="S227" s="1341"/>
      <c r="T227" s="1341"/>
      <c r="U227" s="1341"/>
      <c r="V227" s="1341"/>
      <c r="W227" s="1341"/>
      <c r="X227" s="1341"/>
      <c r="Y227" s="1341"/>
      <c r="Z227" s="182"/>
    </row>
    <row r="228" spans="5:81" ht="24" customHeight="1">
      <c r="E228" s="216"/>
      <c r="F228" s="184"/>
      <c r="G228" s="184"/>
      <c r="H228" s="257"/>
      <c r="I228" s="38"/>
      <c r="J228" s="258" t="s">
        <v>325</v>
      </c>
      <c r="K228" s="258"/>
      <c r="L228" s="258" t="s">
        <v>325</v>
      </c>
      <c r="M228" s="258"/>
      <c r="N228" s="476" t="s">
        <v>39</v>
      </c>
      <c r="O228" s="476" t="s">
        <v>40</v>
      </c>
      <c r="P228" s="476" t="s">
        <v>41</v>
      </c>
      <c r="Q228" s="476" t="s">
        <v>42</v>
      </c>
      <c r="R228" s="476" t="s">
        <v>43</v>
      </c>
      <c r="S228" s="476" t="s">
        <v>44</v>
      </c>
      <c r="T228" s="476" t="s">
        <v>45</v>
      </c>
      <c r="U228" s="476" t="s">
        <v>46</v>
      </c>
      <c r="V228" s="476" t="s">
        <v>47</v>
      </c>
      <c r="W228" s="476" t="s">
        <v>48</v>
      </c>
      <c r="X228" s="476" t="s">
        <v>49</v>
      </c>
      <c r="Y228" s="244" t="s">
        <v>50</v>
      </c>
      <c r="Z228" s="187"/>
    </row>
    <row r="229" spans="5:81" ht="15.75">
      <c r="E229" s="183"/>
      <c r="F229" s="184"/>
      <c r="G229" s="184"/>
      <c r="H229" s="1265" t="s">
        <v>348</v>
      </c>
      <c r="I229" s="1266"/>
      <c r="J229" s="1266"/>
      <c r="K229" s="1266"/>
      <c r="L229" s="1267"/>
      <c r="M229" s="211">
        <f>SUM(N229:Y229)</f>
        <v>0</v>
      </c>
      <c r="N229" s="19">
        <f t="shared" ref="N229:Y229" si="55">SUBTOTAL(109,N103:N149)</f>
        <v>0</v>
      </c>
      <c r="O229" s="19">
        <f t="shared" si="55"/>
        <v>0</v>
      </c>
      <c r="P229" s="19">
        <f t="shared" si="55"/>
        <v>0</v>
      </c>
      <c r="Q229" s="19">
        <f t="shared" si="55"/>
        <v>0</v>
      </c>
      <c r="R229" s="19">
        <f t="shared" si="55"/>
        <v>0</v>
      </c>
      <c r="S229" s="19">
        <f t="shared" si="55"/>
        <v>0</v>
      </c>
      <c r="T229" s="19">
        <f t="shared" si="55"/>
        <v>0</v>
      </c>
      <c r="U229" s="19">
        <f t="shared" si="55"/>
        <v>0</v>
      </c>
      <c r="V229" s="19">
        <f t="shared" si="55"/>
        <v>0</v>
      </c>
      <c r="W229" s="19">
        <f t="shared" si="55"/>
        <v>0</v>
      </c>
      <c r="X229" s="19">
        <f t="shared" si="55"/>
        <v>0</v>
      </c>
      <c r="Y229" s="19">
        <f t="shared" si="55"/>
        <v>0</v>
      </c>
      <c r="Z229" s="187"/>
    </row>
    <row r="230" spans="5:81" ht="15.75">
      <c r="E230" s="183"/>
      <c r="F230" s="184"/>
      <c r="G230" s="184"/>
      <c r="H230" s="1265" t="s">
        <v>349</v>
      </c>
      <c r="I230" s="1266"/>
      <c r="J230" s="1266"/>
      <c r="K230" s="1266"/>
      <c r="L230" s="1266"/>
      <c r="M230" s="211">
        <f>SUM(N230:Y230)</f>
        <v>0</v>
      </c>
      <c r="N230" s="20">
        <f t="shared" ref="N230:Y230" si="56">N91</f>
        <v>0</v>
      </c>
      <c r="O230" s="20">
        <f t="shared" si="56"/>
        <v>0</v>
      </c>
      <c r="P230" s="20">
        <f t="shared" si="56"/>
        <v>0</v>
      </c>
      <c r="Q230" s="20">
        <f t="shared" si="56"/>
        <v>0</v>
      </c>
      <c r="R230" s="20">
        <f t="shared" si="56"/>
        <v>0</v>
      </c>
      <c r="S230" s="20">
        <f t="shared" si="56"/>
        <v>0</v>
      </c>
      <c r="T230" s="20">
        <f t="shared" si="56"/>
        <v>0</v>
      </c>
      <c r="U230" s="20">
        <f t="shared" si="56"/>
        <v>0</v>
      </c>
      <c r="V230" s="20">
        <f t="shared" si="56"/>
        <v>0</v>
      </c>
      <c r="W230" s="20">
        <f t="shared" si="56"/>
        <v>0</v>
      </c>
      <c r="X230" s="20">
        <f t="shared" si="56"/>
        <v>0</v>
      </c>
      <c r="Y230" s="20">
        <f t="shared" si="56"/>
        <v>0</v>
      </c>
      <c r="Z230" s="187"/>
    </row>
    <row r="231" spans="5:81" ht="15.75">
      <c r="E231" s="183"/>
      <c r="F231" s="184"/>
      <c r="G231" s="184"/>
      <c r="H231" s="473"/>
      <c r="I231" s="1266" t="s">
        <v>336</v>
      </c>
      <c r="J231" s="1266"/>
      <c r="K231" s="1266"/>
      <c r="L231" s="1267"/>
      <c r="M231" s="211">
        <f>M229-M230</f>
        <v>0</v>
      </c>
      <c r="N231" s="20">
        <f>N229-N230</f>
        <v>0</v>
      </c>
      <c r="O231" s="20">
        <f t="shared" ref="O231:Y231" si="57">O229-O230</f>
        <v>0</v>
      </c>
      <c r="P231" s="20">
        <f t="shared" si="57"/>
        <v>0</v>
      </c>
      <c r="Q231" s="20">
        <f t="shared" si="57"/>
        <v>0</v>
      </c>
      <c r="R231" s="20">
        <f t="shared" si="57"/>
        <v>0</v>
      </c>
      <c r="S231" s="20">
        <f t="shared" si="57"/>
        <v>0</v>
      </c>
      <c r="T231" s="20">
        <f t="shared" si="57"/>
        <v>0</v>
      </c>
      <c r="U231" s="20">
        <f t="shared" si="57"/>
        <v>0</v>
      </c>
      <c r="V231" s="20">
        <f t="shared" si="57"/>
        <v>0</v>
      </c>
      <c r="W231" s="20">
        <f t="shared" si="57"/>
        <v>0</v>
      </c>
      <c r="X231" s="20">
        <f t="shared" si="57"/>
        <v>0</v>
      </c>
      <c r="Y231" s="20">
        <f t="shared" si="57"/>
        <v>0</v>
      </c>
      <c r="Z231" s="187"/>
    </row>
    <row r="232" spans="5:81" ht="15.75">
      <c r="E232" s="183"/>
      <c r="F232" s="184"/>
      <c r="G232" s="184"/>
      <c r="H232" s="220"/>
      <c r="I232" s="475"/>
      <c r="J232" s="1330" t="s">
        <v>337</v>
      </c>
      <c r="K232" s="1330"/>
      <c r="L232" s="1330"/>
      <c r="M232" s="1331"/>
      <c r="N232" s="217">
        <f>IF(Y231&gt;0,N231+Y231,N231)</f>
        <v>0</v>
      </c>
      <c r="O232" s="217">
        <f t="shared" ref="O232:Y232" si="58">N232+O231</f>
        <v>0</v>
      </c>
      <c r="P232" s="217">
        <f t="shared" si="58"/>
        <v>0</v>
      </c>
      <c r="Q232" s="217">
        <f t="shared" si="58"/>
        <v>0</v>
      </c>
      <c r="R232" s="217">
        <f t="shared" si="58"/>
        <v>0</v>
      </c>
      <c r="S232" s="217">
        <f t="shared" si="58"/>
        <v>0</v>
      </c>
      <c r="T232" s="217">
        <f t="shared" si="58"/>
        <v>0</v>
      </c>
      <c r="U232" s="217">
        <f t="shared" si="58"/>
        <v>0</v>
      </c>
      <c r="V232" s="217">
        <f t="shared" si="58"/>
        <v>0</v>
      </c>
      <c r="W232" s="217">
        <f t="shared" si="58"/>
        <v>0</v>
      </c>
      <c r="X232" s="217">
        <f t="shared" si="58"/>
        <v>0</v>
      </c>
      <c r="Y232" s="217">
        <f t="shared" si="58"/>
        <v>0</v>
      </c>
      <c r="Z232" s="187"/>
    </row>
    <row r="233" spans="5:81" ht="15.75">
      <c r="E233" s="183"/>
      <c r="F233" s="184"/>
      <c r="G233" s="184"/>
      <c r="H233" s="221"/>
      <c r="I233" s="1118"/>
      <c r="J233" s="1330" t="s">
        <v>824</v>
      </c>
      <c r="K233" s="1330"/>
      <c r="L233" s="1330"/>
      <c r="M233" s="1331"/>
      <c r="N233" s="1120" t="e">
        <f t="shared" ref="N233:Y233" si="59">N229/N230</f>
        <v>#DIV/0!</v>
      </c>
      <c r="O233" s="1119" t="e">
        <f t="shared" si="59"/>
        <v>#DIV/0!</v>
      </c>
      <c r="P233" s="1119" t="e">
        <f t="shared" si="59"/>
        <v>#DIV/0!</v>
      </c>
      <c r="Q233" s="1119" t="e">
        <f t="shared" si="59"/>
        <v>#DIV/0!</v>
      </c>
      <c r="R233" s="1119" t="e">
        <f t="shared" si="59"/>
        <v>#DIV/0!</v>
      </c>
      <c r="S233" s="1119" t="e">
        <f t="shared" si="59"/>
        <v>#DIV/0!</v>
      </c>
      <c r="T233" s="1119" t="e">
        <f t="shared" si="59"/>
        <v>#DIV/0!</v>
      </c>
      <c r="U233" s="1119" t="e">
        <f t="shared" si="59"/>
        <v>#DIV/0!</v>
      </c>
      <c r="V233" s="1119" t="e">
        <f t="shared" si="59"/>
        <v>#DIV/0!</v>
      </c>
      <c r="W233" s="1119" t="e">
        <f t="shared" si="59"/>
        <v>#DIV/0!</v>
      </c>
      <c r="X233" s="1119" t="e">
        <f t="shared" si="59"/>
        <v>#DIV/0!</v>
      </c>
      <c r="Y233" s="1119" t="e">
        <f t="shared" si="59"/>
        <v>#DIV/0!</v>
      </c>
      <c r="Z233" s="187"/>
    </row>
    <row r="234" spans="5:81" ht="15.75">
      <c r="E234" s="216"/>
      <c r="F234" s="184"/>
      <c r="G234" s="184"/>
      <c r="H234" s="472" t="s">
        <v>833</v>
      </c>
      <c r="I234" s="475"/>
      <c r="J234" s="475"/>
      <c r="K234" s="475"/>
      <c r="L234" s="475"/>
      <c r="M234" s="213"/>
      <c r="N234" s="214"/>
      <c r="O234" s="214"/>
      <c r="P234" s="214"/>
      <c r="Q234" s="214"/>
      <c r="R234" s="214"/>
      <c r="S234" s="214"/>
      <c r="T234" s="214"/>
      <c r="U234" s="214"/>
      <c r="V234" s="214"/>
      <c r="W234" s="214"/>
      <c r="X234" s="214"/>
      <c r="Y234" s="212"/>
      <c r="Z234" s="187"/>
    </row>
    <row r="235" spans="5:81" ht="15.75">
      <c r="E235" s="216"/>
      <c r="F235" s="184"/>
      <c r="G235" s="184"/>
      <c r="H235" s="1265" t="s">
        <v>351</v>
      </c>
      <c r="I235" s="1266"/>
      <c r="J235" s="1266"/>
      <c r="K235" s="1266"/>
      <c r="L235" s="1267"/>
      <c r="M235" s="211">
        <f>SUM(N235:Y235)</f>
        <v>0</v>
      </c>
      <c r="N235" s="20">
        <f t="shared" ref="N235:Y235" si="60">SUBTOTAL(109,N199:N204)</f>
        <v>0</v>
      </c>
      <c r="O235" s="20">
        <f t="shared" si="60"/>
        <v>0</v>
      </c>
      <c r="P235" s="20">
        <f t="shared" si="60"/>
        <v>0</v>
      </c>
      <c r="Q235" s="20">
        <f t="shared" si="60"/>
        <v>0</v>
      </c>
      <c r="R235" s="20">
        <f t="shared" si="60"/>
        <v>0</v>
      </c>
      <c r="S235" s="20">
        <f t="shared" si="60"/>
        <v>0</v>
      </c>
      <c r="T235" s="20">
        <f t="shared" si="60"/>
        <v>0</v>
      </c>
      <c r="U235" s="20">
        <f t="shared" si="60"/>
        <v>0</v>
      </c>
      <c r="V235" s="20">
        <f t="shared" si="60"/>
        <v>0</v>
      </c>
      <c r="W235" s="20">
        <f t="shared" si="60"/>
        <v>0</v>
      </c>
      <c r="X235" s="20">
        <f t="shared" si="60"/>
        <v>0</v>
      </c>
      <c r="Y235" s="20">
        <f t="shared" si="60"/>
        <v>0</v>
      </c>
      <c r="Z235" s="187"/>
    </row>
    <row r="236" spans="5:81" ht="15.75">
      <c r="E236" s="216"/>
      <c r="F236" s="184"/>
      <c r="G236" s="184"/>
      <c r="H236" s="1265" t="s">
        <v>352</v>
      </c>
      <c r="I236" s="1266"/>
      <c r="J236" s="1266"/>
      <c r="K236" s="1266"/>
      <c r="L236" s="1266"/>
      <c r="M236" s="211">
        <f>SUM(N236:Y236)</f>
        <v>0</v>
      </c>
      <c r="N236" s="20">
        <f t="shared" ref="N236:Y236" si="61">N92</f>
        <v>0</v>
      </c>
      <c r="O236" s="20">
        <f t="shared" si="61"/>
        <v>0</v>
      </c>
      <c r="P236" s="20">
        <f t="shared" si="61"/>
        <v>0</v>
      </c>
      <c r="Q236" s="20">
        <f t="shared" si="61"/>
        <v>0</v>
      </c>
      <c r="R236" s="20">
        <f t="shared" si="61"/>
        <v>0</v>
      </c>
      <c r="S236" s="20">
        <f t="shared" si="61"/>
        <v>0</v>
      </c>
      <c r="T236" s="20">
        <f t="shared" si="61"/>
        <v>0</v>
      </c>
      <c r="U236" s="20">
        <f t="shared" si="61"/>
        <v>0</v>
      </c>
      <c r="V236" s="20">
        <f t="shared" si="61"/>
        <v>0</v>
      </c>
      <c r="W236" s="20">
        <f t="shared" si="61"/>
        <v>0</v>
      </c>
      <c r="X236" s="20">
        <f t="shared" si="61"/>
        <v>0</v>
      </c>
      <c r="Y236" s="20">
        <f t="shared" si="61"/>
        <v>0</v>
      </c>
      <c r="Z236" s="187"/>
    </row>
    <row r="237" spans="5:81" ht="15.75">
      <c r="E237" s="216"/>
      <c r="F237" s="184"/>
      <c r="G237" s="184"/>
      <c r="H237" s="473"/>
      <c r="I237" s="1266" t="s">
        <v>336</v>
      </c>
      <c r="J237" s="1266"/>
      <c r="K237" s="1266"/>
      <c r="L237" s="1267"/>
      <c r="M237" s="211">
        <f>SUM(N237:Y237)</f>
        <v>0</v>
      </c>
      <c r="N237" s="20">
        <f>N235-N236</f>
        <v>0</v>
      </c>
      <c r="O237" s="20">
        <f t="shared" ref="O237:Y237" si="62">O235-O236</f>
        <v>0</v>
      </c>
      <c r="P237" s="20">
        <f t="shared" si="62"/>
        <v>0</v>
      </c>
      <c r="Q237" s="20">
        <f t="shared" si="62"/>
        <v>0</v>
      </c>
      <c r="R237" s="20">
        <f t="shared" si="62"/>
        <v>0</v>
      </c>
      <c r="S237" s="20">
        <f t="shared" si="62"/>
        <v>0</v>
      </c>
      <c r="T237" s="20">
        <f t="shared" si="62"/>
        <v>0</v>
      </c>
      <c r="U237" s="20">
        <f t="shared" si="62"/>
        <v>0</v>
      </c>
      <c r="V237" s="20">
        <f t="shared" si="62"/>
        <v>0</v>
      </c>
      <c r="W237" s="20">
        <f t="shared" si="62"/>
        <v>0</v>
      </c>
      <c r="X237" s="20">
        <f t="shared" si="62"/>
        <v>0</v>
      </c>
      <c r="Y237" s="20">
        <f t="shared" si="62"/>
        <v>0</v>
      </c>
      <c r="Z237" s="187"/>
    </row>
    <row r="238" spans="5:81" ht="15.75">
      <c r="E238" s="216"/>
      <c r="F238" s="184"/>
      <c r="G238" s="184"/>
      <c r="H238" s="221"/>
      <c r="I238" s="474"/>
      <c r="J238" s="1266" t="s">
        <v>337</v>
      </c>
      <c r="K238" s="1266"/>
      <c r="L238" s="1266"/>
      <c r="M238" s="1267"/>
      <c r="N238" s="217">
        <f>IF(Y237&gt;0,N237+Y237,N237)</f>
        <v>0</v>
      </c>
      <c r="O238" s="217">
        <f>N238+O237</f>
        <v>0</v>
      </c>
      <c r="P238" s="217">
        <f>O238+P237</f>
        <v>0</v>
      </c>
      <c r="Q238" s="217">
        <f t="shared" ref="Q238" si="63">P238+Q237</f>
        <v>0</v>
      </c>
      <c r="R238" s="217">
        <f t="shared" ref="R238" si="64">Q238+R237</f>
        <v>0</v>
      </c>
      <c r="S238" s="217">
        <f t="shared" ref="S238" si="65">R238+S237</f>
        <v>0</v>
      </c>
      <c r="T238" s="217">
        <f t="shared" ref="T238" si="66">S238+T237</f>
        <v>0</v>
      </c>
      <c r="U238" s="217">
        <f t="shared" ref="U238" si="67">T238+U237</f>
        <v>0</v>
      </c>
      <c r="V238" s="217">
        <f t="shared" ref="V238" si="68">U238+V237</f>
        <v>0</v>
      </c>
      <c r="W238" s="217">
        <f t="shared" ref="W238" si="69">V238+W237</f>
        <v>0</v>
      </c>
      <c r="X238" s="217">
        <f t="shared" ref="X238" si="70">W238+X237</f>
        <v>0</v>
      </c>
      <c r="Y238" s="217">
        <f t="shared" ref="Y238" si="71">X238+Y237</f>
        <v>0</v>
      </c>
      <c r="Z238" s="187"/>
    </row>
    <row r="239" spans="5:81" ht="15.75">
      <c r="E239" s="264"/>
      <c r="F239" s="184"/>
      <c r="G239" s="184"/>
      <c r="H239" s="472"/>
      <c r="I239" s="474"/>
      <c r="J239" s="474"/>
      <c r="K239" s="1255" t="s">
        <v>924</v>
      </c>
      <c r="L239" s="474"/>
      <c r="M239" s="215"/>
      <c r="N239" s="1256" t="e">
        <f>(N229+N235)/(N230+N236)</f>
        <v>#DIV/0!</v>
      </c>
      <c r="O239" s="1256" t="e">
        <f t="shared" ref="O239:Y239" si="72">(O229+O235)/(O230+O236)</f>
        <v>#DIV/0!</v>
      </c>
      <c r="P239" s="1256" t="e">
        <f t="shared" si="72"/>
        <v>#DIV/0!</v>
      </c>
      <c r="Q239" s="1256" t="e">
        <f t="shared" si="72"/>
        <v>#DIV/0!</v>
      </c>
      <c r="R239" s="1256" t="e">
        <f t="shared" si="72"/>
        <v>#DIV/0!</v>
      </c>
      <c r="S239" s="1256" t="e">
        <f t="shared" si="72"/>
        <v>#DIV/0!</v>
      </c>
      <c r="T239" s="1256" t="e">
        <f t="shared" si="72"/>
        <v>#DIV/0!</v>
      </c>
      <c r="U239" s="1256" t="e">
        <f t="shared" si="72"/>
        <v>#DIV/0!</v>
      </c>
      <c r="V239" s="1256" t="e">
        <f t="shared" si="72"/>
        <v>#DIV/0!</v>
      </c>
      <c r="W239" s="1256" t="e">
        <f t="shared" si="72"/>
        <v>#DIV/0!</v>
      </c>
      <c r="X239" s="1256" t="e">
        <f t="shared" si="72"/>
        <v>#DIV/0!</v>
      </c>
      <c r="Y239" s="1256" t="e">
        <f t="shared" si="72"/>
        <v>#DIV/0!</v>
      </c>
      <c r="Z239" s="187"/>
    </row>
    <row r="240" spans="5:81" ht="15.75">
      <c r="E240" s="183"/>
      <c r="F240" s="184"/>
      <c r="G240" s="240"/>
      <c r="H240" s="1265" t="s">
        <v>353</v>
      </c>
      <c r="I240" s="1266"/>
      <c r="J240" s="1266"/>
      <c r="K240" s="1266"/>
      <c r="L240" s="1267"/>
      <c r="M240" s="239" t="s">
        <v>355</v>
      </c>
      <c r="N240" s="225" t="s">
        <v>355</v>
      </c>
      <c r="O240" s="225" t="s">
        <v>355</v>
      </c>
      <c r="P240" s="225" t="s">
        <v>355</v>
      </c>
      <c r="Q240" s="225" t="s">
        <v>355</v>
      </c>
      <c r="R240" s="225" t="s">
        <v>355</v>
      </c>
      <c r="S240" s="225" t="s">
        <v>355</v>
      </c>
      <c r="T240" s="225" t="s">
        <v>355</v>
      </c>
      <c r="U240" s="225" t="s">
        <v>355</v>
      </c>
      <c r="V240" s="225" t="s">
        <v>355</v>
      </c>
      <c r="W240" s="225" t="s">
        <v>355</v>
      </c>
      <c r="X240" s="225" t="s">
        <v>355</v>
      </c>
      <c r="Y240" s="225" t="s">
        <v>355</v>
      </c>
      <c r="Z240" s="187"/>
    </row>
    <row r="241" spans="5:81" ht="15.75">
      <c r="E241" s="216"/>
      <c r="F241" s="184"/>
      <c r="G241" s="184"/>
      <c r="H241" s="1265" t="s">
        <v>354</v>
      </c>
      <c r="I241" s="1266"/>
      <c r="J241" s="1266"/>
      <c r="K241" s="1266"/>
      <c r="L241" s="1266"/>
      <c r="M241" s="211">
        <f>SUM(N241:Y241)</f>
        <v>0</v>
      </c>
      <c r="N241" s="20">
        <f t="shared" ref="N241:Y241" si="73">N93</f>
        <v>0</v>
      </c>
      <c r="O241" s="20">
        <f t="shared" si="73"/>
        <v>0</v>
      </c>
      <c r="P241" s="20">
        <f t="shared" si="73"/>
        <v>0</v>
      </c>
      <c r="Q241" s="20">
        <f t="shared" si="73"/>
        <v>0</v>
      </c>
      <c r="R241" s="20">
        <f t="shared" si="73"/>
        <v>0</v>
      </c>
      <c r="S241" s="20">
        <f t="shared" si="73"/>
        <v>0</v>
      </c>
      <c r="T241" s="20">
        <f t="shared" si="73"/>
        <v>0</v>
      </c>
      <c r="U241" s="20">
        <f t="shared" si="73"/>
        <v>0</v>
      </c>
      <c r="V241" s="20">
        <f t="shared" si="73"/>
        <v>0</v>
      </c>
      <c r="W241" s="20">
        <f t="shared" si="73"/>
        <v>0</v>
      </c>
      <c r="X241" s="20">
        <f t="shared" si="73"/>
        <v>0</v>
      </c>
      <c r="Y241" s="20">
        <f t="shared" si="73"/>
        <v>0</v>
      </c>
      <c r="Z241" s="187"/>
    </row>
    <row r="242" spans="5:81" ht="15.75">
      <c r="E242" s="183"/>
      <c r="F242" s="184"/>
      <c r="G242" s="184"/>
      <c r="H242" s="545"/>
      <c r="I242" s="222"/>
      <c r="J242" s="222"/>
      <c r="K242" s="222"/>
      <c r="L242" s="222"/>
      <c r="M242" s="215"/>
      <c r="N242" s="223"/>
      <c r="O242" s="223"/>
      <c r="P242" s="223"/>
      <c r="Q242" s="223"/>
      <c r="R242" s="223"/>
      <c r="S242" s="223"/>
      <c r="T242" s="223"/>
      <c r="U242" s="223"/>
      <c r="V242" s="223"/>
      <c r="W242" s="223"/>
      <c r="X242" s="223"/>
      <c r="Y242" s="224"/>
      <c r="Z242" s="187"/>
    </row>
    <row r="243" spans="5:81" ht="15.75" thickBot="1">
      <c r="E243" s="183"/>
      <c r="F243" s="184"/>
      <c r="G243" s="184"/>
      <c r="H243" s="563"/>
      <c r="I243" s="184"/>
      <c r="J243" s="184"/>
      <c r="K243" s="184"/>
      <c r="L243" s="184"/>
      <c r="M243" s="184"/>
      <c r="N243" s="184"/>
      <c r="O243" s="184"/>
      <c r="P243" s="184"/>
      <c r="Q243" s="184"/>
      <c r="R243" s="896"/>
      <c r="S243" s="896"/>
      <c r="T243" s="896"/>
      <c r="U243" s="896"/>
      <c r="V243" s="896"/>
      <c r="W243" s="896"/>
      <c r="X243" s="184"/>
      <c r="Y243" s="184"/>
      <c r="Z243" s="564"/>
    </row>
    <row r="244" spans="5:81" ht="36" customHeight="1">
      <c r="E244" s="571"/>
      <c r="F244" s="572"/>
      <c r="G244" s="572"/>
      <c r="H244" s="1275" t="s">
        <v>439</v>
      </c>
      <c r="I244" s="1276"/>
      <c r="J244" s="1276"/>
      <c r="K244" s="1276"/>
      <c r="L244" s="1276"/>
      <c r="M244" s="1276"/>
      <c r="N244" s="1276"/>
      <c r="O244" s="1277"/>
      <c r="P244" s="893"/>
      <c r="Q244" s="897"/>
      <c r="R244" s="1257" t="s">
        <v>699</v>
      </c>
      <c r="S244" s="1257"/>
      <c r="T244" s="1257"/>
      <c r="U244" s="1257"/>
      <c r="V244" s="1257"/>
      <c r="W244" s="1258"/>
      <c r="X244" s="184"/>
      <c r="Y244" s="184"/>
      <c r="Z244" s="564"/>
    </row>
    <row r="245" spans="5:81" ht="8.25" customHeight="1">
      <c r="E245" s="183"/>
      <c r="F245" s="184"/>
      <c r="G245" s="565"/>
      <c r="H245" s="547"/>
      <c r="I245" s="548"/>
      <c r="J245" s="549"/>
      <c r="K245" s="550"/>
      <c r="L245" s="551"/>
      <c r="M245" s="423"/>
      <c r="N245" s="424"/>
      <c r="O245" s="552"/>
      <c r="P245" s="894"/>
      <c r="Q245" s="897"/>
      <c r="R245" s="184"/>
      <c r="S245" s="184"/>
      <c r="T245" s="184"/>
      <c r="U245" s="184"/>
      <c r="V245" s="184"/>
      <c r="W245" s="899"/>
      <c r="X245" s="184"/>
      <c r="Y245" s="184"/>
      <c r="Z245" s="564"/>
    </row>
    <row r="246" spans="5:81" ht="18" customHeight="1">
      <c r="E246" s="183"/>
      <c r="F246" s="184"/>
      <c r="G246" s="184"/>
      <c r="H246" s="1288" t="s">
        <v>236</v>
      </c>
      <c r="I246" s="1289"/>
      <c r="J246" s="1289"/>
      <c r="K246" s="1289"/>
      <c r="L246" s="1289"/>
      <c r="M246" s="1289"/>
      <c r="N246" s="573">
        <f>M230+M236+M241</f>
        <v>0</v>
      </c>
      <c r="O246" s="560" t="s">
        <v>493</v>
      </c>
      <c r="P246" s="895"/>
      <c r="Q246" s="898"/>
      <c r="R246" s="1326" t="s">
        <v>700</v>
      </c>
      <c r="S246" s="1326"/>
      <c r="T246" s="1326"/>
      <c r="U246" s="1326"/>
      <c r="V246" s="1326"/>
      <c r="W246" s="1327"/>
      <c r="X246" s="184"/>
      <c r="Y246" s="184"/>
      <c r="Z246" s="564"/>
      <c r="CB246" s="4"/>
      <c r="CC246" s="126"/>
    </row>
    <row r="247" spans="5:81" ht="8.25" customHeight="1">
      <c r="E247" s="183"/>
      <c r="F247" s="184"/>
      <c r="G247" s="184"/>
      <c r="H247" s="553"/>
      <c r="I247" s="1101"/>
      <c r="J247" s="1101"/>
      <c r="K247" s="1101"/>
      <c r="L247" s="1101"/>
      <c r="M247" s="1101"/>
      <c r="N247" s="546"/>
      <c r="O247" s="560"/>
      <c r="P247" s="895"/>
      <c r="Q247" s="897"/>
      <c r="R247" s="1326"/>
      <c r="S247" s="1326"/>
      <c r="T247" s="1326"/>
      <c r="U247" s="1326"/>
      <c r="V247" s="1326"/>
      <c r="W247" s="1327"/>
      <c r="X247" s="184"/>
      <c r="Y247" s="184"/>
      <c r="Z247" s="564"/>
      <c r="CB247" s="4"/>
      <c r="CC247" s="126"/>
    </row>
    <row r="248" spans="5:81" ht="18" customHeight="1">
      <c r="E248" s="183"/>
      <c r="F248" s="184"/>
      <c r="G248" s="184"/>
      <c r="H248" s="1284" t="s">
        <v>515</v>
      </c>
      <c r="I248" s="1272"/>
      <c r="J248" s="1272"/>
      <c r="K248" s="1272"/>
      <c r="L248" s="1272"/>
      <c r="M248" s="1272"/>
      <c r="N248" s="573">
        <f>M229+M235</f>
        <v>0</v>
      </c>
      <c r="O248" s="560" t="s">
        <v>493</v>
      </c>
      <c r="P248" s="895"/>
      <c r="Q248" s="897"/>
      <c r="R248" s="1326"/>
      <c r="S248" s="1326"/>
      <c r="T248" s="1326"/>
      <c r="U248" s="1326"/>
      <c r="V248" s="1326"/>
      <c r="W248" s="1327"/>
      <c r="X248" s="184"/>
      <c r="Y248" s="184"/>
      <c r="Z248" s="564"/>
      <c r="CB248" s="4"/>
      <c r="CC248" s="126"/>
    </row>
    <row r="249" spans="5:81" ht="18" customHeight="1">
      <c r="E249" s="183"/>
      <c r="F249" s="184"/>
      <c r="G249" s="184"/>
      <c r="H249" s="553"/>
      <c r="I249" s="1283" t="s">
        <v>495</v>
      </c>
      <c r="J249" s="1283"/>
      <c r="K249" s="1283"/>
      <c r="L249" s="1283"/>
      <c r="M249" s="1283"/>
      <c r="N249" s="546"/>
      <c r="O249" s="560"/>
      <c r="P249" s="895"/>
      <c r="Q249" s="897"/>
      <c r="R249" s="184"/>
      <c r="S249" s="184"/>
      <c r="T249" s="184"/>
      <c r="U249" s="184"/>
      <c r="V249" s="184"/>
      <c r="W249" s="899"/>
      <c r="X249" s="184"/>
      <c r="Y249" s="184"/>
      <c r="Z249" s="564"/>
      <c r="CB249" s="4"/>
      <c r="CC249" s="126"/>
    </row>
    <row r="250" spans="5:81" ht="18" customHeight="1">
      <c r="E250" s="183"/>
      <c r="F250" s="184"/>
      <c r="G250" s="184"/>
      <c r="H250" s="1284" t="s">
        <v>507</v>
      </c>
      <c r="I250" s="1272"/>
      <c r="J250" s="1272"/>
      <c r="K250" s="1272"/>
      <c r="L250" s="1272"/>
      <c r="M250" s="1272"/>
      <c r="N250" s="573">
        <f>N248-N246</f>
        <v>0</v>
      </c>
      <c r="O250" s="560" t="s">
        <v>493</v>
      </c>
      <c r="P250" s="895"/>
      <c r="Q250" s="897"/>
      <c r="R250" s="184"/>
      <c r="S250" s="184"/>
      <c r="T250" s="184"/>
      <c r="U250" s="184"/>
      <c r="V250" s="184"/>
      <c r="W250" s="899"/>
      <c r="X250" s="184"/>
      <c r="Y250" s="184"/>
      <c r="Z250" s="564"/>
      <c r="CB250" s="4"/>
      <c r="CC250" s="126"/>
    </row>
    <row r="251" spans="5:81" ht="8.25" customHeight="1">
      <c r="E251" s="183"/>
      <c r="F251" s="184"/>
      <c r="G251" s="184"/>
      <c r="H251" s="555"/>
      <c r="I251" s="556"/>
      <c r="J251" s="556"/>
      <c r="K251" s="556"/>
      <c r="L251" s="556"/>
      <c r="M251" s="556"/>
      <c r="N251" s="425"/>
      <c r="O251" s="557"/>
      <c r="P251" s="895"/>
      <c r="Q251" s="897"/>
      <c r="R251" s="184"/>
      <c r="S251" s="184"/>
      <c r="T251" s="184"/>
      <c r="U251" s="184"/>
      <c r="V251" s="184"/>
      <c r="W251" s="899"/>
      <c r="X251" s="184"/>
      <c r="Y251" s="184"/>
      <c r="Z251" s="564"/>
      <c r="CB251" s="4"/>
      <c r="CC251" s="126"/>
    </row>
    <row r="252" spans="5:81" ht="15.75" customHeight="1">
      <c r="E252" s="183"/>
      <c r="F252" s="184"/>
      <c r="G252" s="184"/>
      <c r="H252" s="1278" t="s">
        <v>508</v>
      </c>
      <c r="I252" s="1279"/>
      <c r="J252" s="1279"/>
      <c r="K252" s="1279"/>
      <c r="L252" s="1279"/>
      <c r="M252" s="1279"/>
      <c r="N252" s="1279"/>
      <c r="O252" s="1280"/>
      <c r="P252" s="895"/>
      <c r="Q252" s="897"/>
      <c r="R252" s="184"/>
      <c r="S252" s="184"/>
      <c r="T252" s="184"/>
      <c r="U252" s="184"/>
      <c r="V252" s="184"/>
      <c r="W252" s="899"/>
      <c r="X252" s="184"/>
      <c r="Y252" s="184"/>
      <c r="Z252" s="564"/>
      <c r="CB252" s="4"/>
      <c r="CC252" s="126"/>
    </row>
    <row r="253" spans="5:81" ht="8.25" customHeight="1">
      <c r="E253" s="183"/>
      <c r="F253" s="184"/>
      <c r="G253" s="184"/>
      <c r="H253" s="547"/>
      <c r="I253" s="558"/>
      <c r="J253" s="558"/>
      <c r="K253" s="558"/>
      <c r="L253" s="558"/>
      <c r="M253" s="558"/>
      <c r="N253" s="426"/>
      <c r="O253" s="554"/>
      <c r="P253" s="895"/>
      <c r="Q253" s="897"/>
      <c r="R253" s="184"/>
      <c r="S253" s="184"/>
      <c r="T253" s="184"/>
      <c r="U253" s="184"/>
      <c r="V253" s="184"/>
      <c r="W253" s="899"/>
      <c r="X253" s="184"/>
      <c r="Y253" s="184"/>
      <c r="Z253" s="564"/>
      <c r="CB253" s="4"/>
      <c r="CC253" s="126"/>
    </row>
    <row r="254" spans="5:81" ht="18" customHeight="1">
      <c r="E254" s="183"/>
      <c r="F254" s="184"/>
      <c r="G254" s="184"/>
      <c r="H254" s="553"/>
      <c r="I254" s="1299" t="s">
        <v>516</v>
      </c>
      <c r="J254" s="1299"/>
      <c r="K254" s="1299"/>
      <c r="L254" s="1299"/>
      <c r="M254" s="1299"/>
      <c r="N254" s="1046">
        <f>N224+M185</f>
        <v>0</v>
      </c>
      <c r="O254" s="560" t="s">
        <v>493</v>
      </c>
      <c r="P254" s="894"/>
      <c r="Q254" s="897"/>
      <c r="R254" s="184"/>
      <c r="S254" s="184"/>
      <c r="T254" s="184"/>
      <c r="U254" s="184"/>
      <c r="V254" s="184"/>
      <c r="W254" s="899"/>
      <c r="X254" s="184"/>
      <c r="Y254" s="184"/>
      <c r="Z254" s="564"/>
      <c r="CB254" s="4"/>
      <c r="CC254" s="126"/>
    </row>
    <row r="255" spans="5:81" ht="18" customHeight="1">
      <c r="E255" s="183"/>
      <c r="F255" s="184"/>
      <c r="G255" s="184"/>
      <c r="H255" s="63"/>
      <c r="I255" s="23"/>
      <c r="J255" s="1272" t="s">
        <v>514</v>
      </c>
      <c r="K255" s="1272"/>
      <c r="L255" s="1272"/>
      <c r="M255" s="1285"/>
      <c r="N255" s="574"/>
      <c r="O255" s="559" t="s">
        <v>509</v>
      </c>
      <c r="P255" s="895"/>
      <c r="Q255" s="897"/>
      <c r="R255" s="184"/>
      <c r="S255" s="184"/>
      <c r="T255" s="184"/>
      <c r="U255" s="184"/>
      <c r="V255" s="184"/>
      <c r="W255" s="899"/>
      <c r="X255" s="184"/>
      <c r="Y255" s="184"/>
      <c r="Z255" s="564"/>
      <c r="CB255" s="4"/>
      <c r="CC255" s="126"/>
    </row>
    <row r="256" spans="5:81" ht="18" customHeight="1">
      <c r="E256" s="183"/>
      <c r="F256" s="184"/>
      <c r="G256" s="184"/>
      <c r="H256" s="553"/>
      <c r="I256" s="1272" t="s">
        <v>510</v>
      </c>
      <c r="J256" s="1272"/>
      <c r="K256" s="1272"/>
      <c r="L256" s="1272"/>
      <c r="M256" s="1272"/>
      <c r="N256" s="1046">
        <f>((100-N255)/100)*N254</f>
        <v>0</v>
      </c>
      <c r="O256" s="560" t="s">
        <v>493</v>
      </c>
      <c r="P256" s="895"/>
      <c r="Q256" s="897"/>
      <c r="R256" s="184"/>
      <c r="S256" s="184"/>
      <c r="T256" s="184"/>
      <c r="U256" s="184"/>
      <c r="V256" s="184"/>
      <c r="W256" s="899"/>
      <c r="X256" s="184"/>
      <c r="Y256" s="184"/>
      <c r="Z256" s="564"/>
      <c r="CB256" s="4"/>
      <c r="CC256" s="126"/>
    </row>
    <row r="257" spans="5:81" ht="8.25" customHeight="1">
      <c r="E257" s="183"/>
      <c r="F257" s="184"/>
      <c r="G257" s="184"/>
      <c r="H257" s="553"/>
      <c r="I257" s="1043"/>
      <c r="J257" s="1043"/>
      <c r="K257" s="1043"/>
      <c r="L257" s="1043"/>
      <c r="M257" s="1043"/>
      <c r="N257" s="1046"/>
      <c r="O257" s="560"/>
      <c r="P257" s="895"/>
      <c r="Q257" s="897"/>
      <c r="R257" s="184"/>
      <c r="S257" s="184"/>
      <c r="T257" s="184"/>
      <c r="U257" s="184"/>
      <c r="V257" s="184"/>
      <c r="W257" s="899"/>
      <c r="X257" s="184"/>
      <c r="Y257" s="184"/>
      <c r="Z257" s="564"/>
      <c r="CB257" s="4"/>
      <c r="CC257" s="126"/>
    </row>
    <row r="258" spans="5:81" ht="18" customHeight="1">
      <c r="E258" s="183"/>
      <c r="F258" s="184"/>
      <c r="G258" s="184"/>
      <c r="H258" s="553"/>
      <c r="I258" s="1281" t="s">
        <v>494</v>
      </c>
      <c r="J258" s="1281"/>
      <c r="K258" s="1281"/>
      <c r="L258" s="1281"/>
      <c r="M258" s="1282"/>
      <c r="N258" s="575">
        <v>0</v>
      </c>
      <c r="O258" s="560" t="s">
        <v>493</v>
      </c>
      <c r="P258" s="895"/>
      <c r="Q258" s="897"/>
      <c r="R258" s="563"/>
      <c r="S258" s="184"/>
      <c r="T258" s="184"/>
      <c r="U258" s="184"/>
      <c r="V258" s="184"/>
      <c r="W258" s="899"/>
      <c r="X258" s="184"/>
      <c r="Y258" s="184"/>
      <c r="Z258" s="564"/>
      <c r="CB258" s="4"/>
      <c r="CC258" s="126"/>
    </row>
    <row r="259" spans="5:81" ht="18" customHeight="1">
      <c r="E259" s="183"/>
      <c r="F259" s="184"/>
      <c r="G259" s="184"/>
      <c r="H259" s="553"/>
      <c r="I259" s="1044"/>
      <c r="J259" s="1281" t="s">
        <v>514</v>
      </c>
      <c r="K259" s="1281"/>
      <c r="L259" s="1281"/>
      <c r="M259" s="1282"/>
      <c r="N259" s="576">
        <v>0</v>
      </c>
      <c r="O259" s="560" t="s">
        <v>509</v>
      </c>
      <c r="P259" s="895"/>
      <c r="Q259" s="897"/>
      <c r="R259" s="563"/>
      <c r="S259" s="184"/>
      <c r="T259" s="184"/>
      <c r="U259" s="184"/>
      <c r="V259" s="184"/>
      <c r="W259" s="899"/>
      <c r="X259" s="184"/>
      <c r="Y259" s="184"/>
      <c r="Z259" s="564"/>
      <c r="CB259" s="4"/>
      <c r="CC259" s="126"/>
    </row>
    <row r="260" spans="5:81" ht="18" customHeight="1">
      <c r="E260" s="183"/>
      <c r="F260" s="184"/>
      <c r="G260" s="184"/>
      <c r="H260" s="63"/>
      <c r="I260" s="67"/>
      <c r="J260" s="23"/>
      <c r="K260" s="1272" t="s">
        <v>511</v>
      </c>
      <c r="L260" s="1272"/>
      <c r="M260" s="1272"/>
      <c r="N260" s="1046">
        <f>((100-N259)/100)*N258</f>
        <v>0</v>
      </c>
      <c r="O260" s="560" t="s">
        <v>493</v>
      </c>
      <c r="P260" s="895"/>
      <c r="Q260" s="897"/>
      <c r="R260" s="964"/>
      <c r="S260" s="184"/>
      <c r="T260" s="184"/>
      <c r="U260" s="184"/>
      <c r="V260" s="184"/>
      <c r="W260" s="899"/>
      <c r="X260" s="184"/>
      <c r="Y260" s="184"/>
      <c r="Z260" s="564"/>
      <c r="CB260" s="4"/>
      <c r="CC260" s="126"/>
    </row>
    <row r="261" spans="5:81" ht="8.25" customHeight="1">
      <c r="E261" s="183"/>
      <c r="F261" s="184"/>
      <c r="G261" s="184"/>
      <c r="H261" s="553"/>
      <c r="I261" s="67"/>
      <c r="J261" s="66"/>
      <c r="K261" s="64"/>
      <c r="L261" s="65"/>
      <c r="M261" s="54"/>
      <c r="N261" s="1046"/>
      <c r="O261" s="560"/>
      <c r="P261" s="184"/>
      <c r="Q261" s="897"/>
      <c r="R261" s="184"/>
      <c r="S261" s="184"/>
      <c r="T261" s="184"/>
      <c r="U261" s="184"/>
      <c r="V261" s="184"/>
      <c r="W261" s="899"/>
      <c r="X261" s="184"/>
      <c r="Y261" s="184"/>
      <c r="Z261" s="564"/>
      <c r="CB261" s="4"/>
      <c r="CC261" s="126"/>
    </row>
    <row r="262" spans="5:81" ht="18" customHeight="1" thickBot="1">
      <c r="E262" s="183"/>
      <c r="F262" s="184"/>
      <c r="G262" s="184"/>
      <c r="H262" s="1284" t="s">
        <v>264</v>
      </c>
      <c r="I262" s="1272"/>
      <c r="J262" s="1272"/>
      <c r="K262" s="1272"/>
      <c r="L262" s="1272"/>
      <c r="M262" s="1285"/>
      <c r="N262" s="575"/>
      <c r="O262" s="560" t="s">
        <v>493</v>
      </c>
      <c r="P262" s="184"/>
      <c r="Q262" s="897"/>
      <c r="R262" s="900"/>
      <c r="S262" s="901"/>
      <c r="T262" s="901"/>
      <c r="U262" s="901"/>
      <c r="V262" s="901"/>
      <c r="W262" s="902"/>
      <c r="X262" s="184"/>
      <c r="Y262" s="184"/>
      <c r="Z262" s="564"/>
      <c r="CB262" s="4"/>
      <c r="CC262" s="126"/>
    </row>
    <row r="263" spans="5:81" ht="18" customHeight="1">
      <c r="E263" s="183"/>
      <c r="F263" s="184"/>
      <c r="G263" s="184"/>
      <c r="H263" s="1045"/>
      <c r="I263" s="1043"/>
      <c r="J263" s="1281" t="s">
        <v>514</v>
      </c>
      <c r="K263" s="1281"/>
      <c r="L263" s="1281"/>
      <c r="M263" s="1282"/>
      <c r="N263" s="577"/>
      <c r="O263" s="560" t="s">
        <v>509</v>
      </c>
      <c r="P263" s="184"/>
      <c r="Q263" s="184"/>
      <c r="R263" s="184"/>
      <c r="S263" s="184"/>
      <c r="T263" s="184"/>
      <c r="U263" s="184"/>
      <c r="V263" s="184"/>
      <c r="W263" s="184"/>
      <c r="X263" s="184"/>
      <c r="Y263" s="1245"/>
      <c r="Z263" s="564"/>
      <c r="CB263" s="4"/>
      <c r="CC263" s="126"/>
    </row>
    <row r="264" spans="5:81" ht="18" customHeight="1">
      <c r="E264" s="183"/>
      <c r="F264" s="184"/>
      <c r="G264" s="184"/>
      <c r="H264" s="553"/>
      <c r="I264" s="1043"/>
      <c r="J264" s="23"/>
      <c r="K264" s="1272" t="s">
        <v>512</v>
      </c>
      <c r="L264" s="1272"/>
      <c r="M264" s="1272"/>
      <c r="N264" s="1046">
        <f>((100-N263)/100)*N262</f>
        <v>0</v>
      </c>
      <c r="O264" s="560" t="s">
        <v>493</v>
      </c>
      <c r="P264" s="184"/>
      <c r="Q264" s="184"/>
      <c r="R264" s="184"/>
      <c r="S264" s="184"/>
      <c r="T264" s="184"/>
      <c r="U264" s="184"/>
      <c r="V264" s="184"/>
      <c r="W264" s="184"/>
      <c r="X264" s="184"/>
      <c r="Y264" s="184"/>
      <c r="Z264" s="564"/>
      <c r="CB264" s="4"/>
      <c r="CC264" s="126"/>
    </row>
    <row r="265" spans="5:81" ht="18" customHeight="1">
      <c r="E265" s="183"/>
      <c r="F265" s="184"/>
      <c r="G265" s="184"/>
      <c r="H265" s="561"/>
      <c r="I265" s="556"/>
      <c r="J265" s="562"/>
      <c r="K265" s="1286"/>
      <c r="L265" s="1286"/>
      <c r="M265" s="1286"/>
      <c r="N265" s="1286"/>
      <c r="O265" s="1287"/>
      <c r="P265" s="184"/>
      <c r="Q265" s="184"/>
      <c r="R265" s="184"/>
      <c r="S265" s="184"/>
      <c r="T265" s="184"/>
      <c r="U265" s="184"/>
      <c r="V265" s="184"/>
      <c r="W265" s="184"/>
      <c r="X265" s="184"/>
      <c r="Y265" s="184"/>
      <c r="Z265" s="564"/>
      <c r="CB265" s="4"/>
      <c r="CC265" s="126"/>
    </row>
    <row r="266" spans="5:81" ht="15.75" customHeight="1">
      <c r="E266" s="183"/>
      <c r="F266" s="184"/>
      <c r="G266" s="184"/>
      <c r="H266" s="567"/>
      <c r="I266" s="568"/>
      <c r="J266" s="184"/>
      <c r="K266" s="568"/>
      <c r="L266" s="568"/>
      <c r="M266" s="568"/>
      <c r="N266" s="569"/>
      <c r="O266" s="570"/>
      <c r="P266" s="184"/>
      <c r="Q266" s="184"/>
      <c r="R266" s="184"/>
      <c r="S266" s="184"/>
      <c r="T266" s="184"/>
      <c r="U266" s="184"/>
      <c r="V266" s="184"/>
      <c r="W266" s="184"/>
      <c r="X266" s="184"/>
      <c r="Y266" s="184"/>
      <c r="Z266" s="564"/>
      <c r="CB266" s="4"/>
      <c r="CC266" s="126"/>
    </row>
    <row r="267" spans="5:81" ht="18" customHeight="1">
      <c r="E267" s="183"/>
      <c r="F267" s="184"/>
      <c r="G267" s="184"/>
      <c r="H267" s="1273" t="s">
        <v>513</v>
      </c>
      <c r="I267" s="1274"/>
      <c r="J267" s="1274"/>
      <c r="K267" s="1274"/>
      <c r="L267" s="1274"/>
      <c r="M267" s="1274"/>
      <c r="N267" s="1246">
        <f>(N248+N256+N260+N264)-N246</f>
        <v>0</v>
      </c>
      <c r="O267" s="1247" t="s">
        <v>493</v>
      </c>
      <c r="P267" s="184"/>
      <c r="Q267" s="184"/>
      <c r="R267" s="184"/>
      <c r="S267" s="184"/>
      <c r="T267" s="184"/>
      <c r="U267" s="184"/>
      <c r="V267" s="184"/>
      <c r="W267" s="184"/>
      <c r="X267" s="184"/>
      <c r="Y267" s="184"/>
      <c r="Z267" s="564"/>
      <c r="CB267" s="4"/>
      <c r="CC267" s="126"/>
    </row>
    <row r="268" spans="5:81">
      <c r="E268" s="183"/>
      <c r="F268" s="184"/>
      <c r="G268" s="184"/>
      <c r="H268" s="578"/>
      <c r="I268" s="184"/>
      <c r="J268" s="184"/>
      <c r="K268" s="184"/>
      <c r="L268" s="184"/>
      <c r="M268" s="184"/>
      <c r="N268" s="184"/>
      <c r="O268" s="184"/>
      <c r="P268" s="184"/>
      <c r="Q268" s="184"/>
      <c r="R268" s="184"/>
      <c r="S268" s="184"/>
      <c r="T268" s="184"/>
      <c r="U268" s="184"/>
      <c r="V268" s="184"/>
      <c r="W268" s="184"/>
      <c r="X268" s="184"/>
      <c r="Y268" s="184"/>
      <c r="Z268" s="564"/>
      <c r="CB268" s="4"/>
      <c r="CC268" s="126"/>
    </row>
    <row r="269" spans="5:81">
      <c r="E269" s="183"/>
      <c r="F269" s="184"/>
      <c r="G269" s="184"/>
      <c r="H269" s="578"/>
      <c r="I269" s="184"/>
      <c r="J269" s="184"/>
      <c r="K269" s="184"/>
      <c r="L269" s="184"/>
      <c r="M269" s="184"/>
      <c r="N269" s="184"/>
      <c r="O269" s="184"/>
      <c r="P269" s="184"/>
      <c r="Q269" s="184"/>
      <c r="R269" s="184"/>
      <c r="S269" s="184"/>
      <c r="T269" s="184"/>
      <c r="U269" s="184"/>
      <c r="V269" s="184"/>
      <c r="W269" s="184"/>
      <c r="X269" s="184"/>
      <c r="Y269" s="184"/>
      <c r="Z269" s="564"/>
      <c r="CB269" s="4"/>
      <c r="CC269" s="126"/>
    </row>
    <row r="270" spans="5:81">
      <c r="E270" s="183"/>
      <c r="F270" s="184"/>
      <c r="G270" s="184"/>
      <c r="H270" s="578"/>
      <c r="I270" s="184"/>
      <c r="J270" s="184"/>
      <c r="K270" s="184"/>
      <c r="L270" s="184"/>
      <c r="M270" s="184"/>
      <c r="N270" s="184"/>
      <c r="O270" s="184"/>
      <c r="P270" s="184"/>
      <c r="Q270" s="184"/>
      <c r="R270" s="184"/>
      <c r="S270" s="184"/>
      <c r="T270" s="184"/>
      <c r="U270" s="184"/>
      <c r="V270" s="184"/>
      <c r="W270" s="184"/>
      <c r="X270" s="184"/>
      <c r="Y270" s="184"/>
      <c r="Z270" s="564"/>
      <c r="CB270" s="4"/>
      <c r="CC270" s="126"/>
    </row>
    <row r="271" spans="5:81">
      <c r="E271" s="183"/>
      <c r="F271" s="184"/>
      <c r="G271" s="184"/>
      <c r="H271" s="578"/>
      <c r="I271" s="184"/>
      <c r="J271" s="184"/>
      <c r="K271" s="184"/>
      <c r="L271" s="184"/>
      <c r="M271" s="184"/>
      <c r="N271" s="184"/>
      <c r="O271" s="184"/>
      <c r="P271" s="184"/>
      <c r="Q271" s="184"/>
      <c r="R271" s="184"/>
      <c r="S271" s="184"/>
      <c r="T271" s="184"/>
      <c r="U271" s="184"/>
      <c r="V271" s="184"/>
      <c r="W271" s="184"/>
      <c r="X271" s="184"/>
      <c r="Y271" s="184"/>
      <c r="Z271" s="564"/>
      <c r="CB271" s="4"/>
      <c r="CC271" s="126"/>
    </row>
    <row r="272" spans="5:81">
      <c r="E272" s="183"/>
      <c r="F272" s="184"/>
      <c r="G272" s="578"/>
      <c r="H272" s="184"/>
      <c r="I272" s="184"/>
      <c r="J272" s="184"/>
      <c r="K272" s="184"/>
      <c r="L272" s="184"/>
      <c r="M272" s="184"/>
      <c r="N272" s="184"/>
      <c r="O272" s="184"/>
      <c r="P272" s="184"/>
      <c r="Q272" s="184"/>
      <c r="R272" s="184"/>
      <c r="S272" s="184"/>
      <c r="T272" s="184"/>
      <c r="U272" s="184"/>
      <c r="V272" s="184"/>
      <c r="W272" s="184"/>
      <c r="X272" s="184"/>
      <c r="Y272" s="184"/>
      <c r="Z272" s="564"/>
    </row>
    <row r="273" spans="5:26">
      <c r="E273" s="183"/>
      <c r="F273" s="184"/>
      <c r="G273" s="578"/>
      <c r="H273" s="184"/>
      <c r="I273" s="184"/>
      <c r="J273" s="184"/>
      <c r="K273" s="184"/>
      <c r="L273" s="184"/>
      <c r="M273" s="184"/>
      <c r="N273" s="184"/>
      <c r="O273" s="184"/>
      <c r="P273" s="184"/>
      <c r="Q273" s="184"/>
      <c r="R273" s="184"/>
      <c r="S273" s="184"/>
      <c r="T273" s="184"/>
      <c r="U273" s="184"/>
      <c r="V273" s="184"/>
      <c r="W273" s="563"/>
      <c r="X273" s="184"/>
      <c r="Y273" s="184"/>
      <c r="Z273" s="564"/>
    </row>
    <row r="274" spans="5:26">
      <c r="E274" s="183"/>
      <c r="F274" s="184"/>
      <c r="G274" s="579"/>
      <c r="H274" s="184"/>
      <c r="I274" s="184"/>
      <c r="J274" s="184"/>
      <c r="K274" s="184"/>
      <c r="L274" s="184"/>
      <c r="M274" s="184"/>
      <c r="N274" s="184"/>
      <c r="O274" s="184"/>
      <c r="P274" s="184"/>
      <c r="Q274" s="184"/>
      <c r="R274" s="184"/>
      <c r="S274" s="184"/>
      <c r="T274" s="184"/>
      <c r="U274" s="184"/>
      <c r="V274" s="184"/>
      <c r="W274" s="184"/>
      <c r="X274" s="184"/>
      <c r="Y274" s="184"/>
      <c r="Z274" s="564"/>
    </row>
    <row r="275" spans="5:26">
      <c r="E275" s="183"/>
      <c r="F275" s="184"/>
      <c r="G275" s="578"/>
      <c r="H275" s="184"/>
      <c r="I275" s="184"/>
      <c r="J275" s="184"/>
      <c r="K275" s="184"/>
      <c r="L275" s="184"/>
      <c r="M275" s="184"/>
      <c r="N275" s="184"/>
      <c r="O275" s="184"/>
      <c r="P275" s="184"/>
      <c r="Q275" s="184"/>
      <c r="R275" s="184"/>
      <c r="S275" s="184"/>
      <c r="T275" s="184"/>
      <c r="U275" s="184"/>
      <c r="V275" s="184"/>
      <c r="W275" s="184"/>
      <c r="X275" s="184"/>
      <c r="Y275" s="184"/>
      <c r="Z275" s="564"/>
    </row>
    <row r="276" spans="5:26">
      <c r="E276" s="183"/>
      <c r="F276" s="184"/>
      <c r="G276" s="578"/>
      <c r="H276" s="184"/>
      <c r="I276" s="184"/>
      <c r="J276" s="184"/>
      <c r="K276" s="184"/>
      <c r="L276" s="184"/>
      <c r="M276" s="184"/>
      <c r="N276" s="184"/>
      <c r="O276" s="184"/>
      <c r="P276" s="184"/>
      <c r="Q276" s="184"/>
      <c r="R276" s="184"/>
      <c r="S276" s="184"/>
      <c r="T276" s="184"/>
      <c r="U276" s="184"/>
      <c r="V276" s="184"/>
      <c r="W276" s="184"/>
      <c r="X276" s="184"/>
      <c r="Y276" s="184"/>
      <c r="Z276" s="564"/>
    </row>
    <row r="277" spans="5:26">
      <c r="E277" s="183"/>
      <c r="F277" s="184"/>
      <c r="G277" s="578"/>
      <c r="H277" s="184"/>
      <c r="I277" s="184"/>
      <c r="J277" s="184"/>
      <c r="K277" s="184"/>
      <c r="L277" s="184"/>
      <c r="M277" s="184"/>
      <c r="N277" s="184"/>
      <c r="O277" s="184"/>
      <c r="P277" s="184"/>
      <c r="Q277" s="184"/>
      <c r="R277" s="184"/>
      <c r="S277" s="184"/>
      <c r="T277" s="184"/>
      <c r="U277" s="184"/>
      <c r="V277" s="184"/>
      <c r="W277" s="184"/>
      <c r="X277" s="184"/>
      <c r="Y277" s="184"/>
      <c r="Z277" s="564"/>
    </row>
    <row r="278" spans="5:26">
      <c r="E278" s="183"/>
      <c r="F278" s="184"/>
      <c r="G278" s="578"/>
      <c r="H278" s="184"/>
      <c r="I278" s="184"/>
      <c r="J278" s="184"/>
      <c r="K278" s="184"/>
      <c r="L278" s="184"/>
      <c r="M278" s="184"/>
      <c r="N278" s="184"/>
      <c r="O278" s="184"/>
      <c r="P278" s="184"/>
      <c r="Q278" s="184"/>
      <c r="R278" s="184"/>
      <c r="S278" s="184"/>
      <c r="T278" s="184"/>
      <c r="U278" s="184"/>
      <c r="V278" s="184"/>
      <c r="W278" s="184"/>
      <c r="X278" s="184"/>
      <c r="Y278" s="184"/>
      <c r="Z278" s="564"/>
    </row>
    <row r="279" spans="5:26">
      <c r="E279" s="183"/>
      <c r="F279" s="184"/>
      <c r="G279" s="578"/>
      <c r="H279" s="184"/>
      <c r="I279" s="184"/>
      <c r="J279" s="184"/>
      <c r="K279" s="184"/>
      <c r="L279" s="184"/>
      <c r="M279" s="184"/>
      <c r="N279" s="184"/>
      <c r="O279" s="184"/>
      <c r="P279" s="184"/>
      <c r="Q279" s="184"/>
      <c r="R279" s="184"/>
      <c r="S279" s="184"/>
      <c r="T279" s="184"/>
      <c r="U279" s="184"/>
      <c r="V279" s="184"/>
      <c r="W279" s="184"/>
      <c r="X279" s="184"/>
      <c r="Y279" s="184"/>
      <c r="Z279" s="564"/>
    </row>
    <row r="280" spans="5:26">
      <c r="E280" s="183"/>
      <c r="F280" s="184"/>
      <c r="G280" s="578"/>
      <c r="H280" s="184"/>
      <c r="I280" s="184"/>
      <c r="J280" s="184"/>
      <c r="K280" s="184"/>
      <c r="L280" s="184"/>
      <c r="M280" s="184"/>
      <c r="N280" s="184"/>
      <c r="O280" s="184"/>
      <c r="P280" s="184"/>
      <c r="Q280" s="184"/>
      <c r="R280" s="184"/>
      <c r="S280" s="184"/>
      <c r="T280" s="184"/>
      <c r="U280" s="184"/>
      <c r="V280" s="184"/>
      <c r="W280" s="184"/>
      <c r="X280" s="184"/>
      <c r="Y280" s="184"/>
      <c r="Z280" s="564"/>
    </row>
    <row r="281" spans="5:26">
      <c r="E281" s="183"/>
      <c r="F281" s="184"/>
      <c r="G281" s="578"/>
      <c r="H281" s="184"/>
      <c r="I281" s="184"/>
      <c r="J281" s="184"/>
      <c r="K281" s="184"/>
      <c r="L281" s="184"/>
      <c r="M281" s="184"/>
      <c r="N281" s="184"/>
      <c r="O281" s="184"/>
      <c r="P281" s="184"/>
      <c r="Q281" s="184"/>
      <c r="R281" s="184"/>
      <c r="S281" s="184"/>
      <c r="T281" s="184"/>
      <c r="U281" s="184"/>
      <c r="V281" s="184"/>
      <c r="W281" s="184"/>
      <c r="X281" s="184"/>
      <c r="Y281" s="184"/>
      <c r="Z281" s="564"/>
    </row>
    <row r="282" spans="5:26">
      <c r="E282" s="183"/>
      <c r="F282" s="184"/>
      <c r="G282" s="578"/>
      <c r="H282" s="184"/>
      <c r="I282" s="184"/>
      <c r="J282" s="184"/>
      <c r="K282" s="184"/>
      <c r="L282" s="184"/>
      <c r="M282" s="184"/>
      <c r="N282" s="184"/>
      <c r="O282" s="184"/>
      <c r="P282" s="184"/>
      <c r="Q282" s="184"/>
      <c r="R282" s="184"/>
      <c r="S282" s="184"/>
      <c r="T282" s="184"/>
      <c r="U282" s="184"/>
      <c r="V282" s="184"/>
      <c r="W282" s="184"/>
      <c r="X282" s="184"/>
      <c r="Y282" s="184"/>
      <c r="Z282" s="564"/>
    </row>
    <row r="283" spans="5:26">
      <c r="E283" s="183"/>
      <c r="F283" s="184"/>
      <c r="G283" s="578"/>
      <c r="H283" s="184"/>
      <c r="I283" s="184"/>
      <c r="J283" s="184"/>
      <c r="K283" s="184"/>
      <c r="L283" s="184"/>
      <c r="M283" s="184"/>
      <c r="N283" s="184"/>
      <c r="O283" s="184"/>
      <c r="P283" s="184"/>
      <c r="Q283" s="184"/>
      <c r="R283" s="184"/>
      <c r="S283" s="184"/>
      <c r="T283" s="184"/>
      <c r="U283" s="184"/>
      <c r="V283" s="184"/>
      <c r="W283" s="184"/>
      <c r="X283" s="184"/>
      <c r="Y283" s="184"/>
      <c r="Z283" s="564"/>
    </row>
    <row r="284" spans="5:26">
      <c r="E284" s="183"/>
      <c r="F284" s="184"/>
      <c r="G284" s="578"/>
      <c r="H284" s="184"/>
      <c r="I284" s="184"/>
      <c r="J284" s="184"/>
      <c r="K284" s="184"/>
      <c r="L284" s="184"/>
      <c r="M284" s="184"/>
      <c r="N284" s="184"/>
      <c r="O284" s="184"/>
      <c r="P284" s="184"/>
      <c r="Q284" s="184"/>
      <c r="R284" s="184"/>
      <c r="S284" s="184"/>
      <c r="T284" s="184"/>
      <c r="U284" s="184"/>
      <c r="V284" s="184"/>
      <c r="W284" s="184"/>
      <c r="X284" s="184"/>
      <c r="Y284" s="184"/>
      <c r="Z284" s="564"/>
    </row>
    <row r="285" spans="5:26">
      <c r="E285" s="183"/>
      <c r="F285" s="184"/>
      <c r="G285" s="578"/>
      <c r="H285" s="184"/>
      <c r="I285" s="184"/>
      <c r="J285" s="184"/>
      <c r="K285" s="184"/>
      <c r="L285" s="184"/>
      <c r="M285" s="184"/>
      <c r="N285" s="184"/>
      <c r="O285" s="184"/>
      <c r="P285" s="184"/>
      <c r="Q285" s="184"/>
      <c r="R285" s="184"/>
      <c r="S285" s="184"/>
      <c r="T285" s="184"/>
      <c r="U285" s="184"/>
      <c r="V285" s="184"/>
      <c r="W285" s="184"/>
      <c r="X285" s="184"/>
      <c r="Y285" s="184"/>
      <c r="Z285" s="564"/>
    </row>
    <row r="286" spans="5:26">
      <c r="E286" s="183"/>
      <c r="F286" s="184"/>
      <c r="G286" s="578"/>
      <c r="H286" s="184"/>
      <c r="I286" s="184"/>
      <c r="J286" s="184"/>
      <c r="K286" s="184"/>
      <c r="L286" s="184"/>
      <c r="M286" s="184"/>
      <c r="N286" s="184"/>
      <c r="O286" s="184"/>
      <c r="P286" s="184"/>
      <c r="Q286" s="184"/>
      <c r="R286" s="184"/>
      <c r="S286" s="184"/>
      <c r="T286" s="184"/>
      <c r="U286" s="184"/>
      <c r="V286" s="184"/>
      <c r="W286" s="184"/>
      <c r="X286" s="184"/>
      <c r="Y286" s="184"/>
      <c r="Z286" s="564"/>
    </row>
    <row r="287" spans="5:26">
      <c r="E287" s="183"/>
      <c r="F287" s="184"/>
      <c r="G287" s="580"/>
      <c r="H287" s="184"/>
      <c r="I287" s="184"/>
      <c r="J287" s="184"/>
      <c r="K287" s="184"/>
      <c r="L287" s="184"/>
      <c r="M287" s="184"/>
      <c r="N287" s="184"/>
      <c r="O287" s="184"/>
      <c r="P287" s="184"/>
      <c r="Q287" s="184"/>
      <c r="R287" s="184"/>
      <c r="S287" s="184"/>
      <c r="T287" s="184"/>
      <c r="U287" s="184"/>
      <c r="V287" s="184"/>
      <c r="W287" s="184"/>
      <c r="X287" s="184"/>
      <c r="Y287" s="184"/>
      <c r="Z287" s="564"/>
    </row>
    <row r="288" spans="5:26">
      <c r="E288" s="183"/>
      <c r="F288" s="184"/>
      <c r="G288" s="580"/>
      <c r="H288" s="184"/>
      <c r="I288" s="184"/>
      <c r="J288" s="184"/>
      <c r="K288" s="184"/>
      <c r="L288" s="184"/>
      <c r="M288" s="184"/>
      <c r="N288" s="184"/>
      <c r="O288" s="184"/>
      <c r="P288" s="184"/>
      <c r="Q288" s="184"/>
      <c r="R288" s="184"/>
      <c r="S288" s="184"/>
      <c r="T288" s="184"/>
      <c r="U288" s="184"/>
      <c r="V288" s="184"/>
      <c r="W288" s="184"/>
      <c r="X288" s="184"/>
      <c r="Y288" s="184"/>
      <c r="Z288" s="564"/>
    </row>
    <row r="289" spans="5:26">
      <c r="E289" s="183"/>
      <c r="F289" s="184"/>
      <c r="G289" s="578"/>
      <c r="H289" s="184"/>
      <c r="I289" s="184"/>
      <c r="J289" s="184"/>
      <c r="K289" s="184"/>
      <c r="L289" s="184"/>
      <c r="M289" s="184"/>
      <c r="N289" s="184"/>
      <c r="O289" s="184"/>
      <c r="P289" s="184"/>
      <c r="Q289" s="184"/>
      <c r="R289" s="184"/>
      <c r="S289" s="184"/>
      <c r="T289" s="184"/>
      <c r="U289" s="184"/>
      <c r="V289" s="184"/>
      <c r="W289" s="184"/>
      <c r="X289" s="184"/>
      <c r="Y289" s="184"/>
      <c r="Z289" s="564"/>
    </row>
    <row r="290" spans="5:26">
      <c r="E290" s="183"/>
      <c r="F290" s="184"/>
      <c r="G290" s="580"/>
      <c r="H290" s="184"/>
      <c r="I290" s="184"/>
      <c r="J290" s="184"/>
      <c r="K290" s="184"/>
      <c r="L290" s="184"/>
      <c r="M290" s="184"/>
      <c r="N290" s="184"/>
      <c r="O290" s="184"/>
      <c r="P290" s="184"/>
      <c r="Q290" s="184"/>
      <c r="R290" s="184"/>
      <c r="S290" s="184"/>
      <c r="T290" s="184"/>
      <c r="U290" s="184"/>
      <c r="V290" s="184"/>
      <c r="W290" s="184"/>
      <c r="X290" s="184"/>
      <c r="Y290" s="184"/>
      <c r="Z290" s="564"/>
    </row>
    <row r="291" spans="5:26">
      <c r="E291" s="183"/>
      <c r="F291" s="184"/>
      <c r="G291" s="578"/>
      <c r="H291" s="184"/>
      <c r="I291" s="184"/>
      <c r="J291" s="184"/>
      <c r="K291" s="184"/>
      <c r="L291" s="184"/>
      <c r="M291" s="184"/>
      <c r="N291" s="184"/>
      <c r="O291" s="184"/>
      <c r="P291" s="184"/>
      <c r="Q291" s="184"/>
      <c r="R291" s="184"/>
      <c r="S291" s="184"/>
      <c r="T291" s="184"/>
      <c r="U291" s="184"/>
      <c r="V291" s="184"/>
      <c r="W291" s="184"/>
      <c r="X291" s="184"/>
      <c r="Y291" s="184"/>
      <c r="Z291" s="564"/>
    </row>
    <row r="292" spans="5:26">
      <c r="E292" s="183"/>
      <c r="F292" s="184"/>
      <c r="G292" s="579"/>
      <c r="H292" s="184"/>
      <c r="I292" s="184"/>
      <c r="J292" s="184"/>
      <c r="K292" s="184"/>
      <c r="L292" s="184"/>
      <c r="M292" s="184"/>
      <c r="N292" s="184"/>
      <c r="O292" s="184"/>
      <c r="P292" s="184"/>
      <c r="Q292" s="184"/>
      <c r="R292" s="184"/>
      <c r="S292" s="184"/>
      <c r="T292" s="184"/>
      <c r="U292" s="184"/>
      <c r="V292" s="184"/>
      <c r="W292" s="184"/>
      <c r="X292" s="184"/>
      <c r="Y292" s="184"/>
      <c r="Z292" s="564"/>
    </row>
    <row r="293" spans="5:26">
      <c r="E293" s="183"/>
      <c r="F293" s="184"/>
      <c r="G293" s="578"/>
      <c r="H293" s="184"/>
      <c r="I293" s="184"/>
      <c r="J293" s="184"/>
      <c r="K293" s="184"/>
      <c r="L293" s="184"/>
      <c r="M293" s="184"/>
      <c r="N293" s="184"/>
      <c r="O293" s="184"/>
      <c r="P293" s="184"/>
      <c r="Q293" s="184"/>
      <c r="R293" s="184"/>
      <c r="S293" s="184"/>
      <c r="T293" s="184"/>
      <c r="U293" s="184"/>
      <c r="V293" s="184"/>
      <c r="W293" s="184"/>
      <c r="X293" s="184"/>
      <c r="Y293" s="184"/>
      <c r="Z293" s="564"/>
    </row>
    <row r="294" spans="5:26">
      <c r="E294" s="183"/>
      <c r="F294" s="184"/>
      <c r="G294" s="578"/>
      <c r="H294" s="184"/>
      <c r="I294" s="184"/>
      <c r="J294" s="184"/>
      <c r="K294" s="184"/>
      <c r="L294" s="184"/>
      <c r="M294" s="184"/>
      <c r="N294" s="184"/>
      <c r="O294" s="184"/>
      <c r="P294" s="184"/>
      <c r="Q294" s="184"/>
      <c r="R294" s="184"/>
      <c r="S294" s="184"/>
      <c r="T294" s="184"/>
      <c r="U294" s="184"/>
      <c r="V294" s="184"/>
      <c r="W294" s="184"/>
      <c r="X294" s="184"/>
      <c r="Y294" s="184"/>
      <c r="Z294" s="564"/>
    </row>
    <row r="295" spans="5:26">
      <c r="E295" s="183"/>
      <c r="F295" s="184"/>
      <c r="G295" s="578"/>
      <c r="H295" s="184"/>
      <c r="I295" s="184"/>
      <c r="J295" s="184"/>
      <c r="K295" s="184"/>
      <c r="L295" s="184"/>
      <c r="M295" s="184"/>
      <c r="N295" s="184"/>
      <c r="O295" s="184"/>
      <c r="P295" s="184"/>
      <c r="Q295" s="184"/>
      <c r="R295" s="184"/>
      <c r="S295" s="184"/>
      <c r="T295" s="184"/>
      <c r="U295" s="184"/>
      <c r="V295" s="184"/>
      <c r="W295" s="184"/>
      <c r="X295" s="184"/>
      <c r="Y295" s="184"/>
      <c r="Z295" s="564"/>
    </row>
    <row r="296" spans="5:26">
      <c r="E296" s="183"/>
      <c r="F296" s="184"/>
      <c r="G296" s="218"/>
      <c r="H296" s="184"/>
      <c r="I296" s="184"/>
      <c r="J296" s="184"/>
      <c r="K296" s="184"/>
      <c r="L296" s="184"/>
      <c r="M296" s="184"/>
      <c r="N296" s="184"/>
      <c r="O296" s="184"/>
      <c r="P296" s="184"/>
      <c r="Q296" s="184"/>
      <c r="R296" s="184"/>
      <c r="S296" s="184"/>
      <c r="T296" s="184"/>
      <c r="U296" s="184"/>
      <c r="V296" s="184"/>
      <c r="W296" s="184"/>
      <c r="X296" s="184"/>
      <c r="Y296" s="184"/>
      <c r="Z296" s="564"/>
    </row>
    <row r="297" spans="5:26" ht="15.75" customHeight="1">
      <c r="E297" s="183"/>
      <c r="F297" s="184"/>
      <c r="G297" s="563"/>
      <c r="H297" s="184"/>
      <c r="I297" s="184"/>
      <c r="J297" s="184"/>
      <c r="K297" s="184"/>
      <c r="L297" s="184"/>
      <c r="M297" s="184"/>
      <c r="N297" s="184"/>
      <c r="O297" s="184"/>
      <c r="P297" s="184"/>
      <c r="Q297" s="184"/>
      <c r="R297" s="184"/>
      <c r="S297" s="184"/>
      <c r="T297" s="184"/>
      <c r="U297" s="184"/>
      <c r="V297" s="184"/>
      <c r="W297" s="184"/>
      <c r="X297" s="184"/>
      <c r="Y297" s="184"/>
      <c r="Z297" s="564"/>
    </row>
    <row r="298" spans="5:26">
      <c r="E298" s="183"/>
      <c r="F298" s="184"/>
      <c r="G298" s="578"/>
      <c r="H298" s="184"/>
      <c r="I298" s="184"/>
      <c r="J298" s="184"/>
      <c r="K298" s="184"/>
      <c r="L298" s="184"/>
      <c r="M298" s="184"/>
      <c r="N298" s="184"/>
      <c r="O298" s="184"/>
      <c r="P298" s="184"/>
      <c r="Q298" s="184"/>
      <c r="R298" s="184"/>
      <c r="S298" s="184"/>
      <c r="T298" s="184"/>
      <c r="U298" s="184"/>
      <c r="V298" s="184"/>
      <c r="W298" s="184"/>
      <c r="X298" s="184"/>
      <c r="Y298" s="184"/>
      <c r="Z298" s="564"/>
    </row>
    <row r="299" spans="5:26">
      <c r="E299" s="183"/>
      <c r="F299" s="184"/>
      <c r="G299" s="218"/>
      <c r="H299" s="184"/>
      <c r="I299" s="184"/>
      <c r="J299" s="184"/>
      <c r="K299" s="184"/>
      <c r="L299" s="184"/>
      <c r="M299" s="184"/>
      <c r="N299" s="184"/>
      <c r="O299" s="184"/>
      <c r="P299" s="184"/>
      <c r="Q299" s="184"/>
      <c r="R299" s="184"/>
      <c r="S299" s="184"/>
      <c r="T299" s="184"/>
      <c r="U299" s="184"/>
      <c r="V299" s="184"/>
      <c r="W299" s="184"/>
      <c r="X299" s="184"/>
      <c r="Y299" s="184"/>
      <c r="Z299" s="564"/>
    </row>
    <row r="300" spans="5:26">
      <c r="E300" s="183"/>
      <c r="F300" s="184"/>
      <c r="G300" s="578"/>
      <c r="H300" s="563"/>
      <c r="I300" s="184"/>
      <c r="J300" s="184"/>
      <c r="K300" s="184"/>
      <c r="L300" s="184"/>
      <c r="M300" s="184"/>
      <c r="N300" s="184"/>
      <c r="O300" s="184"/>
      <c r="P300" s="184"/>
      <c r="Q300" s="184"/>
      <c r="R300" s="184"/>
      <c r="S300" s="184"/>
      <c r="T300" s="184"/>
      <c r="U300" s="184"/>
      <c r="V300" s="184"/>
      <c r="W300" s="184"/>
      <c r="X300" s="184"/>
      <c r="Y300" s="184"/>
      <c r="Z300" s="564"/>
    </row>
    <row r="301" spans="5:26" ht="15.75" thickBot="1">
      <c r="E301" s="185"/>
      <c r="F301" s="186"/>
      <c r="G301" s="566"/>
      <c r="H301" s="186"/>
      <c r="I301" s="186"/>
      <c r="J301" s="186"/>
      <c r="K301" s="186"/>
      <c r="L301" s="186"/>
      <c r="M301" s="186"/>
      <c r="N301" s="186"/>
      <c r="O301" s="186"/>
      <c r="P301" s="186"/>
      <c r="Q301" s="186"/>
      <c r="R301" s="186"/>
      <c r="S301" s="186"/>
      <c r="T301" s="186"/>
      <c r="U301" s="186"/>
      <c r="V301" s="186"/>
      <c r="W301" s="186"/>
      <c r="X301" s="186"/>
      <c r="Y301" s="186"/>
      <c r="Z301" s="188"/>
    </row>
    <row r="302" spans="5:26">
      <c r="G302" s="81"/>
    </row>
    <row r="303" spans="5:26">
      <c r="G303" s="26"/>
    </row>
    <row r="304" spans="5:26">
      <c r="F304" s="265" t="s">
        <v>833</v>
      </c>
      <c r="G304" s="26"/>
    </row>
    <row r="305" spans="6:10">
      <c r="G305" s="81"/>
    </row>
    <row r="306" spans="6:10">
      <c r="G306" s="81"/>
    </row>
    <row r="307" spans="6:10" ht="15.75">
      <c r="F307" s="1249" t="s">
        <v>261</v>
      </c>
      <c r="G307" s="991"/>
      <c r="H307" s="991"/>
      <c r="I307" s="991"/>
      <c r="J307" s="991"/>
    </row>
    <row r="308" spans="6:10" ht="15.75">
      <c r="F308" s="1249" t="s">
        <v>925</v>
      </c>
      <c r="G308" s="991"/>
      <c r="H308" s="991"/>
      <c r="I308" s="991"/>
      <c r="J308" s="991"/>
    </row>
    <row r="309" spans="6:10">
      <c r="F309" s="991"/>
      <c r="G309" s="991"/>
      <c r="H309" s="991"/>
      <c r="I309" s="991"/>
      <c r="J309" s="991"/>
    </row>
    <row r="310" spans="6:10">
      <c r="F310" s="991" t="s">
        <v>926</v>
      </c>
      <c r="G310" s="991"/>
      <c r="H310" s="991"/>
      <c r="I310" s="991"/>
      <c r="J310" s="991"/>
    </row>
    <row r="311" spans="6:10">
      <c r="F311" s="991" t="s">
        <v>927</v>
      </c>
      <c r="G311" s="991"/>
      <c r="H311" s="991"/>
      <c r="I311" s="991"/>
      <c r="J311" s="991"/>
    </row>
    <row r="312" spans="6:10">
      <c r="F312" s="991" t="s">
        <v>928</v>
      </c>
      <c r="G312" s="991"/>
      <c r="H312" s="991"/>
      <c r="I312" s="991"/>
      <c r="J312" s="991"/>
    </row>
    <row r="313" spans="6:10" ht="15.75" thickBot="1">
      <c r="F313" s="1250" t="s">
        <v>929</v>
      </c>
      <c r="G313" s="992"/>
      <c r="H313" s="991"/>
      <c r="I313" s="991"/>
      <c r="J313" s="991"/>
    </row>
    <row r="314" spans="6:10" ht="15.75" thickBot="1">
      <c r="F314" s="1251" t="s">
        <v>931</v>
      </c>
      <c r="G314" s="992"/>
      <c r="H314" s="991"/>
      <c r="I314" s="991"/>
      <c r="J314" s="991"/>
    </row>
    <row r="315" spans="6:10">
      <c r="G315" s="81"/>
    </row>
    <row r="316" spans="6:10">
      <c r="G316" s="81"/>
    </row>
    <row r="317" spans="6:10">
      <c r="G317" s="81"/>
    </row>
    <row r="318" spans="6:10">
      <c r="G318" s="81"/>
    </row>
    <row r="319" spans="6:10">
      <c r="G319" s="81"/>
    </row>
    <row r="320" spans="6:10">
      <c r="G320" s="52"/>
    </row>
    <row r="321" spans="7:7">
      <c r="G321" s="81"/>
    </row>
    <row r="322" spans="7:7">
      <c r="G322" s="81"/>
    </row>
    <row r="323" spans="7:7">
      <c r="G323" s="81"/>
    </row>
    <row r="324" spans="7:7">
      <c r="G324" s="81"/>
    </row>
    <row r="325" spans="7:7">
      <c r="G325" s="81"/>
    </row>
    <row r="326" spans="7:7">
      <c r="G326" s="81"/>
    </row>
    <row r="327" spans="7:7">
      <c r="G327" s="81"/>
    </row>
    <row r="328" spans="7:7">
      <c r="G328" s="81"/>
    </row>
    <row r="329" spans="7:7">
      <c r="G329" s="81"/>
    </row>
    <row r="330" spans="7:7">
      <c r="G330" s="81"/>
    </row>
    <row r="331" spans="7:7">
      <c r="G331" s="81"/>
    </row>
    <row r="332" spans="7:7">
      <c r="G332" s="81"/>
    </row>
    <row r="333" spans="7:7">
      <c r="G333" s="81"/>
    </row>
    <row r="334" spans="7:7">
      <c r="G334" s="81"/>
    </row>
    <row r="335" spans="7:7">
      <c r="G335" s="52"/>
    </row>
    <row r="336" spans="7:7">
      <c r="G336" s="52"/>
    </row>
    <row r="337" spans="7:7">
      <c r="G337" s="81"/>
    </row>
    <row r="338" spans="7:7">
      <c r="G338" s="81"/>
    </row>
    <row r="339" spans="7:7">
      <c r="G339" s="81"/>
    </row>
    <row r="340" spans="7:7">
      <c r="G340" s="81"/>
    </row>
    <row r="341" spans="7:7">
      <c r="G341" s="81"/>
    </row>
    <row r="342" spans="7:7">
      <c r="G342" s="81"/>
    </row>
    <row r="343" spans="7:7">
      <c r="G343" s="81"/>
    </row>
    <row r="344" spans="7:7">
      <c r="G344" s="81"/>
    </row>
    <row r="345" spans="7:7">
      <c r="G345" s="81"/>
    </row>
    <row r="346" spans="7:7">
      <c r="G346" s="81"/>
    </row>
    <row r="347" spans="7:7">
      <c r="G347" s="81"/>
    </row>
    <row r="348" spans="7:7">
      <c r="G348" s="81"/>
    </row>
    <row r="349" spans="7:7">
      <c r="G349" s="26"/>
    </row>
    <row r="350" spans="7:7">
      <c r="G350" s="26"/>
    </row>
    <row r="351" spans="7:7">
      <c r="G351" s="81"/>
    </row>
    <row r="352" spans="7:7">
      <c r="G352" s="81"/>
    </row>
    <row r="353" spans="7:7">
      <c r="G353" s="81"/>
    </row>
    <row r="354" spans="7:7">
      <c r="G354" s="81"/>
    </row>
    <row r="355" spans="7:7">
      <c r="G355" s="26"/>
    </row>
    <row r="356" spans="7:7">
      <c r="G356" s="81"/>
    </row>
    <row r="357" spans="7:7">
      <c r="G357" s="81"/>
    </row>
    <row r="358" spans="7:7">
      <c r="G358" s="26"/>
    </row>
    <row r="359" spans="7:7">
      <c r="G359" s="26"/>
    </row>
  </sheetData>
  <mergeCells count="128">
    <mergeCell ref="J233:M233"/>
    <mergeCell ref="G103:G104"/>
    <mergeCell ref="G131:G132"/>
    <mergeCell ref="G113:G114"/>
    <mergeCell ref="G208:O208"/>
    <mergeCell ref="F207:O207"/>
    <mergeCell ref="F194:Y194"/>
    <mergeCell ref="E196:F198"/>
    <mergeCell ref="N196:Y197"/>
    <mergeCell ref="G133:G134"/>
    <mergeCell ref="G135:G136"/>
    <mergeCell ref="G137:G138"/>
    <mergeCell ref="G139:G140"/>
    <mergeCell ref="G141:G142"/>
    <mergeCell ref="G143:G144"/>
    <mergeCell ref="G145:G146"/>
    <mergeCell ref="G147:G148"/>
    <mergeCell ref="G149:G150"/>
    <mergeCell ref="F1:Z1"/>
    <mergeCell ref="J2:R2"/>
    <mergeCell ref="G227:Y227"/>
    <mergeCell ref="F97:Y97"/>
    <mergeCell ref="N100:Y101"/>
    <mergeCell ref="F2:H2"/>
    <mergeCell ref="E100:F102"/>
    <mergeCell ref="G123:G124"/>
    <mergeCell ref="G115:G116"/>
    <mergeCell ref="G117:G118"/>
    <mergeCell ref="G119:G120"/>
    <mergeCell ref="G121:G122"/>
    <mergeCell ref="H75:M75"/>
    <mergeCell ref="H76:M76"/>
    <mergeCell ref="H52:M52"/>
    <mergeCell ref="J5:R5"/>
    <mergeCell ref="H27:J27"/>
    <mergeCell ref="H43:M43"/>
    <mergeCell ref="H44:M44"/>
    <mergeCell ref="H45:M45"/>
    <mergeCell ref="H49:M49"/>
    <mergeCell ref="H51:M51"/>
    <mergeCell ref="H50:M50"/>
    <mergeCell ref="H46:M46"/>
    <mergeCell ref="F3:Y3"/>
    <mergeCell ref="H241:L241"/>
    <mergeCell ref="I231:L231"/>
    <mergeCell ref="J232:M232"/>
    <mergeCell ref="I237:L237"/>
    <mergeCell ref="J91:L91"/>
    <mergeCell ref="J92:L92"/>
    <mergeCell ref="J93:L93"/>
    <mergeCell ref="H91:I91"/>
    <mergeCell ref="H92:I92"/>
    <mergeCell ref="H93:I93"/>
    <mergeCell ref="H240:L240"/>
    <mergeCell ref="J238:M238"/>
    <mergeCell ref="H63:M63"/>
    <mergeCell ref="H69:M69"/>
    <mergeCell ref="L12:M12"/>
    <mergeCell ref="H47:M47"/>
    <mergeCell ref="H60:M60"/>
    <mergeCell ref="H56:M56"/>
    <mergeCell ref="H58:M58"/>
    <mergeCell ref="H57:M57"/>
    <mergeCell ref="H59:M59"/>
    <mergeCell ref="H55:M55"/>
    <mergeCell ref="H61:M61"/>
    <mergeCell ref="T6:Y10"/>
    <mergeCell ref="I254:M254"/>
    <mergeCell ref="I256:M256"/>
    <mergeCell ref="J157:J158"/>
    <mergeCell ref="E225:H225"/>
    <mergeCell ref="G224:H224"/>
    <mergeCell ref="E210:F212"/>
    <mergeCell ref="G155:N155"/>
    <mergeCell ref="G156:N156"/>
    <mergeCell ref="N12:Y12"/>
    <mergeCell ref="H26:J26"/>
    <mergeCell ref="H248:M248"/>
    <mergeCell ref="F190:Y190"/>
    <mergeCell ref="H62:M62"/>
    <mergeCell ref="I42:J42"/>
    <mergeCell ref="F189:Y189"/>
    <mergeCell ref="G105:G106"/>
    <mergeCell ref="G107:G108"/>
    <mergeCell ref="G109:G110"/>
    <mergeCell ref="G111:G112"/>
    <mergeCell ref="G125:G126"/>
    <mergeCell ref="G127:G128"/>
    <mergeCell ref="G129:G130"/>
    <mergeCell ref="R246:W248"/>
    <mergeCell ref="K264:M264"/>
    <mergeCell ref="H267:M267"/>
    <mergeCell ref="H244:O244"/>
    <mergeCell ref="H252:O252"/>
    <mergeCell ref="I258:M258"/>
    <mergeCell ref="I249:M249"/>
    <mergeCell ref="H250:M250"/>
    <mergeCell ref="H262:M262"/>
    <mergeCell ref="J255:M255"/>
    <mergeCell ref="J259:M259"/>
    <mergeCell ref="K260:M260"/>
    <mergeCell ref="J263:M263"/>
    <mergeCell ref="K265:O265"/>
    <mergeCell ref="H246:M246"/>
    <mergeCell ref="R244:W244"/>
    <mergeCell ref="H16:I16"/>
    <mergeCell ref="H18:I18"/>
    <mergeCell ref="H20:I20"/>
    <mergeCell ref="H28:I28"/>
    <mergeCell ref="H30:I30"/>
    <mergeCell ref="H32:I32"/>
    <mergeCell ref="H36:I36"/>
    <mergeCell ref="H34:I34"/>
    <mergeCell ref="F192:Y192"/>
    <mergeCell ref="F191:Y191"/>
    <mergeCell ref="H54:M54"/>
    <mergeCell ref="H73:M73"/>
    <mergeCell ref="H68:M68"/>
    <mergeCell ref="H71:M71"/>
    <mergeCell ref="H72:M72"/>
    <mergeCell ref="H77:M77"/>
    <mergeCell ref="H67:M67"/>
    <mergeCell ref="H229:L229"/>
    <mergeCell ref="H235:L235"/>
    <mergeCell ref="H230:L230"/>
    <mergeCell ref="H236:L236"/>
    <mergeCell ref="F98:Y98"/>
    <mergeCell ref="J100:J101"/>
  </mergeCells>
  <phoneticPr fontId="18" type="noConversion"/>
  <dataValidations count="4">
    <dataValidation allowBlank="1" showDropDown="1" showInputMessage="1" showErrorMessage="1" sqref="H104 H106 H108 H110 H112 H114 H116 H118 H120 H122 H124 H126 H128 H130 H132 H134 H136 H138 H140 H142 H144 H146 H148 H150:H152" xr:uid="{00000000-0002-0000-0000-000000000000}"/>
    <dataValidation type="list" allowBlank="1" showInputMessage="1" showErrorMessage="1" sqref="P104" xr:uid="{00000000-0002-0000-0000-000001000000}">
      <formula1>FSG</formula1>
    </dataValidation>
    <dataValidation type="list" allowBlank="1" showDropDown="1" showInputMessage="1" showErrorMessage="1" sqref="H103 H131 H147 H149 H105 H107 H109 H145 H111 H113 H117 H119 H121 H123 H125 H199:H204 H115 H127 H129 H133 H135 H137 H139 H141 H143 H213:H222" xr:uid="{00000000-0002-0000-0000-000002000000}">
      <formula1>ForageList</formula1>
    </dataValidation>
    <dataValidation type="list" allowBlank="1" showDropDown="1" showInputMessage="1" showErrorMessage="1" sqref="K213:K215" xr:uid="{00000000-0002-0000-0000-000003000000}">
      <formula1>HayMonthMenu</formula1>
    </dataValidation>
  </dataValidations>
  <printOptions gridLinesSet="0"/>
  <pageMargins left="1" right="0.25" top="0.5" bottom="0.5" header="0.5" footer="0.5"/>
  <pageSetup pageOrder="overThenDown" orientation="landscape" blackAndWhite="1" horizontalDpi="300" verticalDpi="300" r:id="rId1"/>
  <headerFooter alignWithMargins="0"/>
  <ignoredErrors>
    <ignoredError sqref="O39:P39 X39 S39:U39 S35:U35 X35 O35:P35 S37:U37 X37 O37:P37 O33 S33 U33 X33 L34:N34" formula="1"/>
    <ignoredError sqref="J16:K16" unlockedFormula="1"/>
  </ignoredErrors>
  <drawing r:id="rId2"/>
  <legacyDrawing r:id="rId3"/>
  <controls>
    <mc:AlternateContent xmlns:mc="http://schemas.openxmlformats.org/markup-compatibility/2006">
      <mc:Choice Requires="x14">
        <control shapeId="1256" r:id="rId4" name="CheckBox13">
          <controlPr defaultSize="0" autoLine="0" autoPict="0" r:id="rId5">
            <anchor moveWithCells="1" sizeWithCells="1">
              <from>
                <xdr:col>10</xdr:col>
                <xdr:colOff>171450</xdr:colOff>
                <xdr:row>152</xdr:row>
                <xdr:rowOff>171450</xdr:rowOff>
              </from>
              <to>
                <xdr:col>11</xdr:col>
                <xdr:colOff>542925</xdr:colOff>
                <xdr:row>152</xdr:row>
                <xdr:rowOff>171450</xdr:rowOff>
              </to>
            </anchor>
          </controlPr>
        </control>
      </mc:Choice>
      <mc:Fallback>
        <control shapeId="1256" r:id="rId4" name="CheckBox13"/>
      </mc:Fallback>
    </mc:AlternateContent>
    <mc:AlternateContent xmlns:mc="http://schemas.openxmlformats.org/markup-compatibility/2006">
      <mc:Choice Requires="x14">
        <control shapeId="1246" r:id="rId6" name="CheckBox11">
          <controlPr defaultSize="0" autoLine="0" linkedCell="Calculations!L53" r:id="rId7">
            <anchor moveWithCells="1">
              <from>
                <xdr:col>17</xdr:col>
                <xdr:colOff>0</xdr:colOff>
                <xdr:row>5</xdr:row>
                <xdr:rowOff>171450</xdr:rowOff>
              </from>
              <to>
                <xdr:col>17</xdr:col>
                <xdr:colOff>666750</xdr:colOff>
                <xdr:row>7</xdr:row>
                <xdr:rowOff>38100</xdr:rowOff>
              </to>
            </anchor>
          </controlPr>
        </control>
      </mc:Choice>
      <mc:Fallback>
        <control shapeId="1246" r:id="rId6" name="CheckBox11"/>
      </mc:Fallback>
    </mc:AlternateContent>
    <mc:AlternateContent xmlns:mc="http://schemas.openxmlformats.org/markup-compatibility/2006">
      <mc:Choice Requires="x14">
        <control shapeId="1245" r:id="rId8" name="CheckBox10">
          <controlPr locked="0" defaultSize="0" autoLine="0" linkedCell="Calculations!L54" r:id="rId9">
            <anchor moveWithCells="1">
              <from>
                <xdr:col>17</xdr:col>
                <xdr:colOff>0</xdr:colOff>
                <xdr:row>7</xdr:row>
                <xdr:rowOff>76200</xdr:rowOff>
              </from>
              <to>
                <xdr:col>17</xdr:col>
                <xdr:colOff>723900</xdr:colOff>
                <xdr:row>8</xdr:row>
                <xdr:rowOff>95250</xdr:rowOff>
              </to>
            </anchor>
          </controlPr>
        </control>
      </mc:Choice>
      <mc:Fallback>
        <control shapeId="1245" r:id="rId8" name="CheckBox10"/>
      </mc:Fallback>
    </mc:AlternateContent>
    <mc:AlternateContent xmlns:mc="http://schemas.openxmlformats.org/markup-compatibility/2006">
      <mc:Choice Requires="x14">
        <control shapeId="1244" r:id="rId10" name="CheckBox9">
          <controlPr defaultSize="0" autoLine="0" linkedCell="Calculations!L52" r:id="rId11">
            <anchor moveWithCells="1">
              <from>
                <xdr:col>15</xdr:col>
                <xdr:colOff>476250</xdr:colOff>
                <xdr:row>7</xdr:row>
                <xdr:rowOff>95250</xdr:rowOff>
              </from>
              <to>
                <xdr:col>16</xdr:col>
                <xdr:colOff>457200</xdr:colOff>
                <xdr:row>8</xdr:row>
                <xdr:rowOff>142875</xdr:rowOff>
              </to>
            </anchor>
          </controlPr>
        </control>
      </mc:Choice>
      <mc:Fallback>
        <control shapeId="1244" r:id="rId10" name="CheckBox9"/>
      </mc:Fallback>
    </mc:AlternateContent>
    <mc:AlternateContent xmlns:mc="http://schemas.openxmlformats.org/markup-compatibility/2006">
      <mc:Choice Requires="x14">
        <control shapeId="1243" r:id="rId12" name="CheckBox8">
          <controlPr defaultSize="0" autoLine="0" linkedCell="Calculations!L46" r:id="rId13">
            <anchor moveWithCells="1">
              <from>
                <xdr:col>15</xdr:col>
                <xdr:colOff>476250</xdr:colOff>
                <xdr:row>5</xdr:row>
                <xdr:rowOff>190500</xdr:rowOff>
              </from>
              <to>
                <xdr:col>16</xdr:col>
                <xdr:colOff>352425</xdr:colOff>
                <xdr:row>7</xdr:row>
                <xdr:rowOff>47625</xdr:rowOff>
              </to>
            </anchor>
          </controlPr>
        </control>
      </mc:Choice>
      <mc:Fallback>
        <control shapeId="1243" r:id="rId12" name="CheckBox8"/>
      </mc:Fallback>
    </mc:AlternateContent>
    <mc:AlternateContent xmlns:mc="http://schemas.openxmlformats.org/markup-compatibility/2006">
      <mc:Choice Requires="x14">
        <control shapeId="1242" r:id="rId14" name="CheckBox7">
          <controlPr defaultSize="0" autoLine="0" linkedCell="Calculations!L45" r:id="rId15">
            <anchor moveWithCells="1">
              <from>
                <xdr:col>13</xdr:col>
                <xdr:colOff>219075</xdr:colOff>
                <xdr:row>7</xdr:row>
                <xdr:rowOff>38100</xdr:rowOff>
              </from>
              <to>
                <xdr:col>15</xdr:col>
                <xdr:colOff>571500</xdr:colOff>
                <xdr:row>8</xdr:row>
                <xdr:rowOff>66675</xdr:rowOff>
              </to>
            </anchor>
          </controlPr>
        </control>
      </mc:Choice>
      <mc:Fallback>
        <control shapeId="1242" r:id="rId14" name="CheckBox7"/>
      </mc:Fallback>
    </mc:AlternateContent>
    <mc:AlternateContent xmlns:mc="http://schemas.openxmlformats.org/markup-compatibility/2006">
      <mc:Choice Requires="x14">
        <control shapeId="1241" r:id="rId16" name="CheckBox6">
          <controlPr defaultSize="0" autoLine="0" linkedCell="Calculations!L44" r:id="rId17">
            <anchor moveWithCells="1">
              <from>
                <xdr:col>13</xdr:col>
                <xdr:colOff>200025</xdr:colOff>
                <xdr:row>5</xdr:row>
                <xdr:rowOff>95250</xdr:rowOff>
              </from>
              <to>
                <xdr:col>15</xdr:col>
                <xdr:colOff>581025</xdr:colOff>
                <xdr:row>7</xdr:row>
                <xdr:rowOff>0</xdr:rowOff>
              </to>
            </anchor>
          </controlPr>
        </control>
      </mc:Choice>
      <mc:Fallback>
        <control shapeId="1241" r:id="rId16" name="CheckBox6"/>
      </mc:Fallback>
    </mc:AlternateContent>
    <mc:AlternateContent xmlns:mc="http://schemas.openxmlformats.org/markup-compatibility/2006">
      <mc:Choice Requires="x14">
        <control shapeId="1240" r:id="rId18" name="CheckBox5">
          <controlPr defaultSize="0" autoLine="0" linkedCell="Calculations!L51" r:id="rId19">
            <anchor moveWithCells="1">
              <from>
                <xdr:col>11</xdr:col>
                <xdr:colOff>485775</xdr:colOff>
                <xdr:row>6</xdr:row>
                <xdr:rowOff>171450</xdr:rowOff>
              </from>
              <to>
                <xdr:col>12</xdr:col>
                <xdr:colOff>923925</xdr:colOff>
                <xdr:row>8</xdr:row>
                <xdr:rowOff>57150</xdr:rowOff>
              </to>
            </anchor>
          </controlPr>
        </control>
      </mc:Choice>
      <mc:Fallback>
        <control shapeId="1240" r:id="rId18" name="CheckBox5"/>
      </mc:Fallback>
    </mc:AlternateContent>
    <mc:AlternateContent xmlns:mc="http://schemas.openxmlformats.org/markup-compatibility/2006">
      <mc:Choice Requires="x14">
        <control shapeId="1239" r:id="rId20" name="CheckBox4">
          <controlPr defaultSize="0" autoLine="0" linkedCell="Calculations!L50" r:id="rId21">
            <anchor moveWithCells="1">
              <from>
                <xdr:col>11</xdr:col>
                <xdr:colOff>504825</xdr:colOff>
                <xdr:row>5</xdr:row>
                <xdr:rowOff>104775</xdr:rowOff>
              </from>
              <to>
                <xdr:col>12</xdr:col>
                <xdr:colOff>942975</xdr:colOff>
                <xdr:row>6</xdr:row>
                <xdr:rowOff>161925</xdr:rowOff>
              </to>
            </anchor>
          </controlPr>
        </control>
      </mc:Choice>
      <mc:Fallback>
        <control shapeId="1239" r:id="rId20" name="CheckBox4"/>
      </mc:Fallback>
    </mc:AlternateContent>
    <mc:AlternateContent xmlns:mc="http://schemas.openxmlformats.org/markup-compatibility/2006">
      <mc:Choice Requires="x14">
        <control shapeId="1238" r:id="rId22" name="CheckBox3">
          <controlPr defaultSize="0" autoLine="0" linkedCell="Calculations!L49" r:id="rId23">
            <anchor moveWithCells="1">
              <from>
                <xdr:col>9</xdr:col>
                <xdr:colOff>114300</xdr:colOff>
                <xdr:row>8</xdr:row>
                <xdr:rowOff>95250</xdr:rowOff>
              </from>
              <to>
                <xdr:col>11</xdr:col>
                <xdr:colOff>304800</xdr:colOff>
                <xdr:row>9</xdr:row>
                <xdr:rowOff>200025</xdr:rowOff>
              </to>
            </anchor>
          </controlPr>
        </control>
      </mc:Choice>
      <mc:Fallback>
        <control shapeId="1238" r:id="rId22" name="CheckBox3"/>
      </mc:Fallback>
    </mc:AlternateContent>
    <mc:AlternateContent xmlns:mc="http://schemas.openxmlformats.org/markup-compatibility/2006">
      <mc:Choice Requires="x14">
        <control shapeId="1237" r:id="rId24" name="CheckBox2">
          <controlPr defaultSize="0" autoLine="0" linkedCell="Calculations!L48" r:id="rId25">
            <anchor moveWithCells="1">
              <from>
                <xdr:col>9</xdr:col>
                <xdr:colOff>114300</xdr:colOff>
                <xdr:row>6</xdr:row>
                <xdr:rowOff>152400</xdr:rowOff>
              </from>
              <to>
                <xdr:col>11</xdr:col>
                <xdr:colOff>342900</xdr:colOff>
                <xdr:row>8</xdr:row>
                <xdr:rowOff>19050</xdr:rowOff>
              </to>
            </anchor>
          </controlPr>
        </control>
      </mc:Choice>
      <mc:Fallback>
        <control shapeId="1237" r:id="rId24" name="CheckBox2"/>
      </mc:Fallback>
    </mc:AlternateContent>
    <mc:AlternateContent xmlns:mc="http://schemas.openxmlformats.org/markup-compatibility/2006">
      <mc:Choice Requires="x14">
        <control shapeId="1236" r:id="rId26" name="CheckBox1">
          <controlPr defaultSize="0" autoLine="0" linkedCell="Calculations!L47" r:id="rId27">
            <anchor moveWithCells="1">
              <from>
                <xdr:col>9</xdr:col>
                <xdr:colOff>123825</xdr:colOff>
                <xdr:row>5</xdr:row>
                <xdr:rowOff>28575</xdr:rowOff>
              </from>
              <to>
                <xdr:col>11</xdr:col>
                <xdr:colOff>314325</xdr:colOff>
                <xdr:row>6</xdr:row>
                <xdr:rowOff>104775</xdr:rowOff>
              </to>
            </anchor>
          </controlPr>
        </control>
      </mc:Choice>
      <mc:Fallback>
        <control shapeId="1236" r:id="rId26" name="CheckBox1"/>
      </mc:Fallback>
    </mc:AlternateContent>
    <mc:AlternateContent xmlns:mc="http://schemas.openxmlformats.org/markup-compatibility/2006">
      <mc:Choice Requires="x14">
        <control shapeId="1258" r:id="rId28" name="CheckBox14">
          <controlPr defaultSize="0" autoLine="0" autoPict="0" r:id="rId29">
            <anchor moveWithCells="1" sizeWithCells="1">
              <from>
                <xdr:col>10</xdr:col>
                <xdr:colOff>152400</xdr:colOff>
                <xdr:row>152</xdr:row>
                <xdr:rowOff>171450</xdr:rowOff>
              </from>
              <to>
                <xdr:col>11</xdr:col>
                <xdr:colOff>485775</xdr:colOff>
                <xdr:row>152</xdr:row>
                <xdr:rowOff>171450</xdr:rowOff>
              </to>
            </anchor>
          </controlPr>
        </control>
      </mc:Choice>
      <mc:Fallback>
        <control shapeId="1258" r:id="rId28" name="CheckBox14"/>
      </mc:Fallback>
    </mc:AlternateContent>
    <mc:AlternateContent xmlns:mc="http://schemas.openxmlformats.org/markup-compatibility/2006">
      <mc:Choice Requires="x14">
        <control shapeId="1265" r:id="rId30" name="Forage">
          <controlPr autoLine="0" autoPict="0" r:id="rId31">
            <anchor moveWithCells="1">
              <from>
                <xdr:col>54</xdr:col>
                <xdr:colOff>466725</xdr:colOff>
                <xdr:row>0</xdr:row>
                <xdr:rowOff>257175</xdr:rowOff>
              </from>
              <to>
                <xdr:col>59</xdr:col>
                <xdr:colOff>266700</xdr:colOff>
                <xdr:row>0</xdr:row>
                <xdr:rowOff>504825</xdr:rowOff>
              </to>
            </anchor>
          </controlPr>
        </control>
      </mc:Choice>
      <mc:Fallback>
        <control shapeId="1265" r:id="rId30" name="Forage"/>
      </mc:Fallback>
    </mc:AlternateContent>
    <mc:AlternateContent xmlns:mc="http://schemas.openxmlformats.org/markup-compatibility/2006">
      <mc:Choice Requires="x14">
        <control shapeId="1267" r:id="rId32" name="Forage2">
          <controlPr defaultSize="0" autoLine="0" autoPict="0" r:id="rId31">
            <anchor moveWithCells="1">
              <from>
                <xdr:col>54</xdr:col>
                <xdr:colOff>514350</xdr:colOff>
                <xdr:row>0</xdr:row>
                <xdr:rowOff>247650</xdr:rowOff>
              </from>
              <to>
                <xdr:col>59</xdr:col>
                <xdr:colOff>314325</xdr:colOff>
                <xdr:row>0</xdr:row>
                <xdr:rowOff>485775</xdr:rowOff>
              </to>
            </anchor>
          </controlPr>
        </control>
      </mc:Choice>
      <mc:Fallback>
        <control shapeId="1267" r:id="rId32" name="Forage2"/>
      </mc:Fallback>
    </mc:AlternateContent>
    <mc:AlternateContent xmlns:mc="http://schemas.openxmlformats.org/markup-compatibility/2006">
      <mc:Choice Requires="x14">
        <control shapeId="1274" r:id="rId33" name="TempCombo">
          <controlPr defaultSize="0" autoLine="0" r:id="rId34">
            <anchor moveWithCells="1">
              <from>
                <xdr:col>3</xdr:col>
                <xdr:colOff>123825</xdr:colOff>
                <xdr:row>0</xdr:row>
                <xdr:rowOff>123825</xdr:rowOff>
              </from>
              <to>
                <xdr:col>3</xdr:col>
                <xdr:colOff>133350</xdr:colOff>
                <xdr:row>0</xdr:row>
                <xdr:rowOff>152400</xdr:rowOff>
              </to>
            </anchor>
          </controlPr>
        </control>
      </mc:Choice>
      <mc:Fallback>
        <control shapeId="1274" r:id="rId33" name="TempCombo"/>
      </mc:Fallback>
    </mc:AlternateContent>
  </controls>
  <extLst>
    <ext xmlns:x14="http://schemas.microsoft.com/office/spreadsheetml/2009/9/main" uri="{CCE6A557-97BC-4b89-ADB6-D9C93CAAB3DF}">
      <x14:dataValidations xmlns:xm="http://schemas.microsoft.com/office/excel/2006/main" count="1">
        <x14:dataValidation type="list" allowBlank="1" showDropDown="1" showInputMessage="1" showErrorMessage="1" xr:uid="{00000000-0002-0000-0000-000004000000}">
          <x14:formula1>
            <xm:f>Calculations!$U$2:$U$116</xm:f>
          </x14:formula1>
          <xm:sqref>H9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0"/>
    <pageSetUpPr fitToPage="1"/>
  </sheetPr>
  <dimension ref="A1:R100"/>
  <sheetViews>
    <sheetView showZeros="0" zoomScale="90" zoomScaleNormal="90" workbookViewId="0">
      <selection activeCell="E10" sqref="E10"/>
    </sheetView>
  </sheetViews>
  <sheetFormatPr defaultRowHeight="12"/>
  <cols>
    <col min="1" max="1" width="4.375" customWidth="1"/>
    <col min="2" max="2" width="18.25" customWidth="1"/>
    <col min="3" max="3" width="39.75" customWidth="1"/>
    <col min="4" max="4" width="14.25" customWidth="1"/>
    <col min="5" max="5" width="20.875" customWidth="1"/>
    <col min="6" max="6" width="18.875" customWidth="1"/>
    <col min="7" max="7" width="10.75" customWidth="1"/>
    <col min="8" max="8" width="18.5" customWidth="1"/>
    <col min="9" max="9" width="17.375" customWidth="1"/>
    <col min="10" max="10" width="17.875" customWidth="1"/>
    <col min="11" max="11" width="19.125" customWidth="1"/>
  </cols>
  <sheetData>
    <row r="1" spans="1:18" ht="12.75" thickBot="1">
      <c r="A1" s="346"/>
      <c r="B1" s="346"/>
      <c r="C1" s="346"/>
      <c r="D1" s="346"/>
      <c r="E1" s="346"/>
      <c r="F1" s="346"/>
      <c r="G1" s="346"/>
      <c r="H1" s="346"/>
      <c r="I1" s="346"/>
      <c r="J1" s="346"/>
      <c r="K1" s="346"/>
      <c r="L1" s="346"/>
      <c r="M1" s="346"/>
      <c r="N1" s="346"/>
      <c r="O1" s="346"/>
      <c r="P1" s="346"/>
      <c r="Q1" s="346"/>
      <c r="R1" s="346"/>
    </row>
    <row r="2" spans="1:18" ht="20.25">
      <c r="A2" s="346"/>
      <c r="B2" s="267"/>
      <c r="C2" s="268"/>
      <c r="D2" s="268"/>
      <c r="E2" s="276" t="s">
        <v>286</v>
      </c>
      <c r="F2" s="268"/>
      <c r="G2" s="268"/>
      <c r="H2" s="268"/>
      <c r="I2" s="268"/>
      <c r="J2" s="268"/>
      <c r="K2" s="277"/>
      <c r="L2" s="346"/>
      <c r="M2" s="346"/>
      <c r="N2" s="346"/>
      <c r="O2" s="346"/>
      <c r="P2" s="346"/>
      <c r="Q2" s="346"/>
      <c r="R2" s="346"/>
    </row>
    <row r="3" spans="1:18" ht="14.25">
      <c r="A3" s="346"/>
      <c r="B3" s="269"/>
      <c r="C3" s="270"/>
      <c r="D3" s="270"/>
      <c r="E3" s="270"/>
      <c r="F3" s="270"/>
      <c r="G3" s="270"/>
      <c r="H3" s="270"/>
      <c r="I3" s="270"/>
      <c r="J3" s="270"/>
      <c r="K3" s="278"/>
      <c r="L3" s="348"/>
      <c r="M3" s="346"/>
      <c r="N3" s="346"/>
      <c r="O3" s="346"/>
      <c r="P3" s="346"/>
      <c r="Q3" s="346"/>
      <c r="R3" s="346"/>
    </row>
    <row r="4" spans="1:18" ht="19.5" customHeight="1">
      <c r="A4" s="412"/>
      <c r="C4" s="1368" t="s">
        <v>463</v>
      </c>
      <c r="D4" s="1369"/>
      <c r="E4" s="1369"/>
      <c r="F4" s="1369"/>
      <c r="G4" s="1369"/>
      <c r="H4" s="1369"/>
      <c r="I4" s="1369"/>
      <c r="J4" s="1370"/>
      <c r="K4" s="410"/>
      <c r="L4" s="348"/>
      <c r="M4" s="346"/>
      <c r="N4" s="346"/>
      <c r="O4" s="346"/>
      <c r="P4" s="346"/>
      <c r="Q4" s="346"/>
      <c r="R4" s="346"/>
    </row>
    <row r="5" spans="1:18" ht="19.5" customHeight="1">
      <c r="A5" s="346"/>
      <c r="B5" s="411"/>
      <c r="C5" s="1371"/>
      <c r="D5" s="1372"/>
      <c r="E5" s="1372"/>
      <c r="F5" s="1372"/>
      <c r="G5" s="1372"/>
      <c r="H5" s="1372"/>
      <c r="I5" s="1372"/>
      <c r="J5" s="1373"/>
      <c r="K5" s="410"/>
      <c r="L5" s="348"/>
      <c r="M5" s="346"/>
      <c r="N5" s="346"/>
      <c r="O5" s="346"/>
      <c r="P5" s="346"/>
      <c r="Q5" s="346"/>
      <c r="R5" s="346"/>
    </row>
    <row r="6" spans="1:18" ht="15.75">
      <c r="A6" s="346"/>
      <c r="B6" s="269"/>
      <c r="C6" s="270"/>
      <c r="D6" s="544" t="s">
        <v>24</v>
      </c>
      <c r="E6" s="279">
        <f>LivestockForageBalance!$H$6</f>
        <v>0</v>
      </c>
      <c r="F6" s="270"/>
      <c r="G6" s="280"/>
      <c r="H6" s="544" t="s">
        <v>26</v>
      </c>
      <c r="I6" s="281" t="str">
        <f>LivestockForageBalance!$H$9</f>
        <v/>
      </c>
      <c r="J6" s="282"/>
      <c r="K6" s="283"/>
      <c r="L6" s="348"/>
      <c r="M6" s="346"/>
      <c r="N6" s="346"/>
      <c r="O6" s="346"/>
      <c r="P6" s="346"/>
      <c r="Q6" s="346"/>
      <c r="R6" s="346"/>
    </row>
    <row r="7" spans="1:18" ht="15.75">
      <c r="A7" s="346"/>
      <c r="B7" s="269"/>
      <c r="C7" s="270"/>
      <c r="D7" s="544" t="s">
        <v>25</v>
      </c>
      <c r="E7" s="279" t="str">
        <f>LivestockForageBalance!$H$7</f>
        <v/>
      </c>
      <c r="F7" s="270"/>
      <c r="G7" s="280"/>
      <c r="H7" s="544" t="s">
        <v>28</v>
      </c>
      <c r="I7" s="284" t="str">
        <f>LivestockForageBalance!$H$8</f>
        <v/>
      </c>
      <c r="J7" s="282"/>
      <c r="K7" s="283"/>
      <c r="L7" s="348"/>
      <c r="M7" s="346"/>
      <c r="N7" s="346"/>
      <c r="O7" s="346"/>
      <c r="P7" s="346"/>
      <c r="Q7" s="346"/>
      <c r="R7" s="346"/>
    </row>
    <row r="8" spans="1:18" ht="12.75" thickBot="1">
      <c r="A8" s="346"/>
      <c r="B8" s="272"/>
      <c r="C8" s="273"/>
      <c r="D8" s="274"/>
      <c r="E8" s="274"/>
      <c r="F8" s="274"/>
      <c r="G8" s="274"/>
      <c r="H8" s="274"/>
      <c r="I8" s="274"/>
      <c r="J8" s="274"/>
      <c r="K8" s="285"/>
      <c r="L8" s="346"/>
      <c r="M8" s="346"/>
      <c r="N8" s="346"/>
      <c r="O8" s="346"/>
      <c r="P8" s="346"/>
      <c r="Q8" s="346"/>
      <c r="R8" s="346"/>
    </row>
    <row r="9" spans="1:18" ht="15">
      <c r="A9" s="346"/>
      <c r="B9" s="269"/>
      <c r="C9" s="1374" t="s">
        <v>33</v>
      </c>
      <c r="D9" s="1375"/>
      <c r="E9" s="56"/>
      <c r="F9" s="271" t="s">
        <v>34</v>
      </c>
      <c r="G9" s="270"/>
      <c r="H9" s="286" t="s">
        <v>444</v>
      </c>
      <c r="I9" s="16">
        <f>LivestockForageBalance!$J$41</f>
        <v>0</v>
      </c>
      <c r="J9" s="271" t="s">
        <v>35</v>
      </c>
      <c r="K9" s="289"/>
      <c r="L9" s="346"/>
      <c r="M9" s="346"/>
      <c r="N9" s="346"/>
      <c r="O9" s="346"/>
      <c r="P9" s="346"/>
      <c r="Q9" s="346"/>
      <c r="R9" s="346"/>
    </row>
    <row r="10" spans="1:18" ht="15">
      <c r="A10" s="346"/>
      <c r="B10" s="269"/>
      <c r="C10" s="1376" t="s">
        <v>51</v>
      </c>
      <c r="D10" s="1377"/>
      <c r="E10" s="57"/>
      <c r="F10" s="271" t="s">
        <v>34</v>
      </c>
      <c r="G10" s="270"/>
      <c r="H10" s="286" t="s">
        <v>442</v>
      </c>
      <c r="I10" s="13">
        <f>LivestockForageBalance!$I$41</f>
        <v>0</v>
      </c>
      <c r="J10" s="78" t="s">
        <v>247</v>
      </c>
      <c r="K10" s="289"/>
      <c r="L10" s="346"/>
      <c r="M10" s="346"/>
      <c r="N10" s="346"/>
      <c r="O10" s="346"/>
      <c r="P10" s="346"/>
      <c r="Q10" s="346"/>
      <c r="R10" s="346"/>
    </row>
    <row r="11" spans="1:18" ht="15">
      <c r="A11" s="346"/>
      <c r="B11" s="269"/>
      <c r="C11" s="1376" t="s">
        <v>443</v>
      </c>
      <c r="D11" s="1377"/>
      <c r="E11" s="15" t="e">
        <f>Calculations!$B$129</f>
        <v>#DIV/0!</v>
      </c>
      <c r="F11" s="271" t="s">
        <v>53</v>
      </c>
      <c r="G11" s="270"/>
      <c r="H11" s="286" t="s">
        <v>441</v>
      </c>
      <c r="I11" s="57"/>
      <c r="J11" s="78"/>
      <c r="K11" s="289"/>
      <c r="L11" s="346"/>
      <c r="M11" s="346"/>
      <c r="N11" s="346"/>
      <c r="O11" s="346"/>
      <c r="P11" s="346"/>
      <c r="Q11" s="346"/>
      <c r="R11" s="346"/>
    </row>
    <row r="12" spans="1:18" ht="15">
      <c r="A12" s="346"/>
      <c r="B12" s="269"/>
      <c r="C12" s="271"/>
      <c r="D12" s="275"/>
      <c r="E12" s="53"/>
      <c r="F12" s="271"/>
      <c r="G12" s="280"/>
      <c r="H12" s="286" t="s">
        <v>440</v>
      </c>
      <c r="I12" s="14">
        <f>LivestockForageBalance!$K$41</f>
        <v>0</v>
      </c>
      <c r="J12" s="271" t="s">
        <v>53</v>
      </c>
      <c r="K12" s="288"/>
      <c r="L12" s="346"/>
      <c r="M12" s="346"/>
      <c r="N12" s="346"/>
      <c r="O12" s="346"/>
      <c r="P12" s="346"/>
      <c r="Q12" s="346"/>
      <c r="R12" s="346"/>
    </row>
    <row r="13" spans="1:18" ht="15.75" thickBot="1">
      <c r="A13" s="346"/>
      <c r="B13" s="269"/>
      <c r="C13" s="271"/>
      <c r="D13" s="275"/>
      <c r="E13" s="266"/>
      <c r="F13" s="271"/>
      <c r="G13" s="280"/>
      <c r="H13" s="271"/>
      <c r="I13" s="287"/>
      <c r="J13" s="271"/>
      <c r="K13" s="288"/>
      <c r="L13" s="346"/>
      <c r="M13" s="346"/>
      <c r="N13" s="346"/>
      <c r="O13" s="346"/>
      <c r="P13" s="346"/>
      <c r="Q13" s="346"/>
      <c r="R13" s="346"/>
    </row>
    <row r="14" spans="1:18" ht="15">
      <c r="A14" s="346"/>
      <c r="B14" s="290" t="s">
        <v>57</v>
      </c>
      <c r="C14" s="252" t="s">
        <v>58</v>
      </c>
      <c r="D14" s="290" t="s">
        <v>59</v>
      </c>
      <c r="E14" s="290" t="s">
        <v>146</v>
      </c>
      <c r="F14" s="290" t="s">
        <v>146</v>
      </c>
      <c r="G14" s="291"/>
      <c r="H14" s="290" t="s">
        <v>60</v>
      </c>
      <c r="I14" s="290" t="s">
        <v>61</v>
      </c>
      <c r="J14" s="290" t="s">
        <v>62</v>
      </c>
      <c r="K14" s="290" t="s">
        <v>63</v>
      </c>
      <c r="L14" s="346"/>
      <c r="M14" s="346"/>
      <c r="N14" s="346"/>
      <c r="O14" s="346"/>
      <c r="P14" s="346"/>
      <c r="Q14" s="346"/>
      <c r="R14" s="346"/>
    </row>
    <row r="15" spans="1:18" ht="15">
      <c r="A15" s="346"/>
      <c r="B15" s="292" t="s">
        <v>64</v>
      </c>
      <c r="C15" s="293"/>
      <c r="D15" s="292" t="s">
        <v>65</v>
      </c>
      <c r="E15" s="292" t="s">
        <v>66</v>
      </c>
      <c r="F15" s="292" t="s">
        <v>66</v>
      </c>
      <c r="G15" s="292" t="s">
        <v>67</v>
      </c>
      <c r="H15" s="292" t="s">
        <v>68</v>
      </c>
      <c r="I15" s="292" t="s">
        <v>68</v>
      </c>
      <c r="J15" s="292" t="s">
        <v>447</v>
      </c>
      <c r="K15" s="292" t="s">
        <v>68</v>
      </c>
      <c r="L15" s="346"/>
      <c r="M15" s="346"/>
      <c r="N15" s="346"/>
      <c r="O15" s="346"/>
      <c r="P15" s="346"/>
      <c r="Q15" s="346"/>
      <c r="R15" s="346"/>
    </row>
    <row r="16" spans="1:18" ht="15">
      <c r="A16" s="346"/>
      <c r="B16" s="293"/>
      <c r="C16" s="293"/>
      <c r="D16" s="293"/>
      <c r="E16" s="292" t="s">
        <v>445</v>
      </c>
      <c r="F16" s="292" t="s">
        <v>446</v>
      </c>
      <c r="G16" s="292" t="s">
        <v>70</v>
      </c>
      <c r="H16" s="292" t="s">
        <v>71</v>
      </c>
      <c r="I16" s="292" t="s">
        <v>71</v>
      </c>
      <c r="J16" s="292" t="s">
        <v>72</v>
      </c>
      <c r="K16" s="292" t="s">
        <v>73</v>
      </c>
      <c r="L16" s="346"/>
      <c r="M16" s="346"/>
      <c r="N16" s="346"/>
      <c r="O16" s="346"/>
      <c r="P16" s="346"/>
      <c r="Q16" s="346"/>
      <c r="R16" s="346"/>
    </row>
    <row r="17" spans="1:18" ht="15.75" thickBot="1">
      <c r="A17" s="346"/>
      <c r="B17" s="294"/>
      <c r="C17" s="294"/>
      <c r="D17" s="294"/>
      <c r="E17" s="295"/>
      <c r="F17" s="296" t="s">
        <v>74</v>
      </c>
      <c r="G17" s="297"/>
      <c r="H17" s="296" t="s">
        <v>75</v>
      </c>
      <c r="I17" s="296" t="s">
        <v>75</v>
      </c>
      <c r="J17" s="297"/>
      <c r="K17" s="296" t="s">
        <v>76</v>
      </c>
      <c r="L17" s="346"/>
      <c r="M17" s="346"/>
      <c r="N17" s="346"/>
      <c r="O17" s="346"/>
      <c r="P17" s="346"/>
      <c r="Q17" s="346"/>
      <c r="R17" s="346"/>
    </row>
    <row r="18" spans="1:18" ht="15.75">
      <c r="A18" s="346"/>
      <c r="B18" s="298">
        <f>Field1</f>
        <v>0</v>
      </c>
      <c r="C18" s="299">
        <f>Kind1</f>
        <v>0</v>
      </c>
      <c r="D18" s="300">
        <f>Acres1</f>
        <v>0</v>
      </c>
      <c r="E18" s="301">
        <f>IF(C18="","",(LivestockForageBalance!$J103*LivestockForageBalance!$L103/100))</f>
        <v>0</v>
      </c>
      <c r="F18" s="302">
        <f t="shared" ref="F18:F41" si="0">IF(C18="","",D18*E18)</f>
        <v>0</v>
      </c>
      <c r="G18" s="303" t="e">
        <f>IF(C18="","",F18/$F$43)</f>
        <v>#DIV/0!</v>
      </c>
      <c r="H18" s="1098" t="e">
        <f>IF(C18="","",G18*($E$9/($C$44-$I$11)))</f>
        <v>#DIV/0!</v>
      </c>
      <c r="I18" s="1098" t="e">
        <f>IF(C18="","",G18*($E$10/($C$44-$I$11)))</f>
        <v>#DIV/0!</v>
      </c>
      <c r="J18" s="304">
        <f>IF(D18,($I$9*$I$10)/D18,0)</f>
        <v>0</v>
      </c>
      <c r="K18" s="305" t="e">
        <f>IF(C18="","",VLOOKUP(C18,ForageGrowthCurves!$A$6:'ForageGrowthCurves'!$O$62,15))</f>
        <v>#N/A</v>
      </c>
      <c r="L18" s="346"/>
      <c r="M18" s="346"/>
      <c r="N18" s="346"/>
      <c r="O18" s="346"/>
      <c r="P18" s="346"/>
      <c r="Q18" s="346"/>
      <c r="R18" s="346"/>
    </row>
    <row r="19" spans="1:18" ht="15.75">
      <c r="A19" s="346"/>
      <c r="B19" s="306">
        <f>Field2</f>
        <v>0</v>
      </c>
      <c r="C19" s="299">
        <f>Kind2</f>
        <v>0</v>
      </c>
      <c r="D19" s="308">
        <f>Acres2</f>
        <v>0</v>
      </c>
      <c r="E19" s="301">
        <f>IF(C19="","",(LivestockForageBalance!$J105*LivestockForageBalance!$L105/100))</f>
        <v>0</v>
      </c>
      <c r="F19" s="302">
        <f t="shared" si="0"/>
        <v>0</v>
      </c>
      <c r="G19" s="303" t="e">
        <f t="shared" ref="G19:G41" si="1">IF(C19="","",F19/$F$43)</f>
        <v>#DIV/0!</v>
      </c>
      <c r="H19" s="1098" t="e">
        <f t="shared" ref="H19:H41" si="2">IF(C19="","",G19*($E$9/($C$44-$I$11)))</f>
        <v>#DIV/0!</v>
      </c>
      <c r="I19" s="1098" t="e">
        <f t="shared" ref="I19:I41" si="3">IF(C19="","",G19*($E$10/($C$44-$I$11)))</f>
        <v>#DIV/0!</v>
      </c>
      <c r="J19" s="304">
        <f t="shared" ref="J19:J41" si="4">IF(D19,($I$9*$I$10)/D19,0)</f>
        <v>0</v>
      </c>
      <c r="K19" s="305" t="e">
        <f>IF(C19="","",VLOOKUP(C19,ForageGrowthCurves!$A$6:'ForageGrowthCurves'!$O$62,15))</f>
        <v>#N/A</v>
      </c>
      <c r="L19" s="346"/>
      <c r="M19" s="346"/>
      <c r="N19" s="346"/>
      <c r="O19" s="346"/>
      <c r="P19" s="346"/>
      <c r="Q19" s="346"/>
      <c r="R19" s="346"/>
    </row>
    <row r="20" spans="1:18" ht="15.75" hidden="1">
      <c r="A20" s="346"/>
      <c r="B20" s="306">
        <f>Field3</f>
        <v>0</v>
      </c>
      <c r="C20" s="307">
        <f>Kind3</f>
        <v>0</v>
      </c>
      <c r="D20" s="308">
        <f>Acres3</f>
        <v>0</v>
      </c>
      <c r="E20" s="301" t="e">
        <f>IF(C20="","",(LivestockForageBalance!$J107*LivestockForageBalance!$L107/100))</f>
        <v>#VALUE!</v>
      </c>
      <c r="F20" s="302" t="e">
        <f t="shared" si="0"/>
        <v>#VALUE!</v>
      </c>
      <c r="G20" s="303" t="e">
        <f t="shared" si="1"/>
        <v>#VALUE!</v>
      </c>
      <c r="H20" s="1098" t="e">
        <f>IF(C20="","",G20*($E$9/($C$44-$I$11)))</f>
        <v>#VALUE!</v>
      </c>
      <c r="I20" s="1098" t="e">
        <f t="shared" si="3"/>
        <v>#VALUE!</v>
      </c>
      <c r="J20" s="304">
        <f t="shared" si="4"/>
        <v>0</v>
      </c>
      <c r="K20" s="305" t="e">
        <f>IF(C20="","",VLOOKUP(C20,ForageGrowthCurves!$A$6:'ForageGrowthCurves'!$O$62,15))</f>
        <v>#N/A</v>
      </c>
      <c r="L20" s="346"/>
      <c r="M20" s="346"/>
      <c r="N20" s="346"/>
      <c r="O20" s="346"/>
      <c r="P20" s="346"/>
      <c r="Q20" s="346"/>
      <c r="R20" s="346"/>
    </row>
    <row r="21" spans="1:18" ht="15.75" hidden="1">
      <c r="A21" s="346"/>
      <c r="B21" s="306">
        <f>Field4</f>
        <v>0</v>
      </c>
      <c r="C21" s="307">
        <f>Kind4</f>
        <v>0</v>
      </c>
      <c r="D21" s="308">
        <f>Acres4</f>
        <v>0</v>
      </c>
      <c r="E21" s="301" t="e">
        <f>IF(C21="","",(LivestockForageBalance!$J109*LivestockForageBalance!$L109/100))</f>
        <v>#VALUE!</v>
      </c>
      <c r="F21" s="302" t="e">
        <f>IF(C21="","",D21*E21)</f>
        <v>#VALUE!</v>
      </c>
      <c r="G21" s="303" t="e">
        <f t="shared" si="1"/>
        <v>#VALUE!</v>
      </c>
      <c r="H21" s="1098" t="e">
        <f t="shared" si="2"/>
        <v>#VALUE!</v>
      </c>
      <c r="I21" s="1098" t="e">
        <f t="shared" si="3"/>
        <v>#VALUE!</v>
      </c>
      <c r="J21" s="304">
        <f t="shared" si="4"/>
        <v>0</v>
      </c>
      <c r="K21" s="305" t="e">
        <f>IF(C21="","",VLOOKUP(C21,ForageGrowthCurves!$A$6:'ForageGrowthCurves'!$O$62,15))</f>
        <v>#N/A</v>
      </c>
      <c r="L21" s="346"/>
      <c r="M21" s="346"/>
      <c r="N21" s="346"/>
      <c r="O21" s="346"/>
      <c r="P21" s="346"/>
      <c r="Q21" s="346"/>
      <c r="R21" s="346"/>
    </row>
    <row r="22" spans="1:18" ht="15.75" hidden="1">
      <c r="A22" s="346"/>
      <c r="B22" s="306">
        <f>Field5</f>
        <v>0</v>
      </c>
      <c r="C22" s="307">
        <f>Kind5</f>
        <v>0</v>
      </c>
      <c r="D22" s="308">
        <f>Acres5</f>
        <v>0</v>
      </c>
      <c r="E22" s="301" t="e">
        <f>IF(C22="","",(LivestockForageBalance!$J111*LivestockForageBalance!$L111/100))</f>
        <v>#VALUE!</v>
      </c>
      <c r="F22" s="302" t="e">
        <f t="shared" si="0"/>
        <v>#VALUE!</v>
      </c>
      <c r="G22" s="303" t="e">
        <f t="shared" si="1"/>
        <v>#VALUE!</v>
      </c>
      <c r="H22" s="1098" t="e">
        <f t="shared" si="2"/>
        <v>#VALUE!</v>
      </c>
      <c r="I22" s="1098" t="e">
        <f t="shared" si="3"/>
        <v>#VALUE!</v>
      </c>
      <c r="J22" s="304">
        <f t="shared" si="4"/>
        <v>0</v>
      </c>
      <c r="K22" s="305" t="e">
        <f>IF(C22="","",VLOOKUP(C22,ForageGrowthCurves!$A$6:'ForageGrowthCurves'!$O$62,15))</f>
        <v>#N/A</v>
      </c>
      <c r="L22" s="346"/>
      <c r="M22" s="346"/>
      <c r="N22" s="346"/>
      <c r="O22" s="346"/>
      <c r="P22" s="346"/>
      <c r="Q22" s="346"/>
      <c r="R22" s="346"/>
    </row>
    <row r="23" spans="1:18" ht="15.75" hidden="1">
      <c r="A23" s="346"/>
      <c r="B23" s="306">
        <f>Field6</f>
        <v>0</v>
      </c>
      <c r="C23" s="309">
        <f>Kind6</f>
        <v>0</v>
      </c>
      <c r="D23" s="308">
        <f>Acres6</f>
        <v>0</v>
      </c>
      <c r="E23" s="301" t="e">
        <f>IF(C23="","",(LivestockForageBalance!$J113*LivestockForageBalance!$L113/100))</f>
        <v>#VALUE!</v>
      </c>
      <c r="F23" s="302" t="e">
        <f t="shared" si="0"/>
        <v>#VALUE!</v>
      </c>
      <c r="G23" s="303" t="e">
        <f t="shared" si="1"/>
        <v>#VALUE!</v>
      </c>
      <c r="H23" s="1098" t="e">
        <f t="shared" si="2"/>
        <v>#VALUE!</v>
      </c>
      <c r="I23" s="1098" t="e">
        <f t="shared" si="3"/>
        <v>#VALUE!</v>
      </c>
      <c r="J23" s="304">
        <f t="shared" si="4"/>
        <v>0</v>
      </c>
      <c r="K23" s="305" t="e">
        <f>IF(C23="","",VLOOKUP(C23,ForageGrowthCurves!$A$6:'ForageGrowthCurves'!$O$62,15))</f>
        <v>#N/A</v>
      </c>
      <c r="L23" s="346"/>
      <c r="M23" s="346"/>
      <c r="N23" s="346"/>
      <c r="O23" s="346"/>
      <c r="P23" s="346"/>
      <c r="Q23" s="346"/>
      <c r="R23" s="346"/>
    </row>
    <row r="24" spans="1:18" ht="15.75" hidden="1">
      <c r="A24" s="346"/>
      <c r="B24" s="306">
        <f>Field7</f>
        <v>0</v>
      </c>
      <c r="C24" s="309">
        <f>Kind7</f>
        <v>0</v>
      </c>
      <c r="D24" s="308">
        <f>Acres7</f>
        <v>0</v>
      </c>
      <c r="E24" s="301" t="e">
        <f>IF(C24="","",(LivestockForageBalance!$J115*LivestockForageBalance!$L115/100))</f>
        <v>#VALUE!</v>
      </c>
      <c r="F24" s="302" t="e">
        <f t="shared" si="0"/>
        <v>#VALUE!</v>
      </c>
      <c r="G24" s="303" t="e">
        <f t="shared" si="1"/>
        <v>#VALUE!</v>
      </c>
      <c r="H24" s="1098" t="e">
        <f t="shared" si="2"/>
        <v>#VALUE!</v>
      </c>
      <c r="I24" s="1098" t="e">
        <f t="shared" si="3"/>
        <v>#VALUE!</v>
      </c>
      <c r="J24" s="304">
        <f t="shared" si="4"/>
        <v>0</v>
      </c>
      <c r="K24" s="305" t="e">
        <f>IF(C24="","",VLOOKUP(C24,ForageGrowthCurves!$A$6:'ForageGrowthCurves'!$O$62,15))</f>
        <v>#N/A</v>
      </c>
      <c r="L24" s="346"/>
      <c r="M24" s="346"/>
      <c r="N24" s="346"/>
      <c r="O24" s="346"/>
      <c r="P24" s="346"/>
      <c r="Q24" s="346"/>
      <c r="R24" s="346"/>
    </row>
    <row r="25" spans="1:18" ht="15.75" hidden="1">
      <c r="A25" s="346"/>
      <c r="B25" s="306">
        <f>Field8</f>
        <v>0</v>
      </c>
      <c r="C25" s="309">
        <f>Kind8</f>
        <v>0</v>
      </c>
      <c r="D25" s="308">
        <f>Acres8</f>
        <v>0</v>
      </c>
      <c r="E25" s="301" t="e">
        <f>IF(C25="","",(LivestockForageBalance!$J117*LivestockForageBalance!$L117/100))</f>
        <v>#VALUE!</v>
      </c>
      <c r="F25" s="302" t="e">
        <f t="shared" si="0"/>
        <v>#VALUE!</v>
      </c>
      <c r="G25" s="303" t="e">
        <f t="shared" si="1"/>
        <v>#VALUE!</v>
      </c>
      <c r="H25" s="1098" t="e">
        <f t="shared" si="2"/>
        <v>#VALUE!</v>
      </c>
      <c r="I25" s="1098" t="e">
        <f t="shared" si="3"/>
        <v>#VALUE!</v>
      </c>
      <c r="J25" s="304">
        <f t="shared" si="4"/>
        <v>0</v>
      </c>
      <c r="K25" s="305" t="e">
        <f>IF(C25="","",VLOOKUP(C25,ForageGrowthCurves!$A$6:'ForageGrowthCurves'!$O$62,15))</f>
        <v>#N/A</v>
      </c>
      <c r="L25" s="346"/>
      <c r="M25" s="346"/>
      <c r="N25" s="346"/>
      <c r="O25" s="346"/>
      <c r="P25" s="346"/>
      <c r="Q25" s="346"/>
      <c r="R25" s="346"/>
    </row>
    <row r="26" spans="1:18" ht="15.75" hidden="1">
      <c r="A26" s="346"/>
      <c r="B26" s="306">
        <f>Field9</f>
        <v>0</v>
      </c>
      <c r="C26" s="309">
        <f>Kind9</f>
        <v>0</v>
      </c>
      <c r="D26" s="308">
        <f>Acres9</f>
        <v>0</v>
      </c>
      <c r="E26" s="301" t="e">
        <f>IF(C26="","",(LivestockForageBalance!$J119*LivestockForageBalance!$L119/100))</f>
        <v>#VALUE!</v>
      </c>
      <c r="F26" s="302" t="e">
        <f t="shared" si="0"/>
        <v>#VALUE!</v>
      </c>
      <c r="G26" s="303" t="e">
        <f t="shared" si="1"/>
        <v>#VALUE!</v>
      </c>
      <c r="H26" s="1098" t="e">
        <f t="shared" si="2"/>
        <v>#VALUE!</v>
      </c>
      <c r="I26" s="1098" t="e">
        <f t="shared" si="3"/>
        <v>#VALUE!</v>
      </c>
      <c r="J26" s="304">
        <f t="shared" si="4"/>
        <v>0</v>
      </c>
      <c r="K26" s="305" t="e">
        <f>IF(C26="","",VLOOKUP(C26,ForageGrowthCurves!$A$6:'ForageGrowthCurves'!$O$62,15))</f>
        <v>#N/A</v>
      </c>
      <c r="L26" s="346"/>
      <c r="M26" s="346"/>
      <c r="N26" s="346"/>
      <c r="O26" s="346"/>
      <c r="P26" s="346"/>
      <c r="Q26" s="346"/>
      <c r="R26" s="346"/>
    </row>
    <row r="27" spans="1:18" ht="15.75" hidden="1">
      <c r="A27" s="346"/>
      <c r="B27" s="306">
        <f>Field10</f>
        <v>0</v>
      </c>
      <c r="C27" s="309">
        <f>Kind10</f>
        <v>0</v>
      </c>
      <c r="D27" s="308">
        <f>Acres10</f>
        <v>0</v>
      </c>
      <c r="E27" s="301" t="e">
        <f>IF(C27="","",(LivestockForageBalance!$J121*LivestockForageBalance!$L121/100))</f>
        <v>#VALUE!</v>
      </c>
      <c r="F27" s="302" t="e">
        <f t="shared" si="0"/>
        <v>#VALUE!</v>
      </c>
      <c r="G27" s="303" t="e">
        <f t="shared" si="1"/>
        <v>#VALUE!</v>
      </c>
      <c r="H27" s="1098" t="e">
        <f t="shared" si="2"/>
        <v>#VALUE!</v>
      </c>
      <c r="I27" s="1098" t="e">
        <f t="shared" si="3"/>
        <v>#VALUE!</v>
      </c>
      <c r="J27" s="304">
        <f t="shared" si="4"/>
        <v>0</v>
      </c>
      <c r="K27" s="305" t="e">
        <f>IF(C27="","",VLOOKUP(C27,ForageGrowthCurves!$A$6:'ForageGrowthCurves'!$O$62,15))</f>
        <v>#N/A</v>
      </c>
      <c r="L27" s="346"/>
      <c r="M27" s="346"/>
      <c r="N27" s="346"/>
      <c r="O27" s="346"/>
      <c r="P27" s="346"/>
      <c r="Q27" s="346"/>
      <c r="R27" s="346"/>
    </row>
    <row r="28" spans="1:18" ht="17.25" hidden="1" customHeight="1">
      <c r="A28" s="346"/>
      <c r="B28" s="306">
        <f>Field11</f>
        <v>0</v>
      </c>
      <c r="C28" s="309">
        <f>Kind11</f>
        <v>0</v>
      </c>
      <c r="D28" s="308">
        <f>Acres11</f>
        <v>0</v>
      </c>
      <c r="E28" s="301" t="e">
        <f>IF(C28="","",(LivestockForageBalance!$J123*LivestockForageBalance!$L123/100))</f>
        <v>#VALUE!</v>
      </c>
      <c r="F28" s="302" t="e">
        <f t="shared" si="0"/>
        <v>#VALUE!</v>
      </c>
      <c r="G28" s="303" t="e">
        <f t="shared" si="1"/>
        <v>#VALUE!</v>
      </c>
      <c r="H28" s="1098" t="e">
        <f t="shared" si="2"/>
        <v>#VALUE!</v>
      </c>
      <c r="I28" s="1098" t="e">
        <f t="shared" si="3"/>
        <v>#VALUE!</v>
      </c>
      <c r="J28" s="304">
        <f t="shared" si="4"/>
        <v>0</v>
      </c>
      <c r="K28" s="305" t="e">
        <f>IF(C28="","",VLOOKUP(C28,ForageGrowthCurves!$A$6:'ForageGrowthCurves'!$O$62,15))</f>
        <v>#N/A</v>
      </c>
      <c r="L28" s="346"/>
      <c r="M28" s="346"/>
      <c r="N28" s="346"/>
      <c r="O28" s="346"/>
      <c r="P28" s="346"/>
      <c r="Q28" s="346"/>
      <c r="R28" s="346"/>
    </row>
    <row r="29" spans="1:18" ht="15.75" hidden="1">
      <c r="A29" s="346"/>
      <c r="B29" s="306">
        <f>Field12</f>
        <v>0</v>
      </c>
      <c r="C29" s="309">
        <f>Kind12</f>
        <v>0</v>
      </c>
      <c r="D29" s="308">
        <f>Acres12</f>
        <v>0</v>
      </c>
      <c r="E29" s="301" t="e">
        <f>IF(C29="","",(LivestockForageBalance!$J125*LivestockForageBalance!$L125/100))</f>
        <v>#VALUE!</v>
      </c>
      <c r="F29" s="302" t="e">
        <f t="shared" si="0"/>
        <v>#VALUE!</v>
      </c>
      <c r="G29" s="303" t="e">
        <f t="shared" si="1"/>
        <v>#VALUE!</v>
      </c>
      <c r="H29" s="1098" t="e">
        <f t="shared" si="2"/>
        <v>#VALUE!</v>
      </c>
      <c r="I29" s="1098" t="e">
        <f t="shared" si="3"/>
        <v>#VALUE!</v>
      </c>
      <c r="J29" s="304">
        <f t="shared" si="4"/>
        <v>0</v>
      </c>
      <c r="K29" s="305" t="e">
        <f>IF(C29="","",VLOOKUP(C29,ForageGrowthCurves!$A$6:'ForageGrowthCurves'!$O$62,15))</f>
        <v>#N/A</v>
      </c>
      <c r="L29" s="346"/>
      <c r="M29" s="346"/>
      <c r="N29" s="346"/>
      <c r="O29" s="346"/>
      <c r="P29" s="346"/>
      <c r="Q29" s="346"/>
      <c r="R29" s="346"/>
    </row>
    <row r="30" spans="1:18" ht="15.75" hidden="1">
      <c r="A30" s="346"/>
      <c r="B30" s="306">
        <f>Field13</f>
        <v>0</v>
      </c>
      <c r="C30" s="309">
        <f>Kind13</f>
        <v>0</v>
      </c>
      <c r="D30" s="308">
        <f>Acres13</f>
        <v>0</v>
      </c>
      <c r="E30" s="301" t="e">
        <f>IF(C30="","",(LivestockForageBalance!$J127*LivestockForageBalance!$L127/100))</f>
        <v>#VALUE!</v>
      </c>
      <c r="F30" s="302" t="e">
        <f t="shared" si="0"/>
        <v>#VALUE!</v>
      </c>
      <c r="G30" s="303" t="e">
        <f t="shared" si="1"/>
        <v>#VALUE!</v>
      </c>
      <c r="H30" s="1098" t="e">
        <f t="shared" si="2"/>
        <v>#VALUE!</v>
      </c>
      <c r="I30" s="1098" t="e">
        <f t="shared" si="3"/>
        <v>#VALUE!</v>
      </c>
      <c r="J30" s="304">
        <f t="shared" si="4"/>
        <v>0</v>
      </c>
      <c r="K30" s="305" t="e">
        <f>IF(C30="","",VLOOKUP(C30,ForageGrowthCurves!$A$6:'ForageGrowthCurves'!$O$62,15))</f>
        <v>#N/A</v>
      </c>
      <c r="L30" s="346"/>
      <c r="M30" s="346"/>
      <c r="N30" s="346"/>
      <c r="O30" s="346"/>
      <c r="P30" s="346"/>
      <c r="Q30" s="346"/>
      <c r="R30" s="346"/>
    </row>
    <row r="31" spans="1:18" ht="15.75" hidden="1">
      <c r="A31" s="346"/>
      <c r="B31" s="306">
        <f>Field14</f>
        <v>0</v>
      </c>
      <c r="C31" s="309">
        <f>Kind14</f>
        <v>0</v>
      </c>
      <c r="D31" s="308">
        <f>Acres14</f>
        <v>0</v>
      </c>
      <c r="E31" s="301" t="e">
        <f>IF(C31="","",(LivestockForageBalance!$J129*LivestockForageBalance!$L129/100))</f>
        <v>#VALUE!</v>
      </c>
      <c r="F31" s="302" t="e">
        <f t="shared" si="0"/>
        <v>#VALUE!</v>
      </c>
      <c r="G31" s="303" t="e">
        <f t="shared" si="1"/>
        <v>#VALUE!</v>
      </c>
      <c r="H31" s="1098" t="e">
        <f t="shared" si="2"/>
        <v>#VALUE!</v>
      </c>
      <c r="I31" s="1098" t="e">
        <f t="shared" si="3"/>
        <v>#VALUE!</v>
      </c>
      <c r="J31" s="304">
        <f t="shared" si="4"/>
        <v>0</v>
      </c>
      <c r="K31" s="305" t="e">
        <f>IF(C31="","",VLOOKUP(C31,ForageGrowthCurves!$A$6:'ForageGrowthCurves'!$O$62,15))</f>
        <v>#N/A</v>
      </c>
      <c r="L31" s="346"/>
      <c r="M31" s="346"/>
      <c r="N31" s="346"/>
      <c r="O31" s="346"/>
      <c r="P31" s="346"/>
      <c r="Q31" s="346"/>
      <c r="R31" s="346"/>
    </row>
    <row r="32" spans="1:18" ht="15.75" hidden="1">
      <c r="A32" s="412"/>
      <c r="B32" s="589">
        <f>Field15</f>
        <v>0</v>
      </c>
      <c r="C32" s="309">
        <f>Kind15</f>
        <v>0</v>
      </c>
      <c r="D32" s="308">
        <f>Acres15</f>
        <v>0</v>
      </c>
      <c r="E32" s="588" t="e">
        <f>IF(C32="","",(LivestockForageBalance!$J131*LivestockForageBalance!$L131/100))</f>
        <v>#VALUE!</v>
      </c>
      <c r="F32" s="302" t="e">
        <f t="shared" si="0"/>
        <v>#VALUE!</v>
      </c>
      <c r="G32" s="303" t="e">
        <f t="shared" si="1"/>
        <v>#VALUE!</v>
      </c>
      <c r="H32" s="1100" t="e">
        <f t="shared" si="2"/>
        <v>#VALUE!</v>
      </c>
      <c r="I32" s="1098" t="e">
        <f t="shared" si="3"/>
        <v>#VALUE!</v>
      </c>
      <c r="J32" s="304">
        <f t="shared" si="4"/>
        <v>0</v>
      </c>
      <c r="K32" s="305" t="e">
        <f>IF(C32="","",VLOOKUP(C32,ForageGrowthCurves!$A$6:'ForageGrowthCurves'!$O$62,15))</f>
        <v>#N/A</v>
      </c>
      <c r="L32" s="346"/>
      <c r="M32" s="346"/>
      <c r="N32" s="346"/>
      <c r="O32" s="346"/>
      <c r="P32" s="346"/>
      <c r="Q32" s="346"/>
      <c r="R32" s="346"/>
    </row>
    <row r="33" spans="1:18" ht="15.75" hidden="1">
      <c r="A33" s="412"/>
      <c r="B33" s="589">
        <f>Field16</f>
        <v>0</v>
      </c>
      <c r="C33" s="309">
        <f>Kind16</f>
        <v>0</v>
      </c>
      <c r="D33" s="308">
        <f>Acres16</f>
        <v>0</v>
      </c>
      <c r="E33" s="588" t="e">
        <f>IF(C33="","",(LivestockForageBalance!$J133*LivestockForageBalance!$L133/100))</f>
        <v>#VALUE!</v>
      </c>
      <c r="F33" s="302" t="e">
        <f t="shared" si="0"/>
        <v>#VALUE!</v>
      </c>
      <c r="G33" s="303" t="e">
        <f t="shared" si="1"/>
        <v>#VALUE!</v>
      </c>
      <c r="H33" s="1100" t="e">
        <f t="shared" si="2"/>
        <v>#VALUE!</v>
      </c>
      <c r="I33" s="1098" t="e">
        <f t="shared" si="3"/>
        <v>#VALUE!</v>
      </c>
      <c r="J33" s="304">
        <f t="shared" si="4"/>
        <v>0</v>
      </c>
      <c r="K33" s="305" t="e">
        <f>IF(C33="","",VLOOKUP(C33,ForageGrowthCurves!$A$6:'ForageGrowthCurves'!$O$62,15))</f>
        <v>#N/A</v>
      </c>
      <c r="L33" s="346"/>
      <c r="M33" s="346"/>
      <c r="N33" s="346"/>
      <c r="O33" s="346"/>
      <c r="P33" s="346"/>
      <c r="Q33" s="346"/>
      <c r="R33" s="346"/>
    </row>
    <row r="34" spans="1:18" ht="15.75" hidden="1">
      <c r="A34" s="412"/>
      <c r="B34" s="589">
        <f>Field17</f>
        <v>0</v>
      </c>
      <c r="C34" s="309">
        <f>Kind17</f>
        <v>0</v>
      </c>
      <c r="D34" s="308">
        <f>Acres17</f>
        <v>0</v>
      </c>
      <c r="E34" s="588" t="e">
        <f>IF(C34="","",(LivestockForageBalance!$J135*LivestockForageBalance!$L135/100))</f>
        <v>#VALUE!</v>
      </c>
      <c r="F34" s="302" t="e">
        <f t="shared" si="0"/>
        <v>#VALUE!</v>
      </c>
      <c r="G34" s="303" t="e">
        <f t="shared" si="1"/>
        <v>#VALUE!</v>
      </c>
      <c r="H34" s="1100" t="e">
        <f t="shared" si="2"/>
        <v>#VALUE!</v>
      </c>
      <c r="I34" s="1098" t="e">
        <f t="shared" si="3"/>
        <v>#VALUE!</v>
      </c>
      <c r="J34" s="304">
        <f t="shared" si="4"/>
        <v>0</v>
      </c>
      <c r="K34" s="305" t="e">
        <f>IF(C34="","",VLOOKUP(C34,ForageGrowthCurves!$A$6:'ForageGrowthCurves'!$O$62,15))</f>
        <v>#N/A</v>
      </c>
      <c r="L34" s="346"/>
      <c r="M34" s="346"/>
      <c r="N34" s="346"/>
      <c r="O34" s="346"/>
      <c r="P34" s="346"/>
      <c r="Q34" s="346"/>
      <c r="R34" s="346"/>
    </row>
    <row r="35" spans="1:18" ht="15.75" hidden="1">
      <c r="A35" s="412"/>
      <c r="B35" s="589">
        <f>Field18</f>
        <v>0</v>
      </c>
      <c r="C35" s="309">
        <f>Kind18</f>
        <v>0</v>
      </c>
      <c r="D35" s="308">
        <f>Acres18</f>
        <v>0</v>
      </c>
      <c r="E35" s="588" t="e">
        <f>IF(C35="","",(LivestockForageBalance!$J137*LivestockForageBalance!$L137/100))</f>
        <v>#VALUE!</v>
      </c>
      <c r="F35" s="302" t="e">
        <f t="shared" si="0"/>
        <v>#VALUE!</v>
      </c>
      <c r="G35" s="303" t="e">
        <f t="shared" si="1"/>
        <v>#VALUE!</v>
      </c>
      <c r="H35" s="1100" t="e">
        <f t="shared" si="2"/>
        <v>#VALUE!</v>
      </c>
      <c r="I35" s="1098" t="e">
        <f t="shared" si="3"/>
        <v>#VALUE!</v>
      </c>
      <c r="J35" s="304">
        <f t="shared" si="4"/>
        <v>0</v>
      </c>
      <c r="K35" s="305" t="e">
        <f>IF(C35="","",VLOOKUP(C35,ForageGrowthCurves!$A$6:'ForageGrowthCurves'!$O$62,15))</f>
        <v>#N/A</v>
      </c>
      <c r="L35" s="346"/>
      <c r="M35" s="346"/>
      <c r="N35" s="346"/>
      <c r="O35" s="346"/>
      <c r="P35" s="346"/>
      <c r="Q35" s="346"/>
      <c r="R35" s="346"/>
    </row>
    <row r="36" spans="1:18" ht="15.75" hidden="1">
      <c r="A36" s="412"/>
      <c r="B36" s="589">
        <f>Field19</f>
        <v>0</v>
      </c>
      <c r="C36" s="309">
        <f>Kind19</f>
        <v>0</v>
      </c>
      <c r="D36" s="308">
        <f>Acres19</f>
        <v>0</v>
      </c>
      <c r="E36" s="588" t="e">
        <f>IF(C36="","",(LivestockForageBalance!$J139*LivestockForageBalance!$L139/100))</f>
        <v>#VALUE!</v>
      </c>
      <c r="F36" s="302" t="e">
        <f t="shared" si="0"/>
        <v>#VALUE!</v>
      </c>
      <c r="G36" s="303" t="e">
        <f t="shared" si="1"/>
        <v>#VALUE!</v>
      </c>
      <c r="H36" s="1100" t="e">
        <f t="shared" si="2"/>
        <v>#VALUE!</v>
      </c>
      <c r="I36" s="1098" t="e">
        <f t="shared" si="3"/>
        <v>#VALUE!</v>
      </c>
      <c r="J36" s="304">
        <f t="shared" si="4"/>
        <v>0</v>
      </c>
      <c r="K36" s="305" t="e">
        <f>IF(C36="","",VLOOKUP(C36,ForageGrowthCurves!$A$6:'ForageGrowthCurves'!$O$62,15))</f>
        <v>#N/A</v>
      </c>
      <c r="L36" s="346"/>
      <c r="M36" s="346"/>
      <c r="N36" s="346"/>
      <c r="O36" s="346"/>
      <c r="P36" s="346"/>
      <c r="Q36" s="346"/>
      <c r="R36" s="346"/>
    </row>
    <row r="37" spans="1:18" ht="15.75" hidden="1">
      <c r="A37" s="412"/>
      <c r="B37" s="589">
        <f>Field20</f>
        <v>0</v>
      </c>
      <c r="C37" s="309">
        <f>Kind20</f>
        <v>0</v>
      </c>
      <c r="D37" s="308">
        <f>Acres20</f>
        <v>0</v>
      </c>
      <c r="E37" s="588" t="e">
        <f>IF(C37="","",(LivestockForageBalance!$J141*LivestockForageBalance!$L141/100))</f>
        <v>#VALUE!</v>
      </c>
      <c r="F37" s="302" t="e">
        <f t="shared" si="0"/>
        <v>#VALUE!</v>
      </c>
      <c r="G37" s="303" t="e">
        <f t="shared" si="1"/>
        <v>#VALUE!</v>
      </c>
      <c r="H37" s="1100" t="e">
        <f t="shared" si="2"/>
        <v>#VALUE!</v>
      </c>
      <c r="I37" s="1098" t="e">
        <f t="shared" si="3"/>
        <v>#VALUE!</v>
      </c>
      <c r="J37" s="304">
        <f t="shared" si="4"/>
        <v>0</v>
      </c>
      <c r="K37" s="305" t="e">
        <f>IF(C37="","",VLOOKUP(C37,ForageGrowthCurves!$A$6:'ForageGrowthCurves'!$O$62,15))</f>
        <v>#N/A</v>
      </c>
      <c r="L37" s="346"/>
      <c r="M37" s="346"/>
      <c r="N37" s="346"/>
      <c r="O37" s="346"/>
      <c r="P37" s="346"/>
      <c r="Q37" s="346"/>
      <c r="R37" s="346"/>
    </row>
    <row r="38" spans="1:18" ht="15.75" hidden="1">
      <c r="A38" s="412"/>
      <c r="B38" s="589">
        <f>Field21</f>
        <v>0</v>
      </c>
      <c r="C38" s="309">
        <f>Kind21</f>
        <v>0</v>
      </c>
      <c r="D38" s="308">
        <f>Acres21</f>
        <v>0</v>
      </c>
      <c r="E38" s="588" t="e">
        <f>IF(C38="","",(LivestockForageBalance!$J143*LivestockForageBalance!$L143/100))</f>
        <v>#VALUE!</v>
      </c>
      <c r="F38" s="302" t="e">
        <f t="shared" si="0"/>
        <v>#VALUE!</v>
      </c>
      <c r="G38" s="303" t="e">
        <f t="shared" si="1"/>
        <v>#VALUE!</v>
      </c>
      <c r="H38" s="1100" t="e">
        <f t="shared" si="2"/>
        <v>#VALUE!</v>
      </c>
      <c r="I38" s="1098" t="e">
        <f t="shared" si="3"/>
        <v>#VALUE!</v>
      </c>
      <c r="J38" s="304">
        <f t="shared" si="4"/>
        <v>0</v>
      </c>
      <c r="K38" s="305" t="e">
        <f>IF(C38="","",VLOOKUP(C38,ForageGrowthCurves!$A$6:'ForageGrowthCurves'!$O$62,15))</f>
        <v>#N/A</v>
      </c>
      <c r="L38" s="346"/>
      <c r="M38" s="346"/>
      <c r="N38" s="346"/>
      <c r="O38" s="346"/>
      <c r="P38" s="346"/>
      <c r="Q38" s="346"/>
      <c r="R38" s="346"/>
    </row>
    <row r="39" spans="1:18" ht="15.75" hidden="1">
      <c r="A39" s="412"/>
      <c r="B39" s="589">
        <f>Field22</f>
        <v>0</v>
      </c>
      <c r="C39" s="309">
        <f>Kind22</f>
        <v>0</v>
      </c>
      <c r="D39" s="308">
        <f>Acres22</f>
        <v>0</v>
      </c>
      <c r="E39" s="588" t="e">
        <f>IF(C39="","",(LivestockForageBalance!$J145*LivestockForageBalance!$L145/100))</f>
        <v>#VALUE!</v>
      </c>
      <c r="F39" s="302" t="e">
        <f t="shared" si="0"/>
        <v>#VALUE!</v>
      </c>
      <c r="G39" s="303" t="e">
        <f t="shared" si="1"/>
        <v>#VALUE!</v>
      </c>
      <c r="H39" s="1100" t="e">
        <f t="shared" si="2"/>
        <v>#VALUE!</v>
      </c>
      <c r="I39" s="1098" t="e">
        <f t="shared" si="3"/>
        <v>#VALUE!</v>
      </c>
      <c r="J39" s="304">
        <f t="shared" si="4"/>
        <v>0</v>
      </c>
      <c r="K39" s="305" t="e">
        <f>IF(C39="","",VLOOKUP(C39,ForageGrowthCurves!$A$6:'ForageGrowthCurves'!$O$62,15))</f>
        <v>#N/A</v>
      </c>
      <c r="L39" s="346"/>
      <c r="M39" s="346"/>
      <c r="N39" s="346"/>
      <c r="O39" s="346"/>
      <c r="P39" s="346"/>
      <c r="Q39" s="346"/>
      <c r="R39" s="346"/>
    </row>
    <row r="40" spans="1:18" ht="15.75" hidden="1">
      <c r="A40" s="412"/>
      <c r="B40" s="589">
        <f>Field23</f>
        <v>0</v>
      </c>
      <c r="C40" s="309">
        <f>Kind23</f>
        <v>0</v>
      </c>
      <c r="D40" s="308">
        <f>Acres23</f>
        <v>0</v>
      </c>
      <c r="E40" s="588" t="e">
        <f>IF(C40="","",(LivestockForageBalance!$J147*LivestockForageBalance!$L147/100))</f>
        <v>#VALUE!</v>
      </c>
      <c r="F40" s="302" t="e">
        <f t="shared" si="0"/>
        <v>#VALUE!</v>
      </c>
      <c r="G40" s="303" t="e">
        <f t="shared" si="1"/>
        <v>#VALUE!</v>
      </c>
      <c r="H40" s="1100" t="e">
        <f t="shared" si="2"/>
        <v>#VALUE!</v>
      </c>
      <c r="I40" s="1098" t="e">
        <f t="shared" si="3"/>
        <v>#VALUE!</v>
      </c>
      <c r="J40" s="304">
        <f t="shared" si="4"/>
        <v>0</v>
      </c>
      <c r="K40" s="305" t="e">
        <f>IF(C40="","",VLOOKUP(C40,ForageGrowthCurves!$A$6:'ForageGrowthCurves'!$O$62,15))</f>
        <v>#N/A</v>
      </c>
      <c r="L40" s="346"/>
      <c r="M40" s="346"/>
      <c r="N40" s="346"/>
      <c r="O40" s="346"/>
      <c r="P40" s="346"/>
      <c r="Q40" s="346"/>
      <c r="R40" s="346"/>
    </row>
    <row r="41" spans="1:18" ht="15.75" hidden="1">
      <c r="A41" s="412"/>
      <c r="B41" s="589">
        <f>Field24</f>
        <v>0</v>
      </c>
      <c r="C41" s="309">
        <f>Kind24</f>
        <v>0</v>
      </c>
      <c r="D41" s="308">
        <f>Acres24</f>
        <v>0</v>
      </c>
      <c r="E41" s="588" t="e">
        <f>IF(C41="","",(LivestockForageBalance!$J149*LivestockForageBalance!$L149/100))</f>
        <v>#VALUE!</v>
      </c>
      <c r="F41" s="302" t="e">
        <f t="shared" si="0"/>
        <v>#VALUE!</v>
      </c>
      <c r="G41" s="303" t="e">
        <f t="shared" si="1"/>
        <v>#VALUE!</v>
      </c>
      <c r="H41" s="1100" t="e">
        <f t="shared" si="2"/>
        <v>#VALUE!</v>
      </c>
      <c r="I41" s="1098" t="e">
        <f t="shared" si="3"/>
        <v>#VALUE!</v>
      </c>
      <c r="J41" s="304">
        <f t="shared" si="4"/>
        <v>0</v>
      </c>
      <c r="K41" s="305" t="e">
        <f>IF(C41="","",VLOOKUP(C41,ForageGrowthCurves!$A$6:'ForageGrowthCurves'!$O$62,15))</f>
        <v>#N/A</v>
      </c>
      <c r="L41" s="346"/>
      <c r="M41" s="346"/>
      <c r="N41" s="346"/>
      <c r="O41" s="346"/>
      <c r="P41" s="346"/>
      <c r="Q41" s="346"/>
      <c r="R41" s="346"/>
    </row>
    <row r="42" spans="1:18" ht="15">
      <c r="A42" s="346"/>
      <c r="B42" s="310"/>
      <c r="C42" s="311"/>
      <c r="D42" s="311"/>
      <c r="E42" s="312"/>
      <c r="F42" s="313"/>
      <c r="G42" s="314"/>
      <c r="H42" s="315"/>
      <c r="I42" s="316"/>
      <c r="J42" s="317"/>
      <c r="K42" s="318"/>
      <c r="L42" s="349"/>
      <c r="M42" s="346"/>
      <c r="N42" s="346"/>
      <c r="O42" s="346"/>
      <c r="P42" s="346"/>
      <c r="Q42" s="346"/>
      <c r="R42" s="346"/>
    </row>
    <row r="43" spans="1:18" ht="15.75">
      <c r="A43" s="346"/>
      <c r="B43" s="319" t="s">
        <v>85</v>
      </c>
      <c r="C43" s="320"/>
      <c r="D43" s="321" t="e">
        <f>D44/C44</f>
        <v>#DIV/0!</v>
      </c>
      <c r="E43" s="409" t="e">
        <f>E44/C44</f>
        <v>#DIV/0!</v>
      </c>
      <c r="F43" s="409" t="e">
        <f>F44/C44</f>
        <v>#DIV/0!</v>
      </c>
      <c r="G43" s="322" t="e">
        <f>SUBTOTAL(109,G18:G41)/C44</f>
        <v>#DIV/0!</v>
      </c>
      <c r="H43" s="1099" t="e">
        <f>SUBTOTAL(109,H18:H41)/C44</f>
        <v>#DIV/0!</v>
      </c>
      <c r="I43" s="1099" t="e">
        <f>SUBTOTAL(109,I18:I41)/C44</f>
        <v>#DIV/0!</v>
      </c>
      <c r="J43" s="323" t="e">
        <f>(D44/I10)</f>
        <v>#DIV/0!</v>
      </c>
      <c r="K43" s="283"/>
      <c r="L43" s="349"/>
      <c r="M43" s="346"/>
      <c r="N43" s="346"/>
      <c r="O43" s="346"/>
      <c r="P43" s="346"/>
      <c r="Q43" s="346"/>
      <c r="R43" s="346"/>
    </row>
    <row r="44" spans="1:18" ht="15.75">
      <c r="A44" s="346"/>
      <c r="B44" s="319" t="s">
        <v>86</v>
      </c>
      <c r="C44" s="324">
        <f>COUNTIF(F18:F41,"&gt;0")</f>
        <v>0</v>
      </c>
      <c r="D44" s="321">
        <f>SUBTOTAL(109,D18:D41)</f>
        <v>0</v>
      </c>
      <c r="E44" s="321">
        <f>SUBTOTAL(109,E18:E41)</f>
        <v>0</v>
      </c>
      <c r="F44" s="321">
        <f>SUBTOTAL(109,F18:F41)</f>
        <v>0</v>
      </c>
      <c r="G44" s="280"/>
      <c r="H44" s="280"/>
      <c r="I44" s="280"/>
      <c r="J44" s="325" t="s">
        <v>87</v>
      </c>
      <c r="K44" s="283"/>
      <c r="L44" s="350"/>
      <c r="M44" s="346"/>
      <c r="N44" s="346"/>
      <c r="O44" s="346"/>
      <c r="P44" s="346"/>
      <c r="Q44" s="346"/>
      <c r="R44" s="346"/>
    </row>
    <row r="45" spans="1:18" ht="15.75">
      <c r="A45" s="346"/>
      <c r="B45" s="326"/>
      <c r="C45" s="327" t="s">
        <v>124</v>
      </c>
      <c r="D45" s="328"/>
      <c r="E45" s="329"/>
      <c r="F45" s="330"/>
      <c r="G45" s="331"/>
      <c r="H45" s="332"/>
      <c r="I45" s="332"/>
      <c r="J45" s="333"/>
      <c r="K45" s="283"/>
      <c r="L45" s="350"/>
      <c r="M45" s="346"/>
      <c r="N45" s="346"/>
      <c r="O45" s="346"/>
      <c r="P45" s="346"/>
      <c r="Q45" s="346"/>
      <c r="R45" s="346"/>
    </row>
    <row r="46" spans="1:18" ht="15.75">
      <c r="A46" s="346"/>
      <c r="B46" s="334" t="s">
        <v>128</v>
      </c>
      <c r="C46" s="335"/>
      <c r="D46" s="336">
        <f>F44</f>
        <v>0</v>
      </c>
      <c r="E46" s="280"/>
      <c r="F46" s="280"/>
      <c r="G46" s="280"/>
      <c r="H46" s="280"/>
      <c r="I46" s="280"/>
      <c r="J46" s="280"/>
      <c r="K46" s="283"/>
      <c r="L46" s="349"/>
      <c r="M46" s="346"/>
      <c r="N46" s="346"/>
      <c r="O46" s="346"/>
      <c r="P46" s="346"/>
      <c r="Q46" s="346"/>
      <c r="R46" s="346"/>
    </row>
    <row r="47" spans="1:18">
      <c r="A47" s="346"/>
      <c r="B47" s="269"/>
      <c r="C47" s="270"/>
      <c r="D47" s="270"/>
      <c r="E47" s="280"/>
      <c r="F47" s="280"/>
      <c r="G47" s="280"/>
      <c r="H47" s="280"/>
      <c r="I47" s="280"/>
      <c r="J47" s="280"/>
      <c r="K47" s="283"/>
      <c r="L47" s="346"/>
      <c r="M47" s="346"/>
      <c r="N47" s="346"/>
      <c r="O47" s="346"/>
      <c r="P47" s="346"/>
      <c r="Q47" s="346"/>
      <c r="R47" s="346"/>
    </row>
    <row r="48" spans="1:18" s="22" customFormat="1" ht="15.75">
      <c r="A48" s="347"/>
      <c r="B48" s="407" t="s">
        <v>462</v>
      </c>
      <c r="C48" s="338"/>
      <c r="D48" s="338"/>
      <c r="E48" s="338"/>
      <c r="F48" s="338"/>
      <c r="G48" s="313"/>
      <c r="H48" s="313"/>
      <c r="I48" s="313"/>
      <c r="J48" s="313"/>
      <c r="K48" s="337"/>
      <c r="L48" s="351"/>
      <c r="M48" s="347"/>
      <c r="N48" s="347"/>
      <c r="O48" s="347"/>
      <c r="P48" s="347"/>
      <c r="Q48" s="347"/>
      <c r="R48" s="347"/>
    </row>
    <row r="49" spans="1:18" s="22" customFormat="1" ht="10.5" customHeight="1">
      <c r="A49" s="347"/>
      <c r="B49" s="407"/>
      <c r="C49" s="338"/>
      <c r="D49" s="338"/>
      <c r="E49" s="338"/>
      <c r="F49" s="338"/>
      <c r="G49" s="339"/>
      <c r="H49" s="339"/>
      <c r="I49" s="339"/>
      <c r="J49" s="339"/>
      <c r="K49" s="288"/>
      <c r="L49" s="352"/>
      <c r="M49" s="347"/>
      <c r="N49" s="347"/>
      <c r="O49" s="347"/>
      <c r="P49" s="347"/>
      <c r="Q49" s="347"/>
      <c r="R49" s="347"/>
    </row>
    <row r="50" spans="1:18" s="22" customFormat="1" ht="15">
      <c r="A50" s="347"/>
      <c r="B50" s="372" t="s">
        <v>453</v>
      </c>
      <c r="C50" s="280"/>
      <c r="D50" s="280"/>
      <c r="E50" s="280"/>
      <c r="F50" s="280"/>
      <c r="G50" s="341"/>
      <c r="H50" s="342"/>
      <c r="I50" s="343"/>
      <c r="J50" s="271"/>
      <c r="K50" s="283"/>
      <c r="L50" s="352"/>
      <c r="M50" s="347"/>
      <c r="N50" s="347"/>
      <c r="O50" s="347"/>
      <c r="P50" s="347"/>
      <c r="Q50" s="347"/>
      <c r="R50" s="347"/>
    </row>
    <row r="51" spans="1:18" s="22" customFormat="1" ht="14.25">
      <c r="A51" s="347"/>
      <c r="B51" s="403" t="s">
        <v>455</v>
      </c>
      <c r="C51" s="280"/>
      <c r="D51" s="280"/>
      <c r="E51" s="280"/>
      <c r="F51" s="280"/>
      <c r="G51" s="342"/>
      <c r="H51" s="342"/>
      <c r="I51" s="342"/>
      <c r="J51" s="342"/>
      <c r="K51" s="283"/>
      <c r="L51" s="352"/>
      <c r="M51" s="347"/>
      <c r="N51" s="347"/>
      <c r="O51" s="347"/>
      <c r="P51" s="347"/>
      <c r="Q51" s="347"/>
      <c r="R51" s="347"/>
    </row>
    <row r="52" spans="1:18" s="22" customFormat="1" ht="14.25">
      <c r="A52" s="347"/>
      <c r="B52" s="402" t="s">
        <v>454</v>
      </c>
      <c r="C52" s="280"/>
      <c r="D52" s="280"/>
      <c r="E52" s="280"/>
      <c r="F52" s="280"/>
      <c r="G52" s="342"/>
      <c r="H52" s="342"/>
      <c r="I52" s="342"/>
      <c r="J52" s="339"/>
      <c r="K52" s="283"/>
      <c r="L52" s="347"/>
      <c r="M52" s="347"/>
      <c r="N52" s="347"/>
      <c r="O52" s="347"/>
      <c r="P52" s="347"/>
      <c r="Q52" s="347"/>
      <c r="R52" s="347"/>
    </row>
    <row r="53" spans="1:18" ht="14.25">
      <c r="A53" s="346"/>
      <c r="B53" s="402" t="s">
        <v>456</v>
      </c>
      <c r="C53" s="280"/>
      <c r="D53" s="280"/>
      <c r="E53" s="280"/>
      <c r="F53" s="280"/>
      <c r="G53" s="342"/>
      <c r="H53" s="342"/>
      <c r="I53" s="342"/>
      <c r="J53" s="339"/>
      <c r="K53" s="283"/>
      <c r="L53" s="346"/>
      <c r="M53" s="346"/>
      <c r="N53" s="346"/>
      <c r="O53" s="346"/>
      <c r="P53" s="346"/>
      <c r="Q53" s="346"/>
      <c r="R53" s="346"/>
    </row>
    <row r="54" spans="1:18" ht="14.25">
      <c r="A54" s="346"/>
      <c r="B54" s="402" t="s">
        <v>457</v>
      </c>
      <c r="C54" s="280"/>
      <c r="D54" s="280"/>
      <c r="E54" s="280"/>
      <c r="F54" s="280"/>
      <c r="G54" s="280"/>
      <c r="H54" s="280"/>
      <c r="I54" s="280"/>
      <c r="J54" s="280"/>
      <c r="K54" s="283"/>
      <c r="L54" s="346"/>
      <c r="M54" s="346"/>
      <c r="N54" s="346"/>
      <c r="O54" s="346"/>
      <c r="P54" s="346"/>
      <c r="Q54" s="346"/>
      <c r="R54" s="346"/>
    </row>
    <row r="55" spans="1:18" ht="14.25">
      <c r="A55" s="346"/>
      <c r="B55" s="402" t="s">
        <v>458</v>
      </c>
      <c r="C55" s="280"/>
      <c r="D55" s="280"/>
      <c r="E55" s="280"/>
      <c r="F55" s="280"/>
      <c r="G55" s="280"/>
      <c r="H55" s="280"/>
      <c r="I55" s="280"/>
      <c r="J55" s="280"/>
      <c r="K55" s="283"/>
      <c r="L55" s="346"/>
      <c r="M55" s="346"/>
      <c r="N55" s="346"/>
      <c r="O55" s="346"/>
      <c r="P55" s="346"/>
      <c r="Q55" s="346"/>
      <c r="R55" s="346"/>
    </row>
    <row r="56" spans="1:18" ht="14.25" customHeight="1">
      <c r="A56" s="346"/>
      <c r="B56" s="1365" t="s">
        <v>459</v>
      </c>
      <c r="C56" s="1366"/>
      <c r="D56" s="1366"/>
      <c r="E56" s="1366"/>
      <c r="F56" s="1366"/>
      <c r="G56" s="1366"/>
      <c r="H56" s="1366"/>
      <c r="I56" s="1366"/>
      <c r="J56" s="1366"/>
      <c r="K56" s="1367"/>
      <c r="L56" s="346"/>
      <c r="M56" s="346"/>
      <c r="N56" s="346"/>
      <c r="O56" s="346"/>
      <c r="P56" s="346"/>
      <c r="Q56" s="346"/>
      <c r="R56" s="346"/>
    </row>
    <row r="57" spans="1:18" ht="14.25" customHeight="1">
      <c r="A57" s="346"/>
      <c r="B57" s="1362" t="s">
        <v>932</v>
      </c>
      <c r="C57" s="1363"/>
      <c r="D57" s="1363"/>
      <c r="E57" s="1363"/>
      <c r="F57" s="1363"/>
      <c r="G57" s="1363"/>
      <c r="H57" s="1363"/>
      <c r="I57" s="1363"/>
      <c r="J57" s="1363"/>
      <c r="K57" s="1364"/>
      <c r="L57" s="346"/>
      <c r="M57" s="346"/>
      <c r="N57" s="346"/>
      <c r="O57" s="346"/>
      <c r="P57" s="346"/>
      <c r="Q57" s="346"/>
      <c r="R57" s="346"/>
    </row>
    <row r="58" spans="1:18" ht="12" customHeight="1" thickBot="1">
      <c r="A58" s="346"/>
      <c r="B58" s="408"/>
      <c r="C58" s="377"/>
      <c r="D58" s="377"/>
      <c r="E58" s="377"/>
      <c r="F58" s="377"/>
      <c r="G58" s="377"/>
      <c r="H58" s="377"/>
      <c r="I58" s="377"/>
      <c r="J58" s="377"/>
      <c r="K58" s="345"/>
      <c r="L58" s="346"/>
      <c r="M58" s="346"/>
      <c r="N58" s="346"/>
      <c r="O58" s="346"/>
      <c r="P58" s="346"/>
      <c r="Q58" s="346"/>
      <c r="R58" s="346"/>
    </row>
    <row r="59" spans="1:18" ht="12" customHeight="1">
      <c r="A59" s="346"/>
      <c r="B59" s="346"/>
      <c r="C59" s="346"/>
      <c r="D59" s="346"/>
      <c r="E59" s="346"/>
      <c r="F59" s="346"/>
      <c r="G59" s="353"/>
      <c r="H59" s="353"/>
      <c r="I59" s="353"/>
      <c r="J59" s="353"/>
      <c r="K59" s="353"/>
      <c r="L59" s="346"/>
      <c r="M59" s="346"/>
      <c r="N59" s="346"/>
      <c r="O59" s="346"/>
      <c r="P59" s="346"/>
      <c r="Q59" s="346"/>
      <c r="R59" s="346"/>
    </row>
    <row r="60" spans="1:18">
      <c r="A60" s="346"/>
      <c r="B60" s="346"/>
      <c r="C60" s="346"/>
      <c r="D60" s="346"/>
      <c r="E60" s="346"/>
      <c r="F60" s="346"/>
      <c r="G60" s="353"/>
      <c r="H60" s="353"/>
      <c r="I60" s="353"/>
      <c r="J60" s="353"/>
      <c r="K60" s="353"/>
      <c r="L60" s="346"/>
      <c r="M60" s="346"/>
      <c r="N60" s="346"/>
      <c r="O60" s="346"/>
      <c r="P60" s="346"/>
      <c r="Q60" s="346"/>
      <c r="R60" s="346"/>
    </row>
    <row r="61" spans="1:18">
      <c r="A61" s="346"/>
      <c r="B61" s="346"/>
      <c r="C61" s="346"/>
      <c r="D61" s="346"/>
      <c r="E61" s="346"/>
      <c r="F61" s="346"/>
      <c r="G61" s="353"/>
      <c r="H61" s="353"/>
      <c r="I61" s="353"/>
      <c r="J61" s="353"/>
      <c r="K61" s="353"/>
      <c r="L61" s="346"/>
      <c r="M61" s="346"/>
      <c r="N61" s="346"/>
      <c r="O61" s="346"/>
      <c r="P61" s="346"/>
      <c r="Q61" s="346"/>
      <c r="R61" s="346"/>
    </row>
    <row r="62" spans="1:18">
      <c r="A62" s="346"/>
      <c r="B62" s="346"/>
      <c r="C62" s="346"/>
      <c r="D62" s="346"/>
      <c r="E62" s="346"/>
      <c r="F62" s="346"/>
      <c r="G62" s="353"/>
      <c r="H62" s="353"/>
      <c r="I62" s="353"/>
      <c r="J62" s="353"/>
      <c r="K62" s="353"/>
      <c r="L62" s="346"/>
      <c r="M62" s="346"/>
      <c r="N62" s="346"/>
      <c r="O62" s="346"/>
      <c r="P62" s="346"/>
      <c r="Q62" s="346"/>
      <c r="R62" s="346"/>
    </row>
    <row r="63" spans="1:18">
      <c r="A63" s="346"/>
      <c r="B63" s="346"/>
      <c r="C63" s="346"/>
      <c r="D63" s="346"/>
      <c r="E63" s="346"/>
      <c r="F63" s="346"/>
      <c r="G63" s="353"/>
      <c r="H63" s="353"/>
      <c r="I63" s="353"/>
      <c r="J63" s="353"/>
      <c r="K63" s="353"/>
      <c r="L63" s="346"/>
      <c r="M63" s="346"/>
      <c r="N63" s="346"/>
      <c r="O63" s="346"/>
      <c r="P63" s="346"/>
      <c r="Q63" s="346"/>
      <c r="R63" s="346"/>
    </row>
    <row r="64" spans="1:18">
      <c r="A64" s="346"/>
      <c r="B64" s="346"/>
      <c r="C64" s="346"/>
      <c r="D64" s="346"/>
      <c r="E64" s="346"/>
      <c r="F64" s="346"/>
      <c r="G64" s="353"/>
      <c r="H64" s="353"/>
      <c r="I64" s="346"/>
      <c r="J64" s="346"/>
      <c r="K64" s="346"/>
      <c r="L64" s="346"/>
      <c r="M64" s="346"/>
      <c r="N64" s="346"/>
      <c r="O64" s="346"/>
      <c r="P64" s="346"/>
      <c r="Q64" s="346"/>
      <c r="R64" s="346"/>
    </row>
    <row r="65" spans="1:18">
      <c r="A65" s="346"/>
      <c r="B65" s="346"/>
      <c r="C65" s="346"/>
      <c r="D65" s="346"/>
      <c r="E65" s="346"/>
      <c r="F65" s="346"/>
      <c r="G65" s="353"/>
      <c r="H65" s="353"/>
      <c r="I65" s="346"/>
      <c r="J65" s="346"/>
      <c r="K65" s="346"/>
      <c r="L65" s="346"/>
      <c r="M65" s="346"/>
      <c r="N65" s="346"/>
      <c r="O65" s="346"/>
      <c r="P65" s="346"/>
      <c r="Q65" s="346"/>
      <c r="R65" s="346"/>
    </row>
    <row r="66" spans="1:18">
      <c r="A66" s="346"/>
      <c r="B66" s="346"/>
      <c r="C66" s="346"/>
      <c r="D66" s="346"/>
      <c r="E66" s="346"/>
      <c r="F66" s="346"/>
      <c r="G66" s="353"/>
      <c r="H66" s="353"/>
      <c r="I66" s="346"/>
      <c r="J66" s="346"/>
      <c r="K66" s="346"/>
      <c r="L66" s="346"/>
      <c r="M66" s="346"/>
      <c r="N66" s="346"/>
      <c r="O66" s="346"/>
      <c r="P66" s="346"/>
      <c r="Q66" s="346"/>
      <c r="R66" s="346"/>
    </row>
    <row r="67" spans="1:18">
      <c r="A67" s="346"/>
      <c r="B67" s="346"/>
      <c r="C67" s="346"/>
      <c r="D67" s="346"/>
      <c r="E67" s="346"/>
      <c r="F67" s="346"/>
      <c r="G67" s="353"/>
      <c r="H67" s="353"/>
      <c r="I67" s="346"/>
      <c r="J67" s="346"/>
      <c r="K67" s="346"/>
      <c r="L67" s="346"/>
      <c r="M67" s="346"/>
      <c r="N67" s="346"/>
      <c r="O67" s="346"/>
      <c r="P67" s="346"/>
      <c r="Q67" s="346"/>
      <c r="R67" s="346"/>
    </row>
    <row r="68" spans="1:18">
      <c r="A68" s="346"/>
      <c r="B68" s="346"/>
      <c r="C68" s="346"/>
      <c r="D68" s="346"/>
      <c r="E68" s="346"/>
      <c r="F68" s="346"/>
      <c r="G68" s="346"/>
      <c r="H68" s="346"/>
      <c r="I68" s="346"/>
      <c r="J68" s="346"/>
      <c r="K68" s="346"/>
      <c r="L68" s="346"/>
      <c r="M68" s="346"/>
      <c r="N68" s="346"/>
      <c r="O68" s="346"/>
      <c r="P68" s="346"/>
      <c r="Q68" s="346"/>
      <c r="R68" s="346"/>
    </row>
    <row r="69" spans="1:18">
      <c r="A69" s="346"/>
      <c r="B69" s="346"/>
      <c r="C69" s="346"/>
      <c r="D69" s="346"/>
      <c r="E69" s="346"/>
      <c r="F69" s="346"/>
      <c r="G69" s="346"/>
      <c r="H69" s="346"/>
      <c r="I69" s="346"/>
      <c r="J69" s="346"/>
      <c r="K69" s="346"/>
      <c r="L69" s="346"/>
      <c r="M69" s="346"/>
      <c r="N69" s="346"/>
      <c r="O69" s="346"/>
      <c r="P69" s="346"/>
      <c r="Q69" s="346"/>
      <c r="R69" s="346"/>
    </row>
    <row r="70" spans="1:18">
      <c r="A70" s="346"/>
      <c r="B70" s="346"/>
      <c r="C70" s="346"/>
      <c r="D70" s="346"/>
      <c r="E70" s="346"/>
      <c r="F70" s="346"/>
      <c r="G70" s="346"/>
      <c r="H70" s="346"/>
      <c r="I70" s="346"/>
      <c r="J70" s="346"/>
      <c r="K70" s="346"/>
      <c r="L70" s="346"/>
      <c r="M70" s="346"/>
      <c r="N70" s="346"/>
      <c r="O70" s="346"/>
      <c r="P70" s="346"/>
      <c r="Q70" s="346"/>
      <c r="R70" s="346"/>
    </row>
    <row r="71" spans="1:18">
      <c r="A71" s="346"/>
      <c r="B71" s="346"/>
      <c r="C71" s="346"/>
      <c r="D71" s="346"/>
      <c r="E71" s="346"/>
      <c r="F71" s="346"/>
      <c r="G71" s="346"/>
      <c r="H71" s="346"/>
      <c r="I71" s="346"/>
      <c r="J71" s="346"/>
      <c r="K71" s="346"/>
      <c r="L71" s="346"/>
      <c r="M71" s="346"/>
      <c r="N71" s="346"/>
      <c r="O71" s="346"/>
      <c r="P71" s="346"/>
      <c r="Q71" s="346"/>
      <c r="R71" s="346"/>
    </row>
    <row r="72" spans="1:18">
      <c r="A72" s="346"/>
      <c r="B72" s="346"/>
      <c r="C72" s="346"/>
      <c r="D72" s="346"/>
      <c r="E72" s="346"/>
      <c r="F72" s="346"/>
      <c r="G72" s="346"/>
      <c r="H72" s="346"/>
      <c r="I72" s="346"/>
      <c r="J72" s="346"/>
      <c r="K72" s="346"/>
      <c r="L72" s="346"/>
      <c r="M72" s="346"/>
      <c r="N72" s="346"/>
      <c r="O72" s="346"/>
      <c r="P72" s="346"/>
      <c r="Q72" s="346"/>
      <c r="R72" s="346"/>
    </row>
    <row r="73" spans="1:18">
      <c r="A73" s="346"/>
      <c r="B73" s="346"/>
      <c r="C73" s="346"/>
      <c r="D73" s="346"/>
      <c r="E73" s="346"/>
      <c r="F73" s="346"/>
      <c r="G73" s="346"/>
      <c r="H73" s="346"/>
      <c r="I73" s="346"/>
      <c r="J73" s="346"/>
      <c r="K73" s="346"/>
      <c r="L73" s="346"/>
      <c r="M73" s="346"/>
      <c r="N73" s="346"/>
      <c r="O73" s="346"/>
      <c r="P73" s="346"/>
      <c r="Q73" s="346"/>
      <c r="R73" s="346"/>
    </row>
    <row r="74" spans="1:18">
      <c r="A74" s="346"/>
      <c r="B74" s="346"/>
      <c r="C74" s="346"/>
      <c r="D74" s="346"/>
      <c r="E74" s="346"/>
      <c r="F74" s="346"/>
      <c r="G74" s="346"/>
      <c r="H74" s="346"/>
      <c r="I74" s="346"/>
      <c r="J74" s="346"/>
      <c r="K74" s="346"/>
      <c r="L74" s="346"/>
      <c r="M74" s="346"/>
      <c r="N74" s="346"/>
      <c r="O74" s="346"/>
      <c r="P74" s="346"/>
      <c r="Q74" s="346"/>
      <c r="R74" s="346"/>
    </row>
    <row r="75" spans="1:18">
      <c r="A75" s="346"/>
      <c r="B75" s="346"/>
      <c r="C75" s="346"/>
      <c r="D75" s="346"/>
      <c r="E75" s="346"/>
      <c r="F75" s="346"/>
      <c r="G75" s="346"/>
      <c r="H75" s="346"/>
      <c r="I75" s="346"/>
      <c r="J75" s="346"/>
      <c r="K75" s="346"/>
      <c r="L75" s="346"/>
      <c r="M75" s="346"/>
      <c r="N75" s="346"/>
      <c r="O75" s="346"/>
      <c r="P75" s="346"/>
      <c r="Q75" s="346"/>
      <c r="R75" s="346"/>
    </row>
    <row r="76" spans="1:18">
      <c r="A76" s="346"/>
      <c r="B76" s="346"/>
      <c r="C76" s="346"/>
      <c r="D76" s="346"/>
      <c r="E76" s="346"/>
      <c r="F76" s="346"/>
      <c r="G76" s="346"/>
      <c r="H76" s="346"/>
      <c r="I76" s="346"/>
      <c r="J76" s="346"/>
      <c r="K76" s="346"/>
      <c r="L76" s="346"/>
      <c r="M76" s="346"/>
      <c r="N76" s="346"/>
      <c r="O76" s="346"/>
      <c r="P76" s="346"/>
      <c r="Q76" s="346"/>
      <c r="R76" s="346"/>
    </row>
    <row r="77" spans="1:18">
      <c r="A77" s="346"/>
      <c r="B77" s="346"/>
      <c r="C77" s="346"/>
      <c r="D77" s="346"/>
      <c r="E77" s="346"/>
      <c r="F77" s="346"/>
      <c r="G77" s="346"/>
      <c r="H77" s="346"/>
      <c r="I77" s="346"/>
      <c r="J77" s="346"/>
      <c r="K77" s="346"/>
      <c r="L77" s="346"/>
      <c r="M77" s="346"/>
      <c r="N77" s="346"/>
      <c r="O77" s="346"/>
      <c r="P77" s="346"/>
      <c r="Q77" s="346"/>
      <c r="R77" s="346"/>
    </row>
    <row r="78" spans="1:18">
      <c r="A78" s="346"/>
      <c r="B78" s="346"/>
      <c r="C78" s="346"/>
      <c r="D78" s="346"/>
      <c r="E78" s="346"/>
      <c r="F78" s="346"/>
      <c r="G78" s="346"/>
      <c r="H78" s="346"/>
      <c r="I78" s="346"/>
      <c r="J78" s="346"/>
      <c r="K78" s="346"/>
      <c r="L78" s="346"/>
      <c r="M78" s="346"/>
      <c r="N78" s="346"/>
      <c r="O78" s="346"/>
      <c r="P78" s="346"/>
      <c r="Q78" s="346"/>
      <c r="R78" s="346"/>
    </row>
    <row r="79" spans="1:18">
      <c r="A79" s="346"/>
      <c r="B79" s="346"/>
      <c r="C79" s="346"/>
      <c r="D79" s="346"/>
      <c r="E79" s="346"/>
      <c r="F79" s="346"/>
      <c r="G79" s="346"/>
      <c r="H79" s="346"/>
      <c r="I79" s="346"/>
      <c r="J79" s="346"/>
      <c r="K79" s="346"/>
      <c r="L79" s="346"/>
      <c r="M79" s="346"/>
      <c r="N79" s="346"/>
      <c r="O79" s="346"/>
      <c r="P79" s="346"/>
      <c r="Q79" s="346"/>
      <c r="R79" s="346"/>
    </row>
    <row r="80" spans="1:18">
      <c r="A80" s="346"/>
      <c r="B80" s="346"/>
      <c r="C80" s="346"/>
      <c r="D80" s="346"/>
      <c r="E80" s="346"/>
      <c r="F80" s="346"/>
      <c r="G80" s="346"/>
      <c r="H80" s="346"/>
      <c r="I80" s="346"/>
      <c r="J80" s="346"/>
      <c r="K80" s="346"/>
      <c r="L80" s="346"/>
      <c r="M80" s="346"/>
      <c r="N80" s="346"/>
      <c r="O80" s="346"/>
      <c r="P80" s="346"/>
      <c r="Q80" s="346"/>
      <c r="R80" s="346"/>
    </row>
    <row r="81" spans="1:18">
      <c r="A81" s="346"/>
      <c r="B81" s="346"/>
      <c r="C81" s="346"/>
      <c r="D81" s="346"/>
      <c r="E81" s="346"/>
      <c r="F81" s="346"/>
      <c r="G81" s="346"/>
      <c r="H81" s="346"/>
      <c r="I81" s="346"/>
      <c r="J81" s="346"/>
      <c r="K81" s="346"/>
      <c r="L81" s="346"/>
      <c r="M81" s="346"/>
      <c r="N81" s="346"/>
      <c r="O81" s="346"/>
      <c r="P81" s="346"/>
      <c r="Q81" s="346"/>
      <c r="R81" s="346"/>
    </row>
    <row r="82" spans="1:18">
      <c r="A82" s="346"/>
      <c r="B82" s="346"/>
      <c r="C82" s="346"/>
      <c r="D82" s="346"/>
      <c r="E82" s="346"/>
      <c r="F82" s="346"/>
      <c r="G82" s="346"/>
      <c r="H82" s="346"/>
      <c r="I82" s="346"/>
      <c r="J82" s="346"/>
      <c r="K82" s="346"/>
      <c r="L82" s="346"/>
      <c r="M82" s="346"/>
      <c r="N82" s="346"/>
      <c r="O82" s="346"/>
      <c r="P82" s="346"/>
      <c r="Q82" s="346"/>
      <c r="R82" s="346"/>
    </row>
    <row r="83" spans="1:18">
      <c r="A83" s="346"/>
      <c r="B83" s="346"/>
      <c r="C83" s="346"/>
      <c r="D83" s="346"/>
      <c r="E83" s="346"/>
      <c r="F83" s="346"/>
      <c r="G83" s="346"/>
      <c r="H83" s="346"/>
      <c r="I83" s="346"/>
      <c r="J83" s="346"/>
      <c r="K83" s="346"/>
      <c r="L83" s="346"/>
      <c r="M83" s="346"/>
      <c r="N83" s="346"/>
      <c r="O83" s="346"/>
      <c r="P83" s="346"/>
      <c r="Q83" s="346"/>
      <c r="R83" s="346"/>
    </row>
    <row r="84" spans="1:18">
      <c r="A84" s="346"/>
      <c r="B84" s="346"/>
      <c r="C84" s="346"/>
      <c r="D84" s="346"/>
      <c r="E84" s="346"/>
      <c r="F84" s="346"/>
      <c r="G84" s="346"/>
      <c r="H84" s="346"/>
      <c r="I84" s="346"/>
      <c r="J84" s="346"/>
      <c r="K84" s="346"/>
      <c r="L84" s="346"/>
      <c r="M84" s="346"/>
      <c r="N84" s="346"/>
      <c r="O84" s="346"/>
      <c r="P84" s="346"/>
      <c r="Q84" s="346"/>
      <c r="R84" s="346"/>
    </row>
    <row r="85" spans="1:18">
      <c r="A85" s="346"/>
      <c r="B85" s="346"/>
      <c r="C85" s="346"/>
      <c r="D85" s="346"/>
      <c r="E85" s="346"/>
      <c r="F85" s="346"/>
      <c r="G85" s="346"/>
      <c r="H85" s="346"/>
      <c r="I85" s="346"/>
      <c r="J85" s="346"/>
      <c r="K85" s="346"/>
      <c r="L85" s="346"/>
      <c r="M85" s="346"/>
      <c r="N85" s="346"/>
      <c r="O85" s="346"/>
      <c r="P85" s="346"/>
      <c r="Q85" s="346"/>
      <c r="R85" s="346"/>
    </row>
    <row r="86" spans="1:18">
      <c r="A86" s="346"/>
      <c r="B86" s="346"/>
      <c r="C86" s="346"/>
      <c r="D86" s="346"/>
      <c r="E86" s="346"/>
      <c r="F86" s="346"/>
      <c r="G86" s="346"/>
      <c r="H86" s="346"/>
      <c r="I86" s="346"/>
      <c r="J86" s="346"/>
      <c r="K86" s="346"/>
      <c r="L86" s="346"/>
      <c r="M86" s="346"/>
      <c r="N86" s="346"/>
      <c r="O86" s="346"/>
      <c r="P86" s="346"/>
      <c r="Q86" s="346"/>
      <c r="R86" s="346"/>
    </row>
    <row r="87" spans="1:18">
      <c r="A87" s="346"/>
      <c r="B87" s="346"/>
      <c r="C87" s="346"/>
      <c r="D87" s="346"/>
      <c r="E87" s="346"/>
      <c r="F87" s="346"/>
      <c r="G87" s="346"/>
      <c r="H87" s="346"/>
      <c r="I87" s="346"/>
      <c r="J87" s="346"/>
      <c r="K87" s="346"/>
      <c r="L87" s="346"/>
      <c r="M87" s="346"/>
      <c r="N87" s="346"/>
      <c r="O87" s="346"/>
      <c r="P87" s="346"/>
      <c r="Q87" s="346"/>
      <c r="R87" s="346"/>
    </row>
    <row r="88" spans="1:18">
      <c r="A88" s="346"/>
      <c r="B88" s="346"/>
      <c r="C88" s="346"/>
      <c r="D88" s="346"/>
      <c r="E88" s="346"/>
      <c r="F88" s="346"/>
      <c r="G88" s="346"/>
      <c r="H88" s="346"/>
      <c r="I88" s="346"/>
      <c r="J88" s="346"/>
      <c r="K88" s="346"/>
      <c r="L88" s="346"/>
      <c r="M88" s="346"/>
      <c r="N88" s="346"/>
      <c r="O88" s="346"/>
      <c r="P88" s="346"/>
      <c r="Q88" s="346"/>
      <c r="R88" s="346"/>
    </row>
    <row r="89" spans="1:18">
      <c r="A89" s="346"/>
      <c r="B89" s="346"/>
      <c r="C89" s="346"/>
      <c r="D89" s="346"/>
      <c r="E89" s="346"/>
      <c r="F89" s="346"/>
      <c r="G89" s="346"/>
      <c r="H89" s="346"/>
      <c r="I89" s="346"/>
      <c r="J89" s="346"/>
      <c r="K89" s="346"/>
      <c r="L89" s="346"/>
      <c r="M89" s="346"/>
      <c r="N89" s="346"/>
      <c r="O89" s="346"/>
      <c r="P89" s="346"/>
      <c r="Q89" s="346"/>
      <c r="R89" s="346"/>
    </row>
    <row r="90" spans="1:18">
      <c r="A90" s="346"/>
      <c r="B90" s="346"/>
      <c r="C90" s="346"/>
      <c r="D90" s="346"/>
      <c r="E90" s="346"/>
      <c r="F90" s="346"/>
      <c r="G90" s="346"/>
      <c r="H90" s="346"/>
      <c r="I90" s="346"/>
      <c r="J90" s="346"/>
      <c r="K90" s="346"/>
      <c r="L90" s="346"/>
      <c r="M90" s="346"/>
      <c r="N90" s="346"/>
      <c r="O90" s="346"/>
      <c r="P90" s="346"/>
      <c r="Q90" s="346"/>
      <c r="R90" s="346"/>
    </row>
    <row r="91" spans="1:18">
      <c r="A91" s="346"/>
      <c r="B91" s="346"/>
      <c r="C91" s="346"/>
      <c r="D91" s="346"/>
      <c r="E91" s="346"/>
      <c r="F91" s="346"/>
      <c r="G91" s="346"/>
      <c r="H91" s="346"/>
      <c r="I91" s="346"/>
      <c r="J91" s="346"/>
      <c r="K91" s="346"/>
      <c r="L91" s="346"/>
      <c r="M91" s="346"/>
      <c r="N91" s="346"/>
      <c r="O91" s="346"/>
      <c r="P91" s="346"/>
      <c r="Q91" s="346"/>
      <c r="R91" s="346"/>
    </row>
    <row r="92" spans="1:18">
      <c r="A92" s="346"/>
      <c r="B92" s="346"/>
      <c r="C92" s="346"/>
      <c r="D92" s="346"/>
      <c r="E92" s="346"/>
      <c r="F92" s="346"/>
      <c r="G92" s="346"/>
      <c r="H92" s="346"/>
      <c r="I92" s="346"/>
      <c r="J92" s="346"/>
      <c r="K92" s="346"/>
      <c r="L92" s="346"/>
      <c r="M92" s="346"/>
      <c r="N92" s="346"/>
      <c r="O92" s="346"/>
      <c r="P92" s="346"/>
      <c r="Q92" s="346"/>
      <c r="R92" s="346"/>
    </row>
    <row r="93" spans="1:18">
      <c r="A93" s="346"/>
      <c r="B93" s="346"/>
      <c r="C93" s="346"/>
      <c r="D93" s="346"/>
      <c r="E93" s="346"/>
      <c r="F93" s="346"/>
      <c r="G93" s="346"/>
      <c r="H93" s="346"/>
      <c r="I93" s="346"/>
      <c r="J93" s="346"/>
      <c r="K93" s="346"/>
      <c r="L93" s="346"/>
      <c r="M93" s="346"/>
      <c r="N93" s="346"/>
      <c r="O93" s="346"/>
      <c r="P93" s="346"/>
      <c r="Q93" s="346"/>
      <c r="R93" s="346"/>
    </row>
    <row r="94" spans="1:18">
      <c r="A94" s="346"/>
      <c r="B94" s="346"/>
      <c r="C94" s="346"/>
      <c r="D94" s="346"/>
      <c r="E94" s="346"/>
      <c r="F94" s="346"/>
      <c r="G94" s="346"/>
      <c r="H94" s="346"/>
      <c r="I94" s="346"/>
      <c r="J94" s="346"/>
      <c r="K94" s="346"/>
      <c r="L94" s="346"/>
      <c r="M94" s="346"/>
      <c r="N94" s="346"/>
      <c r="O94" s="346"/>
      <c r="P94" s="346"/>
      <c r="Q94" s="346"/>
      <c r="R94" s="346"/>
    </row>
    <row r="95" spans="1:18">
      <c r="A95" s="346"/>
      <c r="B95" s="346"/>
      <c r="C95" s="346"/>
      <c r="D95" s="346"/>
      <c r="E95" s="346"/>
      <c r="F95" s="346"/>
      <c r="G95" s="346"/>
      <c r="H95" s="346"/>
      <c r="I95" s="346"/>
      <c r="J95" s="346"/>
      <c r="K95" s="346"/>
      <c r="L95" s="346"/>
      <c r="M95" s="346"/>
      <c r="N95" s="346"/>
      <c r="O95" s="346"/>
      <c r="P95" s="346"/>
      <c r="Q95" s="346"/>
      <c r="R95" s="346"/>
    </row>
    <row r="96" spans="1:18">
      <c r="A96" s="346"/>
      <c r="B96" s="346"/>
      <c r="C96" s="346"/>
      <c r="D96" s="346"/>
      <c r="E96" s="346"/>
      <c r="F96" s="346"/>
      <c r="G96" s="346"/>
      <c r="H96" s="346"/>
      <c r="I96" s="346"/>
      <c r="J96" s="346"/>
      <c r="K96" s="346"/>
      <c r="L96" s="346"/>
      <c r="M96" s="346"/>
      <c r="N96" s="346"/>
      <c r="O96" s="346"/>
      <c r="P96" s="346"/>
      <c r="Q96" s="346"/>
      <c r="R96" s="346"/>
    </row>
    <row r="97" spans="1:18">
      <c r="A97" s="346"/>
      <c r="B97" s="346"/>
      <c r="C97" s="346"/>
      <c r="D97" s="346"/>
      <c r="E97" s="346"/>
      <c r="F97" s="346"/>
      <c r="G97" s="346"/>
      <c r="H97" s="346"/>
      <c r="I97" s="346"/>
      <c r="J97" s="346"/>
      <c r="K97" s="346"/>
      <c r="L97" s="346"/>
      <c r="M97" s="346"/>
      <c r="N97" s="346"/>
      <c r="O97" s="346"/>
      <c r="P97" s="346"/>
      <c r="Q97" s="346"/>
      <c r="R97" s="346"/>
    </row>
    <row r="98" spans="1:18">
      <c r="A98" s="346"/>
      <c r="B98" s="346"/>
      <c r="C98" s="346"/>
      <c r="D98" s="346"/>
      <c r="E98" s="346"/>
      <c r="F98" s="346"/>
      <c r="G98" s="346"/>
      <c r="H98" s="346"/>
      <c r="I98" s="346"/>
      <c r="J98" s="346"/>
      <c r="K98" s="346"/>
      <c r="L98" s="346"/>
      <c r="M98" s="346"/>
      <c r="N98" s="346"/>
      <c r="O98" s="346"/>
      <c r="P98" s="346"/>
      <c r="Q98" s="346"/>
      <c r="R98" s="346"/>
    </row>
    <row r="99" spans="1:18">
      <c r="A99" s="346"/>
      <c r="B99" s="346"/>
      <c r="C99" s="346"/>
      <c r="D99" s="346"/>
      <c r="E99" s="346"/>
      <c r="F99" s="346"/>
      <c r="G99" s="346"/>
      <c r="H99" s="346"/>
      <c r="I99" s="346"/>
      <c r="J99" s="346"/>
      <c r="K99" s="346"/>
      <c r="L99" s="346"/>
      <c r="M99" s="346"/>
      <c r="N99" s="346"/>
      <c r="O99" s="346"/>
      <c r="P99" s="346"/>
      <c r="Q99" s="346"/>
      <c r="R99" s="346"/>
    </row>
    <row r="100" spans="1:18">
      <c r="A100" s="346"/>
      <c r="B100" s="346"/>
      <c r="C100" s="346"/>
      <c r="D100" s="346"/>
      <c r="E100" s="346"/>
      <c r="F100" s="346"/>
      <c r="G100" s="346"/>
      <c r="H100" s="346"/>
      <c r="I100" s="346"/>
      <c r="J100" s="346"/>
      <c r="K100" s="346"/>
      <c r="L100" s="346"/>
      <c r="M100" s="346"/>
      <c r="N100" s="346"/>
      <c r="O100" s="346"/>
      <c r="P100" s="346"/>
      <c r="Q100" s="346"/>
      <c r="R100" s="346"/>
    </row>
  </sheetData>
  <mergeCells count="6">
    <mergeCell ref="B57:K57"/>
    <mergeCell ref="B56:K56"/>
    <mergeCell ref="C4:J5"/>
    <mergeCell ref="C9:D9"/>
    <mergeCell ref="C10:D10"/>
    <mergeCell ref="C11:D11"/>
  </mergeCells>
  <phoneticPr fontId="18" type="noConversion"/>
  <printOptions horizontalCentered="1"/>
  <pageMargins left="0.75" right="0.5" top="0.72" bottom="0.5" header="0.5" footer="0.5"/>
  <pageSetup scale="59" orientation="landscape" blackAndWhite="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theme="0"/>
  </sheetPr>
  <dimension ref="A1:AB109"/>
  <sheetViews>
    <sheetView showZeros="0" topLeftCell="A46" zoomScale="90" zoomScaleNormal="90" workbookViewId="0">
      <selection activeCell="E43" sqref="E43"/>
    </sheetView>
  </sheetViews>
  <sheetFormatPr defaultRowHeight="12"/>
  <cols>
    <col min="1" max="1" width="4.25" customWidth="1"/>
    <col min="2" max="2" width="59.625" customWidth="1"/>
    <col min="3" max="3" width="7.25" customWidth="1"/>
    <col min="4" max="4" width="12" customWidth="1"/>
    <col min="5" max="5" width="23" customWidth="1"/>
    <col min="6" max="6" width="17.75" customWidth="1"/>
    <col min="7" max="7" width="2" customWidth="1"/>
  </cols>
  <sheetData>
    <row r="1" spans="1:28" ht="12.75" thickBot="1">
      <c r="A1" s="395"/>
      <c r="B1" s="395"/>
      <c r="C1" s="395"/>
      <c r="D1" s="395"/>
      <c r="E1" s="395"/>
      <c r="F1" s="395"/>
      <c r="G1" s="395"/>
      <c r="H1" s="395"/>
      <c r="I1" s="395"/>
      <c r="J1" s="395"/>
      <c r="K1" s="395"/>
      <c r="L1" s="395"/>
      <c r="M1" s="395"/>
      <c r="N1" s="395"/>
      <c r="O1" s="395"/>
      <c r="P1" s="395"/>
      <c r="Q1" s="395"/>
      <c r="R1" s="395"/>
      <c r="S1" s="395"/>
      <c r="T1" s="395"/>
      <c r="U1" s="395"/>
      <c r="V1" s="395"/>
      <c r="W1" s="395"/>
      <c r="X1" s="395"/>
      <c r="Y1" s="395"/>
      <c r="Z1" s="395"/>
      <c r="AA1" s="395"/>
      <c r="AB1" s="395"/>
    </row>
    <row r="2" spans="1:28" ht="31.5" customHeight="1">
      <c r="A2" s="395"/>
      <c r="B2" s="1386" t="s">
        <v>524</v>
      </c>
      <c r="C2" s="1387"/>
      <c r="D2" s="1387"/>
      <c r="E2" s="1387"/>
      <c r="F2" s="1388"/>
      <c r="G2" s="395"/>
      <c r="H2" s="395"/>
      <c r="I2" s="395"/>
      <c r="J2" s="395"/>
      <c r="K2" s="395"/>
      <c r="L2" s="395"/>
      <c r="M2" s="395"/>
      <c r="N2" s="395"/>
      <c r="O2" s="395"/>
      <c r="P2" s="395"/>
      <c r="Q2" s="395"/>
      <c r="R2" s="395"/>
      <c r="S2" s="395"/>
      <c r="T2" s="395"/>
      <c r="U2" s="395"/>
      <c r="V2" s="395"/>
      <c r="W2" s="395"/>
      <c r="X2" s="395"/>
      <c r="Y2" s="395"/>
      <c r="Z2" s="395"/>
      <c r="AA2" s="395"/>
      <c r="AB2" s="395"/>
    </row>
    <row r="3" spans="1:28">
      <c r="A3" s="395"/>
      <c r="B3" s="269"/>
      <c r="C3" s="270"/>
      <c r="D3" s="270"/>
      <c r="E3" s="270"/>
      <c r="F3" s="278"/>
      <c r="G3" s="395"/>
      <c r="H3" s="395"/>
      <c r="I3" s="395"/>
      <c r="J3" s="395"/>
      <c r="K3" s="395"/>
      <c r="L3" s="395"/>
      <c r="M3" s="395"/>
      <c r="N3" s="395"/>
      <c r="O3" s="395"/>
      <c r="P3" s="395"/>
      <c r="Q3" s="395"/>
      <c r="R3" s="395"/>
      <c r="S3" s="395"/>
      <c r="T3" s="395"/>
      <c r="U3" s="395"/>
      <c r="V3" s="395"/>
      <c r="W3" s="395"/>
      <c r="X3" s="395"/>
      <c r="Y3" s="395"/>
      <c r="Z3" s="395"/>
      <c r="AA3" s="395"/>
      <c r="AB3" s="395"/>
    </row>
    <row r="4" spans="1:28" ht="20.100000000000001" customHeight="1">
      <c r="A4" s="395"/>
      <c r="B4" s="354" t="s">
        <v>24</v>
      </c>
      <c r="C4" s="355">
        <f>LivestockForageBalance!$H$6</f>
        <v>0</v>
      </c>
      <c r="D4" s="356"/>
      <c r="E4" s="356"/>
      <c r="F4" s="278"/>
      <c r="G4" s="395"/>
      <c r="H4" s="395"/>
      <c r="I4" s="395"/>
      <c r="J4" s="395"/>
      <c r="K4" s="395"/>
      <c r="L4" s="395"/>
      <c r="M4" s="395"/>
      <c r="N4" s="395"/>
      <c r="O4" s="395"/>
      <c r="P4" s="395"/>
      <c r="Q4" s="395"/>
      <c r="R4" s="395"/>
      <c r="S4" s="395"/>
      <c r="T4" s="395"/>
      <c r="U4" s="395"/>
      <c r="V4" s="395"/>
      <c r="W4" s="395"/>
      <c r="X4" s="395"/>
      <c r="Y4" s="395"/>
      <c r="Z4" s="395"/>
      <c r="AA4" s="395"/>
      <c r="AB4" s="395"/>
    </row>
    <row r="5" spans="1:28" ht="20.100000000000001" customHeight="1">
      <c r="A5" s="395"/>
      <c r="B5" s="354" t="s">
        <v>25</v>
      </c>
      <c r="C5" s="355" t="str">
        <f>LivestockForageBalance!$H$7</f>
        <v/>
      </c>
      <c r="D5" s="356"/>
      <c r="E5" s="356"/>
      <c r="F5" s="278"/>
      <c r="G5" s="395"/>
      <c r="H5" s="395"/>
      <c r="I5" s="395"/>
      <c r="J5" s="395"/>
      <c r="K5" s="395"/>
      <c r="L5" s="395"/>
      <c r="M5" s="395"/>
      <c r="N5" s="395"/>
      <c r="O5" s="395"/>
      <c r="P5" s="395"/>
      <c r="Q5" s="395"/>
      <c r="R5" s="395"/>
      <c r="S5" s="395"/>
      <c r="T5" s="395"/>
      <c r="U5" s="395"/>
      <c r="V5" s="395"/>
      <c r="W5" s="395"/>
      <c r="X5" s="395"/>
      <c r="Y5" s="395"/>
      <c r="Z5" s="395"/>
      <c r="AA5" s="395"/>
      <c r="AB5" s="395"/>
    </row>
    <row r="6" spans="1:28" ht="20.100000000000001" customHeight="1">
      <c r="A6" s="395"/>
      <c r="B6" s="354" t="s">
        <v>26</v>
      </c>
      <c r="C6" s="355" t="str">
        <f>LivestockForageBalance!$H$9</f>
        <v/>
      </c>
      <c r="D6" s="356"/>
      <c r="E6" s="356"/>
      <c r="F6" s="278"/>
      <c r="G6" s="395"/>
      <c r="H6" s="395"/>
      <c r="I6" s="395"/>
      <c r="J6" s="395"/>
      <c r="K6" s="395"/>
      <c r="L6" s="395"/>
      <c r="M6" s="395"/>
      <c r="N6" s="395"/>
      <c r="O6" s="395"/>
      <c r="P6" s="395"/>
      <c r="Q6" s="395"/>
      <c r="R6" s="395"/>
      <c r="S6" s="395"/>
      <c r="T6" s="395"/>
      <c r="U6" s="395"/>
      <c r="V6" s="395"/>
      <c r="W6" s="395"/>
      <c r="X6" s="395"/>
      <c r="Y6" s="395"/>
      <c r="Z6" s="395"/>
      <c r="AA6" s="395"/>
      <c r="AB6" s="395"/>
    </row>
    <row r="7" spans="1:28" ht="20.100000000000001" customHeight="1">
      <c r="A7" s="395"/>
      <c r="B7" s="354" t="s">
        <v>28</v>
      </c>
      <c r="C7" s="357" t="str">
        <f>LivestockForageBalance!$H$8</f>
        <v/>
      </c>
      <c r="D7" s="356"/>
      <c r="E7" s="356"/>
      <c r="F7" s="278"/>
      <c r="G7" s="395"/>
      <c r="H7" s="395"/>
      <c r="I7" s="395"/>
      <c r="J7" s="395"/>
      <c r="K7" s="395"/>
      <c r="L7" s="395"/>
      <c r="M7" s="395"/>
      <c r="N7" s="395"/>
      <c r="O7" s="395"/>
      <c r="P7" s="395"/>
      <c r="Q7" s="395"/>
      <c r="R7" s="395"/>
      <c r="S7" s="395"/>
      <c r="T7" s="395"/>
      <c r="U7" s="395"/>
      <c r="V7" s="395"/>
      <c r="W7" s="395"/>
      <c r="X7" s="395"/>
      <c r="Y7" s="395"/>
      <c r="Z7" s="395"/>
      <c r="AA7" s="395"/>
      <c r="AB7" s="395"/>
    </row>
    <row r="8" spans="1:28" ht="20.100000000000001" customHeight="1">
      <c r="A8" s="395"/>
      <c r="B8" s="358" t="s">
        <v>241</v>
      </c>
      <c r="C8" s="359">
        <f>LivestockForageBalance!$H$10</f>
        <v>0</v>
      </c>
      <c r="D8" s="356"/>
      <c r="E8" s="356"/>
      <c r="F8" s="278"/>
      <c r="G8" s="395"/>
      <c r="H8" s="395"/>
      <c r="I8" s="395"/>
      <c r="J8" s="395"/>
      <c r="K8" s="395"/>
      <c r="L8" s="395"/>
      <c r="M8" s="395"/>
      <c r="N8" s="395"/>
      <c r="O8" s="395"/>
      <c r="P8" s="395"/>
      <c r="Q8" s="395"/>
      <c r="R8" s="395"/>
      <c r="S8" s="395"/>
      <c r="T8" s="395"/>
      <c r="U8" s="395"/>
      <c r="V8" s="395"/>
      <c r="W8" s="395"/>
      <c r="X8" s="395"/>
      <c r="Y8" s="395"/>
      <c r="Z8" s="395"/>
      <c r="AA8" s="395"/>
      <c r="AB8" s="395"/>
    </row>
    <row r="9" spans="1:28" ht="20.100000000000001" customHeight="1">
      <c r="A9" s="395"/>
      <c r="B9" s="360" t="s">
        <v>234</v>
      </c>
      <c r="C9" s="388"/>
      <c r="D9" s="388"/>
      <c r="E9" s="356"/>
      <c r="F9" s="361"/>
      <c r="G9" s="397"/>
      <c r="H9" s="395"/>
      <c r="I9" s="395"/>
      <c r="J9" s="395"/>
      <c r="K9" s="395"/>
      <c r="L9" s="395"/>
      <c r="M9" s="395"/>
      <c r="N9" s="395"/>
      <c r="O9" s="395"/>
      <c r="P9" s="395"/>
      <c r="Q9" s="395"/>
      <c r="R9" s="395"/>
      <c r="S9" s="395"/>
      <c r="T9" s="395"/>
      <c r="U9" s="395"/>
      <c r="V9" s="395"/>
      <c r="W9" s="395"/>
      <c r="X9" s="395"/>
      <c r="Y9" s="395"/>
      <c r="Z9" s="395"/>
      <c r="AA9" s="395"/>
      <c r="AB9" s="395"/>
    </row>
    <row r="10" spans="1:28" ht="20.100000000000001" customHeight="1">
      <c r="A10" s="395"/>
      <c r="B10" s="1378" t="s">
        <v>448</v>
      </c>
      <c r="C10" s="1379"/>
      <c r="D10" s="1379"/>
      <c r="E10" s="270"/>
      <c r="F10" s="361"/>
      <c r="G10" s="397"/>
      <c r="H10" s="398"/>
      <c r="I10" s="395"/>
      <c r="J10" s="395"/>
      <c r="K10" s="395"/>
      <c r="L10" s="395"/>
      <c r="M10" s="395"/>
      <c r="N10" s="395"/>
      <c r="O10" s="395"/>
      <c r="P10" s="395"/>
      <c r="Q10" s="395"/>
      <c r="R10" s="395"/>
      <c r="S10" s="395"/>
      <c r="T10" s="395"/>
      <c r="U10" s="395"/>
      <c r="V10" s="395"/>
      <c r="W10" s="395"/>
      <c r="X10" s="395"/>
      <c r="Y10" s="395"/>
      <c r="Z10" s="395"/>
      <c r="AA10" s="395"/>
      <c r="AB10" s="395"/>
    </row>
    <row r="11" spans="1:28" ht="20.100000000000001" customHeight="1">
      <c r="A11" s="396"/>
      <c r="B11" s="269"/>
      <c r="C11" s="387" t="s">
        <v>449</v>
      </c>
      <c r="D11" s="270"/>
      <c r="E11" s="270"/>
      <c r="F11" s="361"/>
      <c r="G11" s="397"/>
      <c r="H11" s="398"/>
      <c r="I11" s="395"/>
      <c r="J11" s="395"/>
      <c r="K11" s="395"/>
      <c r="L11" s="395"/>
      <c r="M11" s="395"/>
      <c r="N11" s="395"/>
      <c r="O11" s="395"/>
      <c r="P11" s="395"/>
      <c r="Q11" s="395"/>
      <c r="R11" s="395"/>
      <c r="S11" s="395"/>
      <c r="T11" s="395"/>
      <c r="U11" s="395"/>
      <c r="V11" s="395"/>
      <c r="W11" s="395"/>
      <c r="X11" s="395"/>
      <c r="Y11" s="395"/>
      <c r="Z11" s="395"/>
      <c r="AA11" s="395"/>
      <c r="AB11" s="395"/>
    </row>
    <row r="12" spans="1:28" ht="20.100000000000001" hidden="1" customHeight="1">
      <c r="A12" s="396"/>
      <c r="B12" s="269"/>
      <c r="C12" s="387" t="s">
        <v>450</v>
      </c>
      <c r="D12" s="270"/>
      <c r="E12" s="270"/>
      <c r="F12" s="361"/>
      <c r="G12" s="397"/>
      <c r="H12" s="398"/>
      <c r="I12" s="395"/>
      <c r="J12" s="395"/>
      <c r="K12" s="395"/>
      <c r="L12" s="395"/>
      <c r="M12" s="395"/>
      <c r="N12" s="395"/>
      <c r="O12" s="395"/>
      <c r="P12" s="395"/>
      <c r="Q12" s="395"/>
      <c r="R12" s="395"/>
      <c r="S12" s="395"/>
      <c r="T12" s="395"/>
      <c r="U12" s="395"/>
      <c r="V12" s="395"/>
      <c r="W12" s="395"/>
      <c r="X12" s="395"/>
      <c r="Y12" s="395"/>
      <c r="Z12" s="395"/>
      <c r="AA12" s="395"/>
      <c r="AB12" s="395"/>
    </row>
    <row r="13" spans="1:28" ht="20.100000000000001" hidden="1" customHeight="1">
      <c r="A13" s="396"/>
      <c r="B13" s="269"/>
      <c r="C13" s="387" t="s">
        <v>451</v>
      </c>
      <c r="D13" s="270"/>
      <c r="E13" s="270"/>
      <c r="F13" s="361"/>
      <c r="G13" s="397"/>
      <c r="H13" s="398"/>
      <c r="I13" s="395"/>
      <c r="J13" s="395"/>
      <c r="K13" s="395"/>
      <c r="L13" s="395"/>
      <c r="M13" s="395"/>
      <c r="N13" s="395"/>
      <c r="O13" s="395"/>
      <c r="P13" s="395"/>
      <c r="Q13" s="395"/>
      <c r="R13" s="395"/>
      <c r="S13" s="395"/>
      <c r="T13" s="395"/>
      <c r="U13" s="395"/>
      <c r="V13" s="395"/>
      <c r="W13" s="395"/>
      <c r="X13" s="395"/>
      <c r="Y13" s="395"/>
      <c r="Z13" s="395"/>
      <c r="AA13" s="395"/>
      <c r="AB13" s="395"/>
    </row>
    <row r="14" spans="1:28" ht="20.100000000000001" hidden="1" customHeight="1">
      <c r="A14" s="396"/>
      <c r="B14" s="269"/>
      <c r="C14" s="387" t="s">
        <v>315</v>
      </c>
      <c r="D14" s="270"/>
      <c r="E14" s="270"/>
      <c r="F14" s="361"/>
      <c r="G14" s="397"/>
      <c r="H14" s="398"/>
      <c r="I14" s="395"/>
      <c r="J14" s="395"/>
      <c r="K14" s="395"/>
      <c r="L14" s="395"/>
      <c r="M14" s="395"/>
      <c r="N14" s="395"/>
      <c r="O14" s="395"/>
      <c r="P14" s="395"/>
      <c r="Q14" s="395"/>
      <c r="R14" s="395"/>
      <c r="S14" s="395"/>
      <c r="T14" s="395"/>
      <c r="U14" s="395"/>
      <c r="V14" s="395"/>
      <c r="W14" s="395"/>
      <c r="X14" s="395"/>
      <c r="Y14" s="395"/>
      <c r="Z14" s="395"/>
      <c r="AA14" s="395"/>
      <c r="AB14" s="395"/>
    </row>
    <row r="15" spans="1:28" ht="20.100000000000001" hidden="1" customHeight="1">
      <c r="A15" s="396"/>
      <c r="B15" s="269"/>
      <c r="C15" s="387" t="s">
        <v>316</v>
      </c>
      <c r="D15" s="270"/>
      <c r="E15" s="270"/>
      <c r="F15" s="361"/>
      <c r="G15" s="397"/>
      <c r="H15" s="398"/>
      <c r="I15" s="395"/>
      <c r="J15" s="395"/>
      <c r="K15" s="395"/>
      <c r="L15" s="395"/>
      <c r="M15" s="395"/>
      <c r="N15" s="395"/>
      <c r="O15" s="395"/>
      <c r="P15" s="395"/>
      <c r="Q15" s="395"/>
      <c r="R15" s="395"/>
      <c r="S15" s="395"/>
      <c r="T15" s="395"/>
      <c r="U15" s="395"/>
      <c r="V15" s="395"/>
      <c r="W15" s="395"/>
      <c r="X15" s="395"/>
      <c r="Y15" s="395"/>
      <c r="Z15" s="395"/>
      <c r="AA15" s="395"/>
      <c r="AB15" s="395"/>
    </row>
    <row r="16" spans="1:28" ht="20.100000000000001" hidden="1" customHeight="1">
      <c r="A16" s="396"/>
      <c r="B16" s="269"/>
      <c r="C16" s="387" t="s">
        <v>722</v>
      </c>
      <c r="D16" s="270"/>
      <c r="E16" s="270"/>
      <c r="F16" s="361"/>
      <c r="G16" s="397"/>
      <c r="H16" s="398"/>
      <c r="I16" s="395"/>
      <c r="J16" s="395"/>
      <c r="K16" s="395"/>
      <c r="L16" s="395"/>
      <c r="M16" s="395"/>
      <c r="N16" s="395"/>
      <c r="O16" s="395"/>
      <c r="P16" s="395"/>
      <c r="Q16" s="395"/>
      <c r="R16" s="395"/>
      <c r="S16" s="395"/>
      <c r="T16" s="395"/>
      <c r="U16" s="395"/>
      <c r="V16" s="395"/>
      <c r="W16" s="395"/>
      <c r="X16" s="395"/>
      <c r="Y16" s="395"/>
      <c r="Z16" s="395"/>
      <c r="AA16" s="395"/>
      <c r="AB16" s="395"/>
    </row>
    <row r="17" spans="1:28" ht="20.100000000000001" hidden="1" customHeight="1">
      <c r="A17" s="396"/>
      <c r="B17" s="269"/>
      <c r="C17" s="387" t="s">
        <v>724</v>
      </c>
      <c r="D17" s="270"/>
      <c r="E17" s="270"/>
      <c r="F17" s="361"/>
      <c r="G17" s="397"/>
      <c r="H17" s="398"/>
      <c r="I17" s="395"/>
      <c r="J17" s="395"/>
      <c r="K17" s="395"/>
      <c r="L17" s="395"/>
      <c r="M17" s="395"/>
      <c r="N17" s="395"/>
      <c r="O17" s="395"/>
      <c r="P17" s="395"/>
      <c r="Q17" s="395"/>
      <c r="R17" s="395"/>
      <c r="S17" s="395"/>
      <c r="T17" s="395"/>
      <c r="U17" s="395"/>
      <c r="V17" s="395"/>
      <c r="W17" s="395"/>
      <c r="X17" s="395"/>
      <c r="Y17" s="395"/>
      <c r="Z17" s="395"/>
      <c r="AA17" s="395"/>
      <c r="AB17" s="395"/>
    </row>
    <row r="18" spans="1:28" ht="20.100000000000001" hidden="1" customHeight="1">
      <c r="A18" s="396"/>
      <c r="B18" s="269"/>
      <c r="C18" s="387" t="s">
        <v>36</v>
      </c>
      <c r="D18" s="270"/>
      <c r="E18" s="270"/>
      <c r="F18" s="361"/>
      <c r="G18" s="397"/>
      <c r="H18" s="398"/>
      <c r="I18" s="395"/>
      <c r="J18" s="395"/>
      <c r="K18" s="395"/>
      <c r="L18" s="395"/>
      <c r="M18" s="395"/>
      <c r="N18" s="395"/>
      <c r="O18" s="395"/>
      <c r="P18" s="395"/>
      <c r="Q18" s="395"/>
      <c r="R18" s="395"/>
      <c r="S18" s="395"/>
      <c r="T18" s="395"/>
      <c r="U18" s="395"/>
      <c r="V18" s="395"/>
      <c r="W18" s="395"/>
      <c r="X18" s="395"/>
      <c r="Y18" s="395"/>
      <c r="Z18" s="395"/>
      <c r="AA18" s="395"/>
      <c r="AB18" s="395"/>
    </row>
    <row r="19" spans="1:28" ht="20.100000000000001" hidden="1" customHeight="1">
      <c r="A19" s="396"/>
      <c r="B19" s="269"/>
      <c r="C19" s="387" t="s">
        <v>52</v>
      </c>
      <c r="D19" s="270"/>
      <c r="E19" s="270"/>
      <c r="F19" s="361"/>
      <c r="G19" s="397"/>
      <c r="H19" s="395"/>
      <c r="I19" s="395"/>
      <c r="J19" s="395"/>
      <c r="K19" s="395"/>
      <c r="L19" s="395"/>
      <c r="M19" s="395"/>
      <c r="N19" s="395"/>
      <c r="O19" s="395"/>
      <c r="P19" s="395"/>
      <c r="Q19" s="395"/>
      <c r="R19" s="395"/>
      <c r="S19" s="395"/>
      <c r="T19" s="395"/>
      <c r="U19" s="395"/>
      <c r="V19" s="395"/>
      <c r="W19" s="395"/>
      <c r="X19" s="395"/>
      <c r="Y19" s="395"/>
      <c r="Z19" s="395"/>
      <c r="AA19" s="395"/>
      <c r="AB19" s="395"/>
    </row>
    <row r="20" spans="1:28" ht="20.100000000000001" hidden="1" customHeight="1">
      <c r="A20" s="396"/>
      <c r="B20" s="269"/>
      <c r="C20" s="387" t="s">
        <v>423</v>
      </c>
      <c r="D20" s="270"/>
      <c r="E20" s="270"/>
      <c r="F20" s="361"/>
      <c r="G20" s="397"/>
      <c r="H20" s="395"/>
      <c r="I20" s="395"/>
      <c r="J20" s="395"/>
      <c r="K20" s="395"/>
      <c r="L20" s="395"/>
      <c r="M20" s="395"/>
      <c r="N20" s="395"/>
      <c r="O20" s="395"/>
      <c r="P20" s="395"/>
      <c r="Q20" s="395"/>
      <c r="R20" s="395"/>
      <c r="S20" s="395"/>
      <c r="T20" s="395"/>
      <c r="U20" s="395"/>
      <c r="V20" s="395"/>
      <c r="W20" s="395"/>
      <c r="X20" s="395"/>
      <c r="Y20" s="395"/>
      <c r="Z20" s="395"/>
      <c r="AA20" s="395"/>
      <c r="AB20" s="395"/>
    </row>
    <row r="21" spans="1:28" ht="20.100000000000001" hidden="1" customHeight="1">
      <c r="A21" s="396"/>
      <c r="B21" s="269"/>
      <c r="C21" s="387" t="s">
        <v>54</v>
      </c>
      <c r="D21" s="270"/>
      <c r="E21" s="270"/>
      <c r="F21" s="361"/>
      <c r="G21" s="397"/>
      <c r="H21" s="395"/>
      <c r="I21" s="395"/>
      <c r="J21" s="395"/>
      <c r="K21" s="395"/>
      <c r="L21" s="395"/>
      <c r="M21" s="395"/>
      <c r="N21" s="395"/>
      <c r="O21" s="395"/>
      <c r="P21" s="395"/>
      <c r="Q21" s="395"/>
      <c r="R21" s="395"/>
      <c r="S21" s="395"/>
      <c r="T21" s="395"/>
      <c r="U21" s="395"/>
      <c r="V21" s="395"/>
      <c r="W21" s="395"/>
      <c r="X21" s="395"/>
      <c r="Y21" s="395"/>
      <c r="Z21" s="395"/>
      <c r="AA21" s="395"/>
      <c r="AB21" s="395"/>
    </row>
    <row r="22" spans="1:28" ht="18">
      <c r="A22" s="396"/>
      <c r="B22" s="360"/>
      <c r="C22" s="362"/>
      <c r="D22" s="356"/>
      <c r="E22" s="387"/>
      <c r="F22" s="361"/>
      <c r="G22" s="397"/>
      <c r="H22" s="395"/>
      <c r="I22" s="395"/>
      <c r="J22" s="395"/>
      <c r="K22" s="395"/>
      <c r="L22" s="395"/>
      <c r="M22" s="395"/>
      <c r="N22" s="395"/>
      <c r="O22" s="395"/>
      <c r="P22" s="395"/>
      <c r="Q22" s="395"/>
      <c r="R22" s="395"/>
      <c r="S22" s="395"/>
      <c r="T22" s="395"/>
      <c r="U22" s="395"/>
      <c r="V22" s="395"/>
      <c r="W22" s="395"/>
      <c r="X22" s="395"/>
      <c r="Y22" s="395"/>
      <c r="Z22" s="395"/>
      <c r="AA22" s="395"/>
      <c r="AB22" s="395"/>
    </row>
    <row r="23" spans="1:28" ht="20.100000000000001" customHeight="1">
      <c r="A23" s="395"/>
      <c r="B23" s="363" t="s">
        <v>21</v>
      </c>
      <c r="C23" s="280"/>
      <c r="D23" s="364"/>
      <c r="E23" s="378">
        <f>LivestockForageBalance!I41</f>
        <v>0</v>
      </c>
      <c r="F23" s="383" t="s">
        <v>235</v>
      </c>
      <c r="G23" s="397"/>
      <c r="H23" s="395"/>
      <c r="I23" s="395"/>
      <c r="J23" s="395"/>
      <c r="K23" s="395"/>
      <c r="L23" s="395"/>
      <c r="M23" s="395"/>
      <c r="N23" s="395"/>
      <c r="O23" s="395"/>
      <c r="P23" s="395"/>
      <c r="Q23" s="395"/>
      <c r="R23" s="395"/>
      <c r="S23" s="395"/>
      <c r="T23" s="395"/>
      <c r="U23" s="395"/>
      <c r="V23" s="395"/>
      <c r="W23" s="395"/>
      <c r="X23" s="395"/>
      <c r="Y23" s="395"/>
      <c r="Z23" s="395"/>
      <c r="AA23" s="395"/>
      <c r="AB23" s="395"/>
    </row>
    <row r="24" spans="1:28" ht="20.100000000000001" customHeight="1">
      <c r="A24" s="395"/>
      <c r="B24" s="363" t="s">
        <v>244</v>
      </c>
      <c r="C24" s="280"/>
      <c r="D24" s="364"/>
      <c r="E24" s="378">
        <f>TimeControlWorksheet!$I$9</f>
        <v>0</v>
      </c>
      <c r="F24" s="383" t="s">
        <v>83</v>
      </c>
      <c r="G24" s="397"/>
      <c r="H24" s="395"/>
      <c r="I24" s="395"/>
      <c r="J24" s="395"/>
      <c r="K24" s="395"/>
      <c r="L24" s="395"/>
      <c r="M24" s="395"/>
      <c r="N24" s="395"/>
      <c r="O24" s="395"/>
      <c r="P24" s="395"/>
      <c r="Q24" s="395"/>
      <c r="R24" s="395"/>
      <c r="S24" s="395"/>
      <c r="T24" s="395"/>
      <c r="U24" s="395"/>
      <c r="V24" s="395"/>
      <c r="W24" s="395"/>
      <c r="X24" s="395"/>
      <c r="Y24" s="395"/>
      <c r="Z24" s="395"/>
      <c r="AA24" s="395"/>
      <c r="AB24" s="395"/>
    </row>
    <row r="25" spans="1:28" ht="20.100000000000001" customHeight="1">
      <c r="A25" s="395"/>
      <c r="B25" s="363" t="s">
        <v>268</v>
      </c>
      <c r="C25" s="280"/>
      <c r="D25" s="364"/>
      <c r="E25" s="379">
        <f>LivestockForageBalance!K41</f>
        <v>0</v>
      </c>
      <c r="F25" s="383" t="s">
        <v>267</v>
      </c>
      <c r="G25" s="397"/>
      <c r="H25" s="395"/>
      <c r="I25" s="395"/>
      <c r="J25" s="395"/>
      <c r="K25" s="395"/>
      <c r="L25" s="395"/>
      <c r="M25" s="395"/>
      <c r="N25" s="395"/>
      <c r="O25" s="395"/>
      <c r="P25" s="395"/>
      <c r="Q25" s="395"/>
      <c r="R25" s="395"/>
      <c r="S25" s="395"/>
      <c r="T25" s="395"/>
      <c r="U25" s="395"/>
      <c r="V25" s="395"/>
      <c r="W25" s="395"/>
      <c r="X25" s="395"/>
      <c r="Y25" s="395"/>
      <c r="Z25" s="395"/>
      <c r="AA25" s="395"/>
      <c r="AB25" s="395"/>
    </row>
    <row r="26" spans="1:28" ht="20.100000000000001" customHeight="1">
      <c r="A26" s="395"/>
      <c r="B26" s="363" t="s">
        <v>236</v>
      </c>
      <c r="C26" s="341"/>
      <c r="D26" s="280"/>
      <c r="E26" s="378">
        <f>LivestockForageBalance!M41</f>
        <v>0</v>
      </c>
      <c r="F26" s="384" t="s">
        <v>122</v>
      </c>
      <c r="G26" s="397"/>
      <c r="H26" s="395"/>
      <c r="I26" s="395"/>
      <c r="J26" s="395"/>
      <c r="K26" s="395"/>
      <c r="L26" s="395"/>
      <c r="M26" s="395"/>
      <c r="N26" s="395"/>
      <c r="O26" s="395"/>
      <c r="P26" s="395"/>
      <c r="Q26" s="395"/>
      <c r="R26" s="395"/>
      <c r="S26" s="395"/>
      <c r="T26" s="395"/>
      <c r="U26" s="395"/>
      <c r="V26" s="395"/>
      <c r="W26" s="395"/>
      <c r="X26" s="395"/>
      <c r="Y26" s="395"/>
      <c r="Z26" s="395"/>
      <c r="AA26" s="395"/>
      <c r="AB26" s="395"/>
    </row>
    <row r="27" spans="1:28" ht="20.100000000000001" customHeight="1">
      <c r="A27" s="395"/>
      <c r="B27" s="365" t="s">
        <v>239</v>
      </c>
      <c r="C27" s="280"/>
      <c r="D27" s="364"/>
      <c r="E27" s="380"/>
      <c r="F27" s="385"/>
      <c r="G27" s="397"/>
      <c r="H27" s="395"/>
      <c r="I27" s="395"/>
      <c r="J27" s="395"/>
      <c r="K27" s="395"/>
      <c r="L27" s="395"/>
      <c r="M27" s="395"/>
      <c r="N27" s="395"/>
      <c r="O27" s="395"/>
      <c r="P27" s="395"/>
      <c r="Q27" s="395"/>
      <c r="R27" s="395"/>
      <c r="S27" s="395"/>
      <c r="T27" s="395"/>
      <c r="U27" s="395"/>
      <c r="V27" s="395"/>
      <c r="W27" s="395"/>
      <c r="X27" s="395"/>
      <c r="Y27" s="395"/>
      <c r="Z27" s="395"/>
      <c r="AA27" s="395"/>
      <c r="AB27" s="395"/>
    </row>
    <row r="28" spans="1:28" ht="20.100000000000001" customHeight="1">
      <c r="A28" s="395"/>
      <c r="B28" s="366" t="s">
        <v>11</v>
      </c>
      <c r="C28" s="280"/>
      <c r="D28" s="364"/>
      <c r="E28" s="340">
        <f>TotalAcreGrazed+LivestockForageBalance!I224</f>
        <v>0</v>
      </c>
      <c r="F28" s="383" t="s">
        <v>65</v>
      </c>
      <c r="G28" s="397"/>
      <c r="H28" s="395"/>
      <c r="I28" s="395"/>
      <c r="J28" s="395"/>
      <c r="K28" s="395"/>
      <c r="L28" s="395"/>
      <c r="M28" s="395"/>
      <c r="N28" s="395"/>
      <c r="O28" s="395"/>
      <c r="P28" s="395"/>
      <c r="Q28" s="395"/>
      <c r="R28" s="395"/>
      <c r="S28" s="395"/>
      <c r="T28" s="395"/>
      <c r="U28" s="395"/>
      <c r="V28" s="395"/>
      <c r="W28" s="395"/>
      <c r="X28" s="395"/>
      <c r="Y28" s="395"/>
      <c r="Z28" s="395"/>
      <c r="AA28" s="395"/>
      <c r="AB28" s="395"/>
    </row>
    <row r="29" spans="1:28" ht="20.100000000000001" customHeight="1">
      <c r="A29" s="395"/>
      <c r="B29" s="367" t="s">
        <v>517</v>
      </c>
      <c r="C29" s="368"/>
      <c r="D29" s="369"/>
      <c r="E29" s="378">
        <f>LivestockForageBalance!N256</f>
        <v>0</v>
      </c>
      <c r="F29" s="384" t="s">
        <v>493</v>
      </c>
      <c r="G29" s="397"/>
      <c r="H29" s="395"/>
      <c r="I29" s="395"/>
      <c r="J29" s="395"/>
      <c r="K29" s="395"/>
      <c r="L29" s="395"/>
      <c r="M29" s="395"/>
      <c r="N29" s="395"/>
      <c r="O29" s="395"/>
      <c r="P29" s="395"/>
      <c r="Q29" s="395"/>
      <c r="R29" s="395"/>
      <c r="S29" s="395"/>
      <c r="T29" s="395"/>
      <c r="U29" s="395"/>
      <c r="V29" s="395"/>
      <c r="W29" s="395"/>
      <c r="X29" s="395"/>
      <c r="Y29" s="395"/>
      <c r="Z29" s="395"/>
      <c r="AA29" s="395"/>
      <c r="AB29" s="395"/>
    </row>
    <row r="30" spans="1:28" ht="20.100000000000001" customHeight="1">
      <c r="A30" s="395"/>
      <c r="B30" s="363" t="s">
        <v>518</v>
      </c>
      <c r="C30" s="368"/>
      <c r="D30" s="369"/>
      <c r="E30" s="378">
        <f>LivestockForageBalance!N264</f>
        <v>0</v>
      </c>
      <c r="F30" s="384" t="s">
        <v>493</v>
      </c>
      <c r="G30" s="397"/>
      <c r="H30" s="395"/>
      <c r="I30" s="395"/>
      <c r="J30" s="395"/>
      <c r="K30" s="395"/>
      <c r="L30" s="395"/>
      <c r="M30" s="395"/>
      <c r="N30" s="395"/>
      <c r="O30" s="395"/>
      <c r="P30" s="395"/>
      <c r="Q30" s="395"/>
      <c r="R30" s="395"/>
      <c r="S30" s="395"/>
      <c r="T30" s="395"/>
      <c r="U30" s="395"/>
      <c r="V30" s="395"/>
      <c r="W30" s="395"/>
      <c r="X30" s="395"/>
      <c r="Y30" s="395"/>
      <c r="Z30" s="395"/>
      <c r="AA30" s="395"/>
      <c r="AB30" s="395"/>
    </row>
    <row r="31" spans="1:28" ht="20.100000000000001" customHeight="1">
      <c r="A31" s="395"/>
      <c r="B31" s="363" t="s">
        <v>519</v>
      </c>
      <c r="C31" s="368"/>
      <c r="D31" s="369"/>
      <c r="E31" s="378">
        <f>LivestockForageBalance!N260</f>
        <v>0</v>
      </c>
      <c r="F31" s="384" t="s">
        <v>493</v>
      </c>
      <c r="G31" s="397"/>
      <c r="H31" s="395"/>
      <c r="I31" s="395"/>
      <c r="J31" s="395"/>
      <c r="K31" s="395"/>
      <c r="L31" s="395"/>
      <c r="M31" s="395"/>
      <c r="N31" s="395"/>
      <c r="O31" s="395"/>
      <c r="P31" s="395"/>
      <c r="Q31" s="395"/>
      <c r="R31" s="395"/>
      <c r="S31" s="395"/>
      <c r="T31" s="395"/>
      <c r="U31" s="395"/>
      <c r="V31" s="395"/>
      <c r="W31" s="395"/>
      <c r="X31" s="395"/>
      <c r="Y31" s="395"/>
      <c r="Z31" s="395"/>
      <c r="AA31" s="395"/>
      <c r="AB31" s="395"/>
    </row>
    <row r="32" spans="1:28" ht="20.100000000000001" customHeight="1">
      <c r="A32" s="395"/>
      <c r="B32" s="363" t="s">
        <v>496</v>
      </c>
      <c r="C32" s="368"/>
      <c r="D32" s="369"/>
      <c r="E32" s="378">
        <f>E29+E30+E31</f>
        <v>0</v>
      </c>
      <c r="F32" s="384" t="s">
        <v>493</v>
      </c>
      <c r="G32" s="397"/>
      <c r="H32" s="395"/>
      <c r="I32" s="395"/>
      <c r="J32" s="395"/>
      <c r="K32" s="395"/>
      <c r="L32" s="395"/>
      <c r="M32" s="395"/>
      <c r="N32" s="395"/>
      <c r="O32" s="395"/>
      <c r="P32" s="395"/>
      <c r="Q32" s="395"/>
      <c r="R32" s="395"/>
      <c r="S32" s="395"/>
      <c r="T32" s="395"/>
      <c r="U32" s="395"/>
      <c r="V32" s="395"/>
      <c r="W32" s="395"/>
      <c r="X32" s="395"/>
      <c r="Y32" s="395"/>
      <c r="Z32" s="395"/>
      <c r="AA32" s="395"/>
      <c r="AB32" s="395"/>
    </row>
    <row r="33" spans="1:28" ht="20.100000000000001" customHeight="1">
      <c r="A33" s="395"/>
      <c r="B33" s="363" t="s">
        <v>265</v>
      </c>
      <c r="C33" s="341"/>
      <c r="D33" s="280"/>
      <c r="E33" s="378">
        <f>LivestockForageBalance!N248</f>
        <v>0</v>
      </c>
      <c r="F33" s="384" t="s">
        <v>493</v>
      </c>
      <c r="G33" s="395"/>
      <c r="H33" s="395"/>
      <c r="I33" s="395"/>
      <c r="J33" s="395"/>
      <c r="K33" s="395"/>
      <c r="L33" s="395"/>
      <c r="M33" s="395"/>
      <c r="N33" s="395"/>
      <c r="O33" s="395"/>
      <c r="P33" s="395"/>
      <c r="Q33" s="395"/>
      <c r="R33" s="395"/>
      <c r="S33" s="395"/>
      <c r="T33" s="395"/>
      <c r="U33" s="395"/>
      <c r="V33" s="395"/>
      <c r="W33" s="395"/>
      <c r="X33" s="395"/>
      <c r="Y33" s="395"/>
      <c r="Z33" s="395"/>
      <c r="AA33" s="395"/>
      <c r="AB33" s="395"/>
    </row>
    <row r="34" spans="1:28" ht="20.100000000000001" customHeight="1">
      <c r="A34" s="395"/>
      <c r="B34" s="363" t="s">
        <v>242</v>
      </c>
      <c r="C34" s="341"/>
      <c r="D34" s="280"/>
      <c r="E34" s="378" t="e">
        <f>TimeControlWorksheet!$E$11</f>
        <v>#DIV/0!</v>
      </c>
      <c r="F34" s="384" t="s">
        <v>53</v>
      </c>
      <c r="G34" s="395"/>
      <c r="H34" s="395"/>
      <c r="I34" s="395"/>
      <c r="J34" s="395"/>
      <c r="K34" s="395"/>
      <c r="L34" s="395"/>
      <c r="M34" s="395"/>
      <c r="N34" s="395"/>
      <c r="O34" s="395"/>
      <c r="P34" s="395"/>
      <c r="Q34" s="395"/>
      <c r="R34" s="395"/>
      <c r="S34" s="395"/>
      <c r="T34" s="395"/>
      <c r="U34" s="395"/>
      <c r="V34" s="395"/>
      <c r="W34" s="395"/>
      <c r="X34" s="395"/>
      <c r="Y34" s="395"/>
      <c r="Z34" s="395"/>
      <c r="AA34" s="395"/>
      <c r="AB34" s="395"/>
    </row>
    <row r="35" spans="1:28" ht="20.100000000000001" customHeight="1">
      <c r="A35" s="395"/>
      <c r="B35" s="363" t="s">
        <v>231</v>
      </c>
      <c r="C35" s="341"/>
      <c r="D35" s="280"/>
      <c r="E35" s="378">
        <f>SUM(E32:E33)</f>
        <v>0</v>
      </c>
      <c r="F35" s="384" t="s">
        <v>122</v>
      </c>
      <c r="G35" s="395"/>
      <c r="H35" s="395"/>
      <c r="I35" s="395"/>
      <c r="J35" s="395"/>
      <c r="K35" s="395"/>
      <c r="L35" s="395"/>
      <c r="M35" s="395"/>
      <c r="N35" s="395"/>
      <c r="O35" s="395"/>
      <c r="P35" s="395"/>
      <c r="Q35" s="395"/>
      <c r="R35" s="395"/>
      <c r="S35" s="395"/>
      <c r="T35" s="395"/>
      <c r="U35" s="395"/>
      <c r="V35" s="395"/>
      <c r="W35" s="395"/>
      <c r="X35" s="395"/>
      <c r="Y35" s="395"/>
      <c r="Z35" s="395"/>
      <c r="AA35" s="395"/>
      <c r="AB35" s="395"/>
    </row>
    <row r="36" spans="1:28" ht="22.5" customHeight="1">
      <c r="A36" s="395"/>
      <c r="B36" s="585" t="s">
        <v>520</v>
      </c>
      <c r="C36" s="341"/>
      <c r="D36" s="280"/>
      <c r="E36" s="378"/>
      <c r="F36" s="384"/>
      <c r="G36" s="395"/>
      <c r="H36" s="395"/>
      <c r="I36" s="395"/>
      <c r="J36" s="395"/>
      <c r="K36" s="395"/>
      <c r="L36" s="395"/>
      <c r="M36" s="395"/>
      <c r="N36" s="395"/>
      <c r="O36" s="395"/>
      <c r="P36" s="395"/>
      <c r="Q36" s="395"/>
      <c r="R36" s="395"/>
      <c r="S36" s="395"/>
      <c r="T36" s="395"/>
      <c r="U36" s="395"/>
      <c r="V36" s="395"/>
      <c r="W36" s="395"/>
      <c r="X36" s="395"/>
      <c r="Y36" s="395"/>
      <c r="Z36" s="395"/>
      <c r="AA36" s="395"/>
      <c r="AB36" s="395"/>
    </row>
    <row r="37" spans="1:28" ht="11.25" customHeight="1">
      <c r="A37" s="395"/>
      <c r="B37" s="363"/>
      <c r="C37" s="341"/>
      <c r="D37" s="280"/>
      <c r="E37" s="381"/>
      <c r="F37" s="384"/>
      <c r="G37" s="395"/>
      <c r="H37" s="395"/>
      <c r="I37" s="395"/>
      <c r="J37" s="395"/>
      <c r="K37" s="395"/>
      <c r="L37" s="395"/>
      <c r="M37" s="395"/>
      <c r="N37" s="395"/>
      <c r="O37" s="395"/>
      <c r="P37" s="395"/>
      <c r="Q37" s="395"/>
      <c r="R37" s="395"/>
      <c r="S37" s="395"/>
      <c r="T37" s="395"/>
      <c r="U37" s="395"/>
      <c r="V37" s="395"/>
      <c r="W37" s="395"/>
      <c r="X37" s="395"/>
      <c r="Y37" s="395"/>
      <c r="Z37" s="395"/>
      <c r="AA37" s="395"/>
      <c r="AB37" s="395"/>
    </row>
    <row r="38" spans="1:28" ht="20.100000000000001" customHeight="1">
      <c r="A38" s="395"/>
      <c r="B38" s="365" t="s">
        <v>238</v>
      </c>
      <c r="C38" s="341"/>
      <c r="D38" s="341"/>
      <c r="E38" s="382"/>
      <c r="F38" s="386"/>
      <c r="G38" s="399"/>
      <c r="H38" s="395"/>
      <c r="I38" s="395"/>
      <c r="J38" s="395"/>
      <c r="K38" s="395"/>
      <c r="L38" s="395"/>
      <c r="M38" s="395"/>
      <c r="N38" s="395"/>
      <c r="O38" s="395"/>
      <c r="P38" s="395"/>
      <c r="Q38" s="395"/>
      <c r="R38" s="395"/>
      <c r="S38" s="395"/>
      <c r="T38" s="395"/>
      <c r="U38" s="395"/>
      <c r="V38" s="395"/>
      <c r="W38" s="395"/>
      <c r="X38" s="395"/>
      <c r="Y38" s="395"/>
      <c r="Z38" s="395"/>
      <c r="AA38" s="395"/>
      <c r="AB38" s="395"/>
    </row>
    <row r="39" spans="1:28" ht="20.100000000000001" customHeight="1">
      <c r="A39" s="395"/>
      <c r="B39" s="363" t="s">
        <v>266</v>
      </c>
      <c r="C39" s="341"/>
      <c r="D39" s="341"/>
      <c r="E39" s="394">
        <f>$E$35-$E$26</f>
        <v>0</v>
      </c>
      <c r="F39" s="384" t="s">
        <v>521</v>
      </c>
      <c r="G39" s="395"/>
      <c r="H39" s="395"/>
      <c r="I39" s="395"/>
      <c r="J39" s="395"/>
      <c r="K39" s="395"/>
      <c r="L39" s="395"/>
      <c r="M39" s="395"/>
      <c r="N39" s="395"/>
      <c r="O39" s="395"/>
      <c r="P39" s="395"/>
      <c r="Q39" s="395"/>
      <c r="R39" s="395"/>
      <c r="S39" s="395"/>
      <c r="T39" s="395"/>
      <c r="U39" s="395"/>
      <c r="V39" s="395"/>
      <c r="W39" s="395"/>
      <c r="X39" s="395"/>
      <c r="Y39" s="395"/>
      <c r="Z39" s="395"/>
      <c r="AA39" s="395"/>
      <c r="AB39" s="395"/>
    </row>
    <row r="40" spans="1:28" ht="20.100000000000001" customHeight="1">
      <c r="A40" s="395"/>
      <c r="B40" s="370" t="s">
        <v>249</v>
      </c>
      <c r="C40" s="280"/>
      <c r="D40" s="280"/>
      <c r="E40" s="389" t="s">
        <v>237</v>
      </c>
      <c r="F40" s="393" t="s">
        <v>233</v>
      </c>
      <c r="G40" s="395"/>
      <c r="H40" s="395"/>
      <c r="I40" s="395"/>
      <c r="J40" s="395"/>
      <c r="K40" s="395"/>
      <c r="L40" s="395"/>
      <c r="M40" s="395"/>
      <c r="N40" s="395"/>
      <c r="O40" s="395"/>
      <c r="P40" s="395"/>
      <c r="Q40" s="395"/>
      <c r="R40" s="395"/>
      <c r="S40" s="395"/>
      <c r="T40" s="395"/>
      <c r="U40" s="395"/>
      <c r="V40" s="395"/>
      <c r="W40" s="395"/>
      <c r="X40" s="395"/>
      <c r="Y40" s="395"/>
      <c r="Z40" s="395"/>
      <c r="AA40" s="395"/>
      <c r="AB40" s="395"/>
    </row>
    <row r="41" spans="1:28" ht="20.100000000000001" customHeight="1">
      <c r="A41" s="395"/>
      <c r="B41" s="370" t="s">
        <v>248</v>
      </c>
      <c r="C41" s="371"/>
      <c r="D41" s="280"/>
      <c r="E41" s="390">
        <f>$E$39/2000</f>
        <v>0</v>
      </c>
      <c r="F41" s="384" t="s">
        <v>130</v>
      </c>
      <c r="G41" s="395"/>
      <c r="H41" s="395"/>
      <c r="I41" s="395"/>
      <c r="J41" s="395"/>
      <c r="K41" s="395"/>
      <c r="L41" s="395"/>
      <c r="M41" s="395"/>
      <c r="N41" s="395"/>
      <c r="O41" s="395"/>
      <c r="P41" s="395"/>
      <c r="Q41" s="395"/>
      <c r="R41" s="395"/>
      <c r="S41" s="395"/>
      <c r="T41" s="395"/>
      <c r="U41" s="395"/>
      <c r="V41" s="395"/>
      <c r="W41" s="395"/>
      <c r="X41" s="395"/>
      <c r="Y41" s="395"/>
      <c r="Z41" s="395"/>
      <c r="AA41" s="395"/>
      <c r="AB41" s="395"/>
    </row>
    <row r="42" spans="1:28" ht="20.100000000000001" customHeight="1">
      <c r="A42" s="395"/>
      <c r="B42" s="365" t="s">
        <v>240</v>
      </c>
      <c r="C42" s="280"/>
      <c r="D42" s="280"/>
      <c r="E42" s="280"/>
      <c r="F42" s="283"/>
      <c r="G42" s="395"/>
      <c r="H42" s="395"/>
      <c r="I42" s="395"/>
      <c r="J42" s="395"/>
      <c r="K42" s="395"/>
      <c r="L42" s="395"/>
      <c r="M42" s="395"/>
      <c r="N42" s="395"/>
      <c r="O42" s="395"/>
      <c r="P42" s="395"/>
      <c r="Q42" s="395"/>
      <c r="R42" s="395"/>
      <c r="S42" s="395"/>
      <c r="T42" s="395"/>
      <c r="U42" s="395"/>
      <c r="V42" s="395"/>
      <c r="W42" s="395"/>
      <c r="X42" s="395"/>
      <c r="Y42" s="395"/>
      <c r="Z42" s="395"/>
      <c r="AA42" s="395"/>
      <c r="AB42" s="395"/>
    </row>
    <row r="43" spans="1:28" ht="20.100000000000001" customHeight="1">
      <c r="A43" s="395"/>
      <c r="B43" s="365" t="s">
        <v>10</v>
      </c>
      <c r="C43" s="280"/>
      <c r="D43" s="280"/>
      <c r="E43" s="280"/>
      <c r="F43" s="283"/>
      <c r="G43" s="395"/>
      <c r="H43" s="395"/>
      <c r="I43" s="395"/>
      <c r="J43" s="395"/>
      <c r="K43" s="395"/>
      <c r="L43" s="395"/>
      <c r="M43" s="395"/>
      <c r="N43" s="395"/>
      <c r="O43" s="395"/>
      <c r="P43" s="395"/>
      <c r="Q43" s="395"/>
      <c r="R43" s="395"/>
      <c r="S43" s="395"/>
      <c r="T43" s="395"/>
      <c r="U43" s="395"/>
      <c r="V43" s="395"/>
      <c r="W43" s="395"/>
      <c r="X43" s="395"/>
      <c r="Y43" s="395"/>
      <c r="Z43" s="395"/>
      <c r="AA43" s="395"/>
      <c r="AB43" s="395"/>
    </row>
    <row r="44" spans="1:28" ht="20.100000000000001" customHeight="1" thickBot="1">
      <c r="A44" s="395"/>
      <c r="B44" s="372" t="s">
        <v>4</v>
      </c>
      <c r="C44" s="373"/>
      <c r="D44" s="373"/>
      <c r="E44" s="373"/>
      <c r="F44" s="392"/>
      <c r="G44" s="400"/>
      <c r="H44" s="400"/>
      <c r="I44" s="400"/>
      <c r="J44" s="395"/>
      <c r="K44" s="395"/>
      <c r="L44" s="395"/>
      <c r="M44" s="395"/>
      <c r="N44" s="395"/>
      <c r="O44" s="395"/>
      <c r="P44" s="395"/>
      <c r="Q44" s="395"/>
      <c r="R44" s="395"/>
      <c r="S44" s="395"/>
      <c r="T44" s="395"/>
      <c r="U44" s="395"/>
      <c r="V44" s="395"/>
      <c r="W44" s="395"/>
      <c r="X44" s="395"/>
      <c r="Y44" s="395"/>
      <c r="Z44" s="395"/>
      <c r="AA44" s="395"/>
      <c r="AB44" s="395"/>
    </row>
    <row r="45" spans="1:28" ht="20.100000000000001" customHeight="1" thickBot="1">
      <c r="A45" s="395"/>
      <c r="B45" s="372" t="s">
        <v>5</v>
      </c>
      <c r="C45" s="373"/>
      <c r="D45" s="373"/>
      <c r="E45" s="1113">
        <f>LivestockForageBalance!H11</f>
        <v>0</v>
      </c>
      <c r="F45" s="384" t="s">
        <v>280</v>
      </c>
      <c r="G45" s="395"/>
      <c r="H45" s="395"/>
      <c r="I45" s="395"/>
      <c r="J45" s="395"/>
      <c r="K45" s="395"/>
      <c r="L45" s="395"/>
      <c r="M45" s="395"/>
      <c r="N45" s="395"/>
      <c r="O45" s="395"/>
      <c r="P45" s="395"/>
      <c r="Q45" s="395"/>
      <c r="R45" s="395"/>
      <c r="S45" s="395"/>
      <c r="T45" s="395"/>
      <c r="U45" s="395"/>
      <c r="V45" s="395"/>
      <c r="W45" s="395"/>
      <c r="X45" s="395"/>
      <c r="Y45" s="395"/>
      <c r="Z45" s="395"/>
      <c r="AA45" s="395"/>
      <c r="AB45" s="395"/>
    </row>
    <row r="46" spans="1:28" ht="20.100000000000001" customHeight="1">
      <c r="A46" s="395"/>
      <c r="B46" s="372" t="s">
        <v>289</v>
      </c>
      <c r="C46" s="341"/>
      <c r="D46" s="371"/>
      <c r="E46" s="586" t="e">
        <f>$E$33/(E24*(E25/100)*E45)</f>
        <v>#DIV/0!</v>
      </c>
      <c r="F46" s="384" t="s">
        <v>281</v>
      </c>
      <c r="G46" s="395"/>
      <c r="H46" s="395"/>
      <c r="I46" s="395"/>
      <c r="J46" s="395"/>
      <c r="K46" s="395"/>
      <c r="L46" s="395"/>
      <c r="M46" s="395"/>
      <c r="N46" s="395"/>
      <c r="O46" s="395"/>
      <c r="P46" s="395"/>
      <c r="Q46" s="395"/>
      <c r="R46" s="395"/>
      <c r="S46" s="395"/>
      <c r="T46" s="395"/>
      <c r="U46" s="395"/>
      <c r="V46" s="395"/>
      <c r="W46" s="395"/>
      <c r="X46" s="395"/>
      <c r="Y46" s="395"/>
      <c r="Z46" s="395"/>
      <c r="AA46" s="395"/>
      <c r="AB46" s="395"/>
    </row>
    <row r="47" spans="1:28" ht="20.100000000000001" customHeight="1">
      <c r="A47" s="395"/>
      <c r="B47" s="372" t="s">
        <v>282</v>
      </c>
      <c r="C47" s="341"/>
      <c r="D47" s="371"/>
      <c r="E47" s="343"/>
      <c r="F47" s="384"/>
      <c r="G47" s="395"/>
      <c r="H47" s="395"/>
      <c r="I47" s="395"/>
      <c r="J47" s="395"/>
      <c r="K47" s="395"/>
      <c r="L47" s="395"/>
      <c r="M47" s="395"/>
      <c r="N47" s="395"/>
      <c r="O47" s="395"/>
      <c r="P47" s="395"/>
      <c r="Q47" s="395"/>
      <c r="R47" s="395"/>
      <c r="S47" s="395"/>
      <c r="T47" s="395"/>
      <c r="U47" s="395"/>
      <c r="V47" s="395"/>
      <c r="W47" s="395"/>
      <c r="X47" s="395"/>
      <c r="Y47" s="395"/>
      <c r="Z47" s="395"/>
      <c r="AA47" s="395"/>
      <c r="AB47" s="395"/>
    </row>
    <row r="48" spans="1:28" ht="20.100000000000001" customHeight="1">
      <c r="A48" s="395"/>
      <c r="B48" s="372"/>
      <c r="C48" s="341"/>
      <c r="D48" s="371"/>
      <c r="E48" s="343"/>
      <c r="F48" s="384"/>
      <c r="G48" s="395"/>
      <c r="H48" s="395"/>
      <c r="I48" s="395"/>
      <c r="J48" s="395"/>
      <c r="K48" s="395"/>
      <c r="L48" s="395"/>
      <c r="M48" s="395"/>
      <c r="N48" s="395"/>
      <c r="O48" s="395"/>
      <c r="P48" s="395"/>
      <c r="Q48" s="395"/>
      <c r="R48" s="395"/>
      <c r="S48" s="395"/>
      <c r="T48" s="395"/>
      <c r="U48" s="395"/>
      <c r="V48" s="395"/>
      <c r="W48" s="395"/>
      <c r="X48" s="395"/>
      <c r="Y48" s="395"/>
      <c r="Z48" s="395"/>
      <c r="AA48" s="395"/>
      <c r="AB48" s="395"/>
    </row>
    <row r="49" spans="1:28" ht="20.100000000000001" customHeight="1">
      <c r="A49" s="395"/>
      <c r="B49" s="366" t="s">
        <v>9</v>
      </c>
      <c r="C49" s="342"/>
      <c r="D49" s="342"/>
      <c r="E49" s="342"/>
      <c r="F49" s="288"/>
      <c r="G49" s="395"/>
      <c r="H49" s="395"/>
      <c r="I49" s="395"/>
      <c r="J49" s="395"/>
      <c r="K49" s="395"/>
      <c r="L49" s="395"/>
      <c r="M49" s="395"/>
      <c r="N49" s="395"/>
      <c r="O49" s="395"/>
      <c r="P49" s="395"/>
      <c r="Q49" s="395"/>
      <c r="R49" s="395"/>
      <c r="S49" s="395"/>
      <c r="T49" s="395"/>
      <c r="U49" s="395"/>
      <c r="V49" s="395"/>
      <c r="W49" s="395"/>
      <c r="X49" s="395"/>
      <c r="Y49" s="395"/>
      <c r="Z49" s="395"/>
      <c r="AA49" s="395"/>
      <c r="AB49" s="395"/>
    </row>
    <row r="50" spans="1:28" ht="20.100000000000001" customHeight="1">
      <c r="A50" s="395"/>
      <c r="B50" s="374" t="s">
        <v>3</v>
      </c>
      <c r="C50" s="375"/>
      <c r="D50" s="375"/>
      <c r="E50" s="391" t="e">
        <f>IF($E$34&lt;40,(((TimeControlWorksheet!$F$44/($E$34/100))*0.4*1.05))/(LivestockForageBalance!$J$41*(TimeControlWorksheet!$I$12/100)*$E$45),"already at 40% efficiency")</f>
        <v>#DIV/0!</v>
      </c>
      <c r="F50" s="384" t="e">
        <f>IF($E$34&lt;40,"head*","")</f>
        <v>#DIV/0!</v>
      </c>
      <c r="G50" s="395"/>
      <c r="H50" s="395"/>
      <c r="I50" s="395"/>
      <c r="J50" s="395"/>
      <c r="K50" s="395"/>
      <c r="L50" s="395"/>
      <c r="M50" s="395"/>
      <c r="N50" s="395"/>
      <c r="O50" s="395"/>
      <c r="P50" s="395"/>
      <c r="Q50" s="395"/>
      <c r="R50" s="395"/>
      <c r="S50" s="395"/>
      <c r="T50" s="395"/>
      <c r="U50" s="395"/>
      <c r="V50" s="395"/>
      <c r="W50" s="395"/>
      <c r="X50" s="395"/>
      <c r="Y50" s="395"/>
      <c r="Z50" s="395"/>
      <c r="AA50" s="395"/>
      <c r="AB50" s="395"/>
    </row>
    <row r="51" spans="1:28" ht="20.100000000000001" customHeight="1">
      <c r="A51" s="395"/>
      <c r="B51" s="374" t="s">
        <v>2</v>
      </c>
      <c r="C51" s="375"/>
      <c r="D51" s="375"/>
      <c r="E51" s="391" t="e">
        <f>IF($E$34&lt;50,(((TimeControlWorksheet!$F$44/($E$34/100))*0.5)*1.1)/(LivestockForageBalance!$J$41*(TimeControlWorksheet!$I$12/100)*$E$45),"already at 50% efficiency")</f>
        <v>#DIV/0!</v>
      </c>
      <c r="F51" s="384" t="e">
        <f>IF($E$34&lt;50,"head*","")</f>
        <v>#DIV/0!</v>
      </c>
      <c r="G51" s="395"/>
      <c r="H51" s="395"/>
      <c r="I51" s="395"/>
      <c r="J51" s="395"/>
      <c r="K51" s="395"/>
      <c r="L51" s="395"/>
      <c r="M51" s="395"/>
      <c r="N51" s="395"/>
      <c r="O51" s="395"/>
      <c r="P51" s="395"/>
      <c r="Q51" s="395"/>
      <c r="R51" s="395"/>
      <c r="S51" s="395"/>
      <c r="T51" s="395"/>
      <c r="U51" s="395"/>
      <c r="V51" s="395"/>
      <c r="W51" s="395"/>
      <c r="X51" s="395"/>
      <c r="Y51" s="395"/>
      <c r="Z51" s="395"/>
      <c r="AA51" s="395"/>
      <c r="AB51" s="395"/>
    </row>
    <row r="52" spans="1:28" ht="20.100000000000001" customHeight="1">
      <c r="A52" s="395"/>
      <c r="B52" s="374" t="s">
        <v>1</v>
      </c>
      <c r="C52" s="375"/>
      <c r="D52" s="375"/>
      <c r="E52" s="391" t="e">
        <f>IF($E$34&lt;60,(((TimeControlWorksheet!$F$44/($E$34/100))*0.6)*1.15)/(LivestockForageBalance!$J$41*(TimeControlWorksheet!$I$12/100)*$E$45),"already at 60% efficiency")</f>
        <v>#DIV/0!</v>
      </c>
      <c r="F52" s="384" t="e">
        <f>IF($E$34&lt;60,"head*","")</f>
        <v>#DIV/0!</v>
      </c>
      <c r="G52" s="395"/>
      <c r="H52" s="395"/>
      <c r="I52" s="395"/>
      <c r="J52" s="395"/>
      <c r="K52" s="395"/>
      <c r="L52" s="395"/>
      <c r="M52" s="395"/>
      <c r="N52" s="395"/>
      <c r="O52" s="395"/>
      <c r="P52" s="395"/>
      <c r="Q52" s="395"/>
      <c r="R52" s="395"/>
      <c r="S52" s="395"/>
      <c r="T52" s="395"/>
      <c r="U52" s="395"/>
      <c r="V52" s="395"/>
      <c r="W52" s="395"/>
      <c r="X52" s="395"/>
      <c r="Y52" s="395"/>
      <c r="Z52" s="395"/>
      <c r="AA52" s="395"/>
      <c r="AB52" s="395"/>
    </row>
    <row r="53" spans="1:28" ht="20.100000000000001" customHeight="1">
      <c r="A53" s="395"/>
      <c r="B53" s="372" t="s">
        <v>734</v>
      </c>
      <c r="C53" s="375"/>
      <c r="D53" s="375"/>
      <c r="E53" s="375"/>
      <c r="F53" s="384"/>
      <c r="G53" s="395"/>
      <c r="H53" s="395"/>
      <c r="I53" s="395"/>
      <c r="J53" s="395"/>
      <c r="K53" s="395"/>
      <c r="L53" s="395"/>
      <c r="M53" s="395"/>
      <c r="N53" s="395"/>
      <c r="O53" s="395"/>
      <c r="P53" s="395"/>
      <c r="Q53" s="395"/>
      <c r="R53" s="395"/>
      <c r="S53" s="395"/>
      <c r="T53" s="395"/>
      <c r="U53" s="395"/>
      <c r="V53" s="395"/>
      <c r="W53" s="395"/>
      <c r="X53" s="395"/>
      <c r="Y53" s="395"/>
      <c r="Z53" s="395"/>
      <c r="AA53" s="395"/>
      <c r="AB53" s="395"/>
    </row>
    <row r="54" spans="1:28" ht="20.100000000000001" customHeight="1">
      <c r="A54" s="395"/>
      <c r="B54" s="372" t="s">
        <v>735</v>
      </c>
      <c r="C54" s="375"/>
      <c r="D54" s="375"/>
      <c r="E54" s="375"/>
      <c r="F54" s="384"/>
      <c r="G54" s="395"/>
      <c r="H54" s="395"/>
      <c r="I54" s="395"/>
      <c r="J54" s="395"/>
      <c r="K54" s="395"/>
      <c r="L54" s="395"/>
      <c r="M54" s="395"/>
      <c r="N54" s="395"/>
      <c r="O54" s="395"/>
      <c r="P54" s="395"/>
      <c r="Q54" s="395"/>
      <c r="R54" s="395"/>
      <c r="S54" s="395"/>
      <c r="T54" s="395"/>
      <c r="U54" s="395"/>
      <c r="V54" s="395"/>
      <c r="W54" s="395"/>
      <c r="X54" s="395"/>
      <c r="Y54" s="395"/>
      <c r="Z54" s="395"/>
      <c r="AA54" s="395"/>
      <c r="AB54" s="395"/>
    </row>
    <row r="55" spans="1:28" ht="11.25" customHeight="1">
      <c r="A55" s="395"/>
      <c r="B55" s="363"/>
      <c r="C55" s="375"/>
      <c r="D55" s="375"/>
      <c r="E55" s="375"/>
      <c r="F55" s="384"/>
      <c r="G55" s="395"/>
      <c r="H55" s="395"/>
      <c r="I55" s="395"/>
      <c r="J55" s="395"/>
      <c r="K55" s="395"/>
      <c r="L55" s="395"/>
      <c r="M55" s="395"/>
      <c r="N55" s="395"/>
      <c r="O55" s="395"/>
      <c r="P55" s="395"/>
      <c r="Q55" s="395"/>
      <c r="R55" s="395"/>
      <c r="S55" s="395"/>
      <c r="T55" s="395"/>
      <c r="U55" s="395"/>
      <c r="V55" s="395"/>
      <c r="W55" s="395"/>
      <c r="X55" s="395"/>
      <c r="Y55" s="395"/>
      <c r="Z55" s="395"/>
      <c r="AA55" s="395"/>
      <c r="AB55" s="395"/>
    </row>
    <row r="56" spans="1:28" ht="20.100000000000001" customHeight="1">
      <c r="A56" s="395"/>
      <c r="B56" s="376" t="s">
        <v>0</v>
      </c>
      <c r="C56" s="373"/>
      <c r="D56" s="373"/>
      <c r="E56" s="373"/>
      <c r="F56" s="392"/>
      <c r="G56" s="395"/>
      <c r="H56" s="395"/>
      <c r="I56" s="395"/>
      <c r="J56" s="395"/>
      <c r="K56" s="395"/>
      <c r="L56" s="395"/>
      <c r="M56" s="395"/>
      <c r="N56" s="395"/>
      <c r="O56" s="395"/>
      <c r="P56" s="395"/>
      <c r="Q56" s="395"/>
      <c r="R56" s="395"/>
      <c r="S56" s="395"/>
      <c r="T56" s="395"/>
      <c r="U56" s="395"/>
      <c r="V56" s="395"/>
      <c r="W56" s="395"/>
      <c r="X56" s="395"/>
      <c r="Y56" s="395"/>
      <c r="Z56" s="395"/>
      <c r="AA56" s="395"/>
      <c r="AB56" s="395"/>
    </row>
    <row r="57" spans="1:28" ht="20.100000000000001" customHeight="1">
      <c r="A57" s="395"/>
      <c r="B57" s="372" t="s">
        <v>6</v>
      </c>
      <c r="C57" s="373"/>
      <c r="D57" s="373"/>
      <c r="E57" s="373"/>
      <c r="F57" s="392"/>
      <c r="G57" s="395"/>
      <c r="H57" s="395"/>
      <c r="I57" s="395"/>
      <c r="J57" s="395"/>
      <c r="K57" s="395"/>
      <c r="L57" s="395"/>
      <c r="M57" s="395"/>
      <c r="N57" s="395"/>
      <c r="O57" s="395"/>
      <c r="P57" s="395"/>
      <c r="Q57" s="395"/>
      <c r="R57" s="395"/>
      <c r="S57" s="395"/>
      <c r="T57" s="395"/>
      <c r="U57" s="395"/>
      <c r="V57" s="395"/>
      <c r="W57" s="395"/>
      <c r="X57" s="395"/>
      <c r="Y57" s="395"/>
      <c r="Z57" s="395"/>
      <c r="AA57" s="395"/>
      <c r="AB57" s="395"/>
    </row>
    <row r="58" spans="1:28" ht="20.100000000000001" customHeight="1">
      <c r="A58" s="395"/>
      <c r="B58" s="372" t="s">
        <v>7</v>
      </c>
      <c r="C58" s="341"/>
      <c r="D58" s="371"/>
      <c r="E58" s="1114" t="str">
        <f>IF($E$32=0,"no hay inventoried",IF($E$46&lt;(E35/(E24*(E25/100)*365)),E33/(E24*(E25/100)*E45),E35/(E24*(E25/100)*365)))</f>
        <v>no hay inventoried</v>
      </c>
      <c r="F58" s="384" t="str">
        <f>IF($E$32&gt;0,"head","")</f>
        <v/>
      </c>
      <c r="G58" s="395"/>
      <c r="H58" s="395"/>
      <c r="I58" s="395"/>
      <c r="J58" s="395"/>
      <c r="K58" s="395"/>
      <c r="L58" s="395"/>
      <c r="M58" s="395"/>
      <c r="N58" s="395"/>
      <c r="O58" s="395"/>
      <c r="P58" s="395"/>
      <c r="Q58" s="395"/>
      <c r="R58" s="395"/>
      <c r="S58" s="395"/>
      <c r="T58" s="395"/>
      <c r="U58" s="395"/>
      <c r="V58" s="395"/>
      <c r="W58" s="395"/>
      <c r="X58" s="395"/>
      <c r="Y58" s="395"/>
      <c r="Z58" s="395"/>
      <c r="AA58" s="395"/>
      <c r="AB58" s="395"/>
    </row>
    <row r="59" spans="1:28" ht="20.100000000000001" customHeight="1">
      <c r="A59" s="395"/>
      <c r="B59" s="372" t="s">
        <v>283</v>
      </c>
      <c r="C59" s="341"/>
      <c r="D59" s="371"/>
      <c r="E59" s="391" t="str">
        <f>IF(E32&gt;0, E32, "no hay inventoried")</f>
        <v>no hay inventoried</v>
      </c>
      <c r="F59" s="384" t="str">
        <f>IF($E$32&gt;0,"Lbs/Year","")</f>
        <v/>
      </c>
      <c r="G59" s="395"/>
      <c r="H59" s="395"/>
      <c r="I59" s="395"/>
      <c r="J59" s="395"/>
      <c r="K59" s="395"/>
      <c r="L59" s="395"/>
      <c r="M59" s="395"/>
      <c r="N59" s="395"/>
      <c r="O59" s="395"/>
      <c r="P59" s="395"/>
      <c r="Q59" s="395"/>
      <c r="R59" s="395"/>
      <c r="S59" s="395"/>
      <c r="T59" s="395"/>
      <c r="U59" s="395"/>
      <c r="V59" s="395"/>
      <c r="W59" s="395"/>
      <c r="X59" s="395"/>
      <c r="Y59" s="395"/>
      <c r="Z59" s="395"/>
      <c r="AA59" s="395"/>
      <c r="AB59" s="395"/>
    </row>
    <row r="60" spans="1:28" ht="20.100000000000001" customHeight="1" thickBot="1">
      <c r="A60" s="395"/>
      <c r="B60" s="344" t="s">
        <v>279</v>
      </c>
      <c r="C60" s="377"/>
      <c r="D60" s="377"/>
      <c r="E60" s="377"/>
      <c r="F60" s="345"/>
      <c r="G60" s="395"/>
      <c r="H60" s="395"/>
      <c r="I60" s="395"/>
      <c r="J60" s="395"/>
      <c r="K60" s="395"/>
      <c r="L60" s="395"/>
      <c r="M60" s="395"/>
      <c r="N60" s="395"/>
      <c r="O60" s="395"/>
      <c r="P60" s="395"/>
      <c r="Q60" s="395"/>
      <c r="R60" s="395"/>
      <c r="S60" s="395"/>
      <c r="T60" s="395"/>
      <c r="U60" s="395"/>
      <c r="V60" s="395"/>
      <c r="W60" s="395"/>
      <c r="X60" s="395"/>
      <c r="Y60" s="395"/>
      <c r="Z60" s="395"/>
      <c r="AA60" s="395"/>
      <c r="AB60" s="395"/>
    </row>
    <row r="61" spans="1:28">
      <c r="A61" s="395"/>
      <c r="B61" s="1380" t="s">
        <v>257</v>
      </c>
      <c r="C61" s="1381"/>
      <c r="D61" s="1381"/>
      <c r="E61" s="1381"/>
      <c r="F61" s="1382"/>
      <c r="G61" s="395"/>
      <c r="H61" s="395"/>
      <c r="I61" s="395"/>
      <c r="J61" s="395"/>
      <c r="K61" s="395"/>
      <c r="L61" s="395"/>
      <c r="M61" s="395"/>
      <c r="N61" s="395"/>
      <c r="O61" s="395"/>
      <c r="P61" s="395"/>
      <c r="Q61" s="395"/>
      <c r="R61" s="395"/>
      <c r="S61" s="395"/>
      <c r="T61" s="395"/>
      <c r="U61" s="395"/>
      <c r="V61" s="395"/>
      <c r="W61" s="395"/>
      <c r="X61" s="395"/>
      <c r="Y61" s="395"/>
      <c r="Z61" s="395"/>
      <c r="AA61" s="395"/>
      <c r="AB61" s="395"/>
    </row>
    <row r="62" spans="1:28" ht="20.100000000000001" customHeight="1">
      <c r="A62" s="395"/>
      <c r="B62" s="1383"/>
      <c r="C62" s="1384"/>
      <c r="D62" s="1384"/>
      <c r="E62" s="1384"/>
      <c r="F62" s="1385"/>
      <c r="G62" s="395"/>
      <c r="H62" s="395"/>
      <c r="I62" s="395"/>
      <c r="J62" s="395"/>
      <c r="K62" s="395"/>
      <c r="L62" s="395"/>
      <c r="M62" s="395"/>
      <c r="N62" s="395"/>
      <c r="O62" s="395"/>
      <c r="P62" s="395"/>
      <c r="Q62" s="395"/>
      <c r="R62" s="395"/>
      <c r="S62" s="395"/>
      <c r="T62" s="395"/>
      <c r="U62" s="395"/>
      <c r="V62" s="395"/>
      <c r="W62" s="395"/>
      <c r="X62" s="395"/>
      <c r="Y62" s="395"/>
      <c r="Z62" s="395"/>
      <c r="AA62" s="395"/>
      <c r="AB62" s="395"/>
    </row>
    <row r="63" spans="1:28">
      <c r="A63" s="395"/>
      <c r="B63" s="401"/>
      <c r="C63" s="280"/>
      <c r="D63" s="280"/>
      <c r="E63" s="280"/>
      <c r="F63" s="283"/>
      <c r="G63" s="395"/>
      <c r="H63" s="395"/>
      <c r="I63" s="395"/>
      <c r="J63" s="395"/>
      <c r="K63" s="395"/>
      <c r="L63" s="395"/>
      <c r="M63" s="395"/>
      <c r="N63" s="395"/>
      <c r="O63" s="395"/>
      <c r="P63" s="395"/>
      <c r="Q63" s="395"/>
      <c r="R63" s="395"/>
      <c r="S63" s="395"/>
      <c r="T63" s="395"/>
      <c r="U63" s="395"/>
      <c r="V63" s="395"/>
      <c r="W63" s="395"/>
      <c r="X63" s="395"/>
      <c r="Y63" s="395"/>
      <c r="Z63" s="395"/>
      <c r="AA63" s="395"/>
      <c r="AB63" s="395"/>
    </row>
    <row r="64" spans="1:28" ht="20.100000000000001" customHeight="1">
      <c r="A64" s="395"/>
      <c r="B64" s="402" t="s">
        <v>452</v>
      </c>
      <c r="C64" s="280"/>
      <c r="D64" s="280"/>
      <c r="E64" s="280"/>
      <c r="F64" s="283"/>
      <c r="G64" s="395"/>
      <c r="H64" s="395"/>
      <c r="I64" s="395"/>
      <c r="J64" s="395"/>
      <c r="K64" s="395"/>
      <c r="L64" s="395"/>
      <c r="M64" s="395"/>
      <c r="N64" s="395"/>
      <c r="O64" s="395"/>
      <c r="P64" s="395"/>
      <c r="Q64" s="395"/>
      <c r="R64" s="395"/>
      <c r="S64" s="395"/>
      <c r="T64" s="395"/>
      <c r="U64" s="395"/>
      <c r="V64" s="395"/>
      <c r="W64" s="395"/>
      <c r="X64" s="395"/>
      <c r="Y64" s="395"/>
      <c r="Z64" s="395"/>
      <c r="AA64" s="395"/>
      <c r="AB64" s="395"/>
    </row>
    <row r="65" spans="1:28" ht="20.100000000000001" customHeight="1">
      <c r="A65" s="395"/>
      <c r="B65" s="372" t="s">
        <v>453</v>
      </c>
      <c r="C65" s="280"/>
      <c r="D65" s="280"/>
      <c r="E65" s="280"/>
      <c r="F65" s="283"/>
      <c r="G65" s="395"/>
      <c r="H65" s="395"/>
      <c r="I65" s="395"/>
      <c r="J65" s="395"/>
      <c r="K65" s="395"/>
      <c r="L65" s="395"/>
      <c r="M65" s="395"/>
      <c r="N65" s="395"/>
      <c r="O65" s="395"/>
      <c r="P65" s="395"/>
      <c r="Q65" s="395"/>
      <c r="R65" s="395"/>
      <c r="S65" s="395"/>
      <c r="T65" s="395"/>
      <c r="U65" s="395"/>
      <c r="V65" s="395"/>
      <c r="W65" s="395"/>
      <c r="X65" s="395"/>
      <c r="Y65" s="395"/>
      <c r="Z65" s="395"/>
      <c r="AA65" s="395"/>
      <c r="AB65" s="395"/>
    </row>
    <row r="66" spans="1:28" ht="20.100000000000001" customHeight="1">
      <c r="A66" s="395"/>
      <c r="B66" s="403" t="s">
        <v>455</v>
      </c>
      <c r="C66" s="280"/>
      <c r="D66" s="280"/>
      <c r="E66" s="280"/>
      <c r="F66" s="283"/>
      <c r="G66" s="395"/>
      <c r="H66" s="395"/>
      <c r="I66" s="395"/>
      <c r="J66" s="395"/>
      <c r="K66" s="395"/>
      <c r="L66" s="395"/>
      <c r="M66" s="395"/>
      <c r="N66" s="395"/>
      <c r="O66" s="395"/>
      <c r="P66" s="395"/>
      <c r="Q66" s="395"/>
      <c r="R66" s="395"/>
      <c r="S66" s="395"/>
      <c r="T66" s="395"/>
      <c r="U66" s="395"/>
      <c r="V66" s="395"/>
      <c r="W66" s="395"/>
      <c r="X66" s="395"/>
      <c r="Y66" s="395"/>
      <c r="Z66" s="395"/>
      <c r="AA66" s="395"/>
      <c r="AB66" s="395"/>
    </row>
    <row r="67" spans="1:28" ht="20.100000000000001" customHeight="1">
      <c r="A67" s="395"/>
      <c r="B67" s="402" t="s">
        <v>454</v>
      </c>
      <c r="C67" s="280"/>
      <c r="D67" s="280"/>
      <c r="E67" s="280"/>
      <c r="F67" s="283"/>
      <c r="G67" s="395"/>
      <c r="H67" s="395"/>
      <c r="I67" s="395"/>
      <c r="J67" s="395"/>
      <c r="K67" s="395"/>
      <c r="L67" s="395"/>
      <c r="M67" s="395"/>
      <c r="N67" s="395"/>
      <c r="O67" s="395"/>
      <c r="P67" s="395"/>
      <c r="Q67" s="395"/>
      <c r="R67" s="395"/>
      <c r="S67" s="395"/>
      <c r="T67" s="395"/>
      <c r="U67" s="395"/>
      <c r="V67" s="395"/>
      <c r="W67" s="395"/>
      <c r="X67" s="395"/>
      <c r="Y67" s="395"/>
      <c r="Z67" s="395"/>
      <c r="AA67" s="395"/>
      <c r="AB67" s="395"/>
    </row>
    <row r="68" spans="1:28" ht="20.100000000000001" customHeight="1">
      <c r="A68" s="395"/>
      <c r="B68" s="402" t="s">
        <v>456</v>
      </c>
      <c r="C68" s="280"/>
      <c r="D68" s="280"/>
      <c r="E68" s="280"/>
      <c r="F68" s="283"/>
      <c r="G68" s="395"/>
      <c r="H68" s="395"/>
      <c r="I68" s="395"/>
      <c r="J68" s="395"/>
      <c r="K68" s="395"/>
      <c r="L68" s="395"/>
      <c r="M68" s="395"/>
      <c r="N68" s="395"/>
      <c r="O68" s="395"/>
      <c r="P68" s="395"/>
      <c r="Q68" s="395"/>
      <c r="R68" s="395"/>
      <c r="S68" s="395"/>
      <c r="T68" s="395"/>
      <c r="U68" s="395"/>
      <c r="V68" s="395"/>
      <c r="W68" s="395"/>
      <c r="X68" s="395"/>
      <c r="Y68" s="395"/>
      <c r="Z68" s="395"/>
      <c r="AA68" s="395"/>
      <c r="AB68" s="395"/>
    </row>
    <row r="69" spans="1:28" ht="20.100000000000001" customHeight="1">
      <c r="A69" s="395"/>
      <c r="B69" s="402" t="s">
        <v>457</v>
      </c>
      <c r="C69" s="280"/>
      <c r="D69" s="280"/>
      <c r="E69" s="280"/>
      <c r="F69" s="283"/>
      <c r="G69" s="395"/>
      <c r="H69" s="395"/>
      <c r="I69" s="395"/>
      <c r="J69" s="395"/>
      <c r="K69" s="395"/>
      <c r="L69" s="395"/>
      <c r="M69" s="395"/>
      <c r="N69" s="395"/>
      <c r="O69" s="395"/>
      <c r="P69" s="395"/>
      <c r="Q69" s="395"/>
      <c r="R69" s="395"/>
      <c r="S69" s="395"/>
      <c r="T69" s="395"/>
      <c r="U69" s="395"/>
      <c r="V69" s="395"/>
      <c r="W69" s="395"/>
      <c r="X69" s="395"/>
      <c r="Y69" s="395"/>
      <c r="Z69" s="395"/>
      <c r="AA69" s="395"/>
      <c r="AB69" s="395"/>
    </row>
    <row r="70" spans="1:28" ht="20.100000000000001" customHeight="1">
      <c r="A70" s="395"/>
      <c r="B70" s="402" t="s">
        <v>458</v>
      </c>
      <c r="C70" s="280"/>
      <c r="D70" s="280"/>
      <c r="E70" s="280"/>
      <c r="F70" s="283"/>
      <c r="G70" s="395"/>
      <c r="H70" s="395"/>
      <c r="I70" s="395"/>
      <c r="J70" s="395"/>
      <c r="K70" s="395"/>
      <c r="L70" s="395"/>
      <c r="M70" s="395"/>
      <c r="N70" s="395"/>
      <c r="O70" s="395"/>
      <c r="P70" s="395"/>
      <c r="Q70" s="395"/>
      <c r="R70" s="395"/>
      <c r="S70" s="395"/>
      <c r="T70" s="395"/>
      <c r="U70" s="395"/>
      <c r="V70" s="395"/>
      <c r="W70" s="395"/>
      <c r="X70" s="395"/>
      <c r="Y70" s="395"/>
      <c r="Z70" s="395"/>
      <c r="AA70" s="395"/>
      <c r="AB70" s="395"/>
    </row>
    <row r="71" spans="1:28" ht="34.5" customHeight="1">
      <c r="A71" s="395"/>
      <c r="B71" s="1365" t="s">
        <v>459</v>
      </c>
      <c r="C71" s="1366"/>
      <c r="D71" s="1366"/>
      <c r="E71" s="1366"/>
      <c r="F71" s="1367"/>
      <c r="G71" s="395"/>
      <c r="H71" s="395"/>
      <c r="I71" s="395"/>
      <c r="J71" s="395"/>
      <c r="K71" s="395"/>
      <c r="L71" s="395"/>
      <c r="M71" s="395"/>
      <c r="N71" s="395"/>
      <c r="O71" s="395"/>
      <c r="P71" s="395"/>
      <c r="Q71" s="395"/>
      <c r="R71" s="395"/>
      <c r="S71" s="395"/>
      <c r="T71" s="395"/>
      <c r="U71" s="395"/>
      <c r="V71" s="395"/>
      <c r="W71" s="395"/>
      <c r="X71" s="395"/>
      <c r="Y71" s="395"/>
      <c r="Z71" s="395"/>
      <c r="AA71" s="395"/>
      <c r="AB71" s="395"/>
    </row>
    <row r="72" spans="1:28" ht="33.75" customHeight="1">
      <c r="A72" s="395"/>
      <c r="B72" s="1362" t="s">
        <v>933</v>
      </c>
      <c r="C72" s="1363"/>
      <c r="D72" s="1363"/>
      <c r="E72" s="1363"/>
      <c r="F72" s="1364"/>
      <c r="G72" s="395"/>
      <c r="H72" s="395"/>
      <c r="I72" s="395"/>
      <c r="J72" s="395"/>
      <c r="K72" s="395"/>
      <c r="L72" s="395"/>
      <c r="M72" s="395"/>
      <c r="N72" s="395"/>
      <c r="O72" s="395"/>
      <c r="P72" s="395"/>
      <c r="Q72" s="395"/>
      <c r="R72" s="395"/>
      <c r="S72" s="395"/>
      <c r="T72" s="395"/>
      <c r="U72" s="395"/>
      <c r="V72" s="395"/>
      <c r="W72" s="395"/>
      <c r="X72" s="395"/>
      <c r="Y72" s="395"/>
      <c r="Z72" s="395"/>
      <c r="AA72" s="395"/>
      <c r="AB72" s="395"/>
    </row>
    <row r="73" spans="1:28" ht="20.100000000000001" customHeight="1">
      <c r="A73" s="395"/>
      <c r="B73" s="402" t="s">
        <v>460</v>
      </c>
      <c r="C73" s="280"/>
      <c r="D73" s="280"/>
      <c r="E73" s="280"/>
      <c r="F73" s="283"/>
      <c r="G73" s="395"/>
      <c r="H73" s="395"/>
      <c r="I73" s="395"/>
      <c r="J73" s="395"/>
      <c r="K73" s="395"/>
      <c r="L73" s="395"/>
      <c r="M73" s="395"/>
      <c r="N73" s="395"/>
      <c r="O73" s="395"/>
      <c r="P73" s="395"/>
      <c r="Q73" s="395"/>
      <c r="R73" s="395"/>
      <c r="S73" s="395"/>
      <c r="T73" s="395"/>
      <c r="U73" s="395"/>
      <c r="V73" s="395"/>
      <c r="W73" s="395"/>
      <c r="X73" s="395"/>
      <c r="Y73" s="395"/>
      <c r="Z73" s="395"/>
      <c r="AA73" s="395"/>
      <c r="AB73" s="395"/>
    </row>
    <row r="74" spans="1:28" ht="20.100000000000001" customHeight="1">
      <c r="A74" s="395"/>
      <c r="B74" s="404" t="s">
        <v>461</v>
      </c>
      <c r="C74" s="280"/>
      <c r="D74" s="280"/>
      <c r="E74" s="280"/>
      <c r="F74" s="283"/>
      <c r="G74" s="395"/>
      <c r="H74" s="395"/>
      <c r="I74" s="395"/>
      <c r="J74" s="395"/>
      <c r="K74" s="395"/>
      <c r="L74" s="395"/>
      <c r="M74" s="395"/>
      <c r="N74" s="395"/>
      <c r="O74" s="395"/>
      <c r="P74" s="395"/>
      <c r="Q74" s="395"/>
      <c r="R74" s="395"/>
      <c r="S74" s="395"/>
      <c r="T74" s="395"/>
      <c r="U74" s="395"/>
      <c r="V74" s="395"/>
      <c r="W74" s="395"/>
      <c r="X74" s="395"/>
      <c r="Y74" s="395"/>
      <c r="Z74" s="395"/>
      <c r="AA74" s="395"/>
      <c r="AB74" s="395"/>
    </row>
    <row r="75" spans="1:28" ht="12.75" thickBot="1">
      <c r="A75" s="395"/>
      <c r="B75" s="272"/>
      <c r="C75" s="405"/>
      <c r="D75" s="405"/>
      <c r="E75" s="405"/>
      <c r="F75" s="406"/>
      <c r="G75" s="395"/>
      <c r="H75" s="395"/>
      <c r="I75" s="395"/>
      <c r="J75" s="395"/>
      <c r="K75" s="395"/>
      <c r="L75" s="395"/>
      <c r="M75" s="395"/>
      <c r="N75" s="395"/>
      <c r="O75" s="395"/>
      <c r="P75" s="395"/>
      <c r="Q75" s="395"/>
      <c r="R75" s="395"/>
      <c r="S75" s="395"/>
      <c r="T75" s="395"/>
      <c r="U75" s="395"/>
      <c r="V75" s="395"/>
      <c r="W75" s="395"/>
      <c r="X75" s="395"/>
      <c r="Y75" s="395"/>
      <c r="Z75" s="395"/>
      <c r="AA75" s="395"/>
      <c r="AB75" s="395"/>
    </row>
    <row r="76" spans="1:28">
      <c r="A76" s="395"/>
      <c r="B76" s="395"/>
      <c r="C76" s="395"/>
      <c r="D76" s="395"/>
      <c r="E76" s="395"/>
      <c r="F76" s="395"/>
      <c r="G76" s="395"/>
      <c r="H76" s="395"/>
      <c r="I76" s="395"/>
      <c r="J76" s="395"/>
      <c r="K76" s="395"/>
      <c r="L76" s="395"/>
      <c r="M76" s="395"/>
      <c r="N76" s="395"/>
      <c r="O76" s="395"/>
      <c r="P76" s="395"/>
      <c r="Q76" s="395"/>
      <c r="R76" s="395"/>
      <c r="S76" s="395"/>
      <c r="T76" s="395"/>
      <c r="U76" s="395"/>
      <c r="V76" s="395"/>
      <c r="W76" s="395"/>
      <c r="X76" s="395"/>
      <c r="Y76" s="395"/>
      <c r="Z76" s="395"/>
      <c r="AA76" s="395"/>
      <c r="AB76" s="395"/>
    </row>
    <row r="77" spans="1:28">
      <c r="A77" s="395"/>
      <c r="B77" s="395"/>
      <c r="C77" s="395"/>
      <c r="D77" s="395"/>
      <c r="E77" s="395"/>
      <c r="F77" s="395"/>
      <c r="G77" s="395"/>
      <c r="H77" s="395"/>
      <c r="I77" s="395"/>
      <c r="J77" s="395"/>
      <c r="K77" s="395"/>
      <c r="L77" s="395"/>
      <c r="M77" s="395"/>
      <c r="N77" s="395"/>
      <c r="O77" s="395"/>
      <c r="P77" s="395"/>
      <c r="Q77" s="395"/>
      <c r="R77" s="395"/>
      <c r="S77" s="395"/>
      <c r="T77" s="395"/>
      <c r="U77" s="395"/>
      <c r="V77" s="395"/>
      <c r="W77" s="395"/>
      <c r="X77" s="395"/>
      <c r="Y77" s="395"/>
      <c r="Z77" s="395"/>
      <c r="AA77" s="395"/>
      <c r="AB77" s="395"/>
    </row>
    <row r="78" spans="1:28">
      <c r="A78" s="395"/>
      <c r="B78" s="395"/>
      <c r="C78" s="395"/>
      <c r="D78" s="395"/>
      <c r="E78" s="395"/>
      <c r="F78" s="395"/>
      <c r="G78" s="395"/>
      <c r="H78" s="395"/>
      <c r="I78" s="395"/>
      <c r="J78" s="395"/>
      <c r="K78" s="395"/>
      <c r="L78" s="395"/>
      <c r="M78" s="395"/>
      <c r="N78" s="395"/>
      <c r="O78" s="395"/>
      <c r="P78" s="395"/>
      <c r="Q78" s="395"/>
      <c r="R78" s="395"/>
      <c r="S78" s="395"/>
      <c r="T78" s="395"/>
      <c r="U78" s="395"/>
      <c r="V78" s="395"/>
      <c r="W78" s="395"/>
      <c r="X78" s="395"/>
      <c r="Y78" s="395"/>
      <c r="Z78" s="395"/>
      <c r="AA78" s="395"/>
      <c r="AB78" s="395"/>
    </row>
    <row r="79" spans="1:28">
      <c r="A79" s="395"/>
      <c r="B79" s="395"/>
      <c r="C79" s="395"/>
      <c r="D79" s="395"/>
      <c r="E79" s="395"/>
      <c r="F79" s="395"/>
      <c r="G79" s="395"/>
      <c r="H79" s="395"/>
      <c r="I79" s="395"/>
      <c r="J79" s="395"/>
      <c r="K79" s="395"/>
      <c r="L79" s="395"/>
      <c r="M79" s="395"/>
      <c r="N79" s="395"/>
      <c r="O79" s="395"/>
      <c r="P79" s="395"/>
      <c r="Q79" s="395"/>
      <c r="R79" s="395"/>
      <c r="S79" s="395"/>
      <c r="T79" s="395"/>
      <c r="U79" s="395"/>
      <c r="V79" s="395"/>
      <c r="W79" s="395"/>
      <c r="X79" s="395"/>
      <c r="Y79" s="395"/>
      <c r="Z79" s="395"/>
      <c r="AA79" s="395"/>
      <c r="AB79" s="395"/>
    </row>
    <row r="80" spans="1:28">
      <c r="A80" s="395"/>
      <c r="B80" s="395"/>
      <c r="C80" s="395"/>
      <c r="D80" s="395"/>
      <c r="E80" s="395"/>
      <c r="F80" s="395"/>
      <c r="G80" s="395"/>
      <c r="H80" s="395"/>
      <c r="I80" s="395"/>
      <c r="J80" s="395"/>
      <c r="K80" s="395"/>
      <c r="L80" s="395"/>
      <c r="M80" s="395"/>
      <c r="N80" s="395"/>
      <c r="O80" s="395"/>
      <c r="P80" s="395"/>
      <c r="Q80" s="395"/>
      <c r="R80" s="395"/>
      <c r="S80" s="395"/>
      <c r="T80" s="395"/>
      <c r="U80" s="395"/>
      <c r="V80" s="395"/>
      <c r="W80" s="395"/>
      <c r="X80" s="395"/>
      <c r="Y80" s="395"/>
      <c r="Z80" s="395"/>
      <c r="AA80" s="395"/>
      <c r="AB80" s="395"/>
    </row>
    <row r="81" spans="1:28">
      <c r="A81" s="395"/>
      <c r="B81" s="395"/>
      <c r="C81" s="395"/>
      <c r="D81" s="395"/>
      <c r="E81" s="395"/>
      <c r="F81" s="395"/>
      <c r="G81" s="395"/>
      <c r="H81" s="395"/>
      <c r="I81" s="395"/>
      <c r="J81" s="395"/>
      <c r="K81" s="395"/>
      <c r="L81" s="395"/>
      <c r="M81" s="395"/>
      <c r="N81" s="395"/>
      <c r="O81" s="395"/>
      <c r="P81" s="395"/>
      <c r="Q81" s="395"/>
      <c r="R81" s="395"/>
      <c r="S81" s="395"/>
      <c r="T81" s="395"/>
      <c r="U81" s="395"/>
      <c r="V81" s="395"/>
      <c r="W81" s="395"/>
      <c r="X81" s="395"/>
      <c r="Y81" s="395"/>
      <c r="Z81" s="395"/>
      <c r="AA81" s="395"/>
      <c r="AB81" s="395"/>
    </row>
    <row r="82" spans="1:28" ht="15">
      <c r="A82" s="395"/>
      <c r="B82" s="395"/>
      <c r="C82" s="395"/>
      <c r="D82" s="399"/>
      <c r="E82" s="395"/>
      <c r="F82" s="395"/>
      <c r="G82" s="395"/>
      <c r="H82" s="395"/>
      <c r="I82" s="395"/>
      <c r="J82" s="395"/>
      <c r="K82" s="395"/>
      <c r="L82" s="395"/>
      <c r="M82" s="395"/>
      <c r="N82" s="395"/>
      <c r="O82" s="395"/>
      <c r="P82" s="395"/>
      <c r="Q82" s="395"/>
      <c r="R82" s="395"/>
      <c r="S82" s="395"/>
      <c r="T82" s="395"/>
      <c r="U82" s="395"/>
      <c r="V82" s="395"/>
      <c r="W82" s="395"/>
      <c r="X82" s="395"/>
      <c r="Y82" s="395"/>
      <c r="Z82" s="395"/>
      <c r="AA82" s="395"/>
      <c r="AB82" s="395"/>
    </row>
    <row r="83" spans="1:28" ht="15">
      <c r="A83" s="395"/>
      <c r="B83" s="395"/>
      <c r="C83" s="395"/>
      <c r="D83" s="399"/>
      <c r="E83" s="395"/>
      <c r="F83" s="395"/>
      <c r="G83" s="395"/>
      <c r="H83" s="395"/>
      <c r="I83" s="395"/>
      <c r="J83" s="395"/>
      <c r="K83" s="395"/>
      <c r="L83" s="395"/>
      <c r="M83" s="395"/>
      <c r="N83" s="395"/>
      <c r="O83" s="395"/>
      <c r="P83" s="395"/>
      <c r="Q83" s="395"/>
      <c r="R83" s="395"/>
      <c r="S83" s="395"/>
      <c r="T83" s="395"/>
      <c r="U83" s="395"/>
      <c r="V83" s="395"/>
      <c r="W83" s="395"/>
      <c r="X83" s="395"/>
      <c r="Y83" s="395"/>
      <c r="Z83" s="395"/>
      <c r="AA83" s="395"/>
      <c r="AB83" s="395"/>
    </row>
    <row r="84" spans="1:28" ht="15">
      <c r="A84" s="395"/>
      <c r="B84" s="395"/>
      <c r="C84" s="395"/>
      <c r="D84" s="399"/>
      <c r="E84" s="395"/>
      <c r="F84" s="395"/>
      <c r="G84" s="395"/>
      <c r="H84" s="395"/>
      <c r="I84" s="395"/>
      <c r="J84" s="395"/>
      <c r="K84" s="395"/>
      <c r="L84" s="395"/>
      <c r="M84" s="395"/>
      <c r="N84" s="395"/>
      <c r="O84" s="395"/>
      <c r="P84" s="395"/>
      <c r="Q84" s="395"/>
      <c r="R84" s="395"/>
      <c r="S84" s="395"/>
      <c r="T84" s="395"/>
      <c r="U84" s="395"/>
      <c r="V84" s="395"/>
      <c r="W84" s="395"/>
      <c r="X84" s="395"/>
      <c r="Y84" s="395"/>
      <c r="Z84" s="395"/>
      <c r="AA84" s="395"/>
      <c r="AB84" s="395"/>
    </row>
    <row r="85" spans="1:28" ht="15">
      <c r="A85" s="395"/>
      <c r="B85" s="395"/>
      <c r="C85" s="395"/>
      <c r="D85" s="399"/>
      <c r="E85" s="395"/>
      <c r="F85" s="395"/>
      <c r="G85" s="395"/>
      <c r="H85" s="395"/>
      <c r="I85" s="395"/>
      <c r="J85" s="395"/>
      <c r="K85" s="395"/>
      <c r="L85" s="395"/>
      <c r="M85" s="395"/>
      <c r="N85" s="395"/>
      <c r="O85" s="395"/>
      <c r="P85" s="395"/>
      <c r="Q85" s="395"/>
      <c r="R85" s="395"/>
      <c r="S85" s="395"/>
      <c r="T85" s="395"/>
      <c r="U85" s="395"/>
      <c r="V85" s="395"/>
      <c r="W85" s="395"/>
      <c r="X85" s="395"/>
      <c r="Y85" s="395"/>
      <c r="Z85" s="395"/>
      <c r="AA85" s="395"/>
      <c r="AB85" s="395"/>
    </row>
    <row r="86" spans="1:28" ht="15">
      <c r="A86" s="395"/>
      <c r="B86" s="395"/>
      <c r="C86" s="395"/>
      <c r="D86" s="399"/>
      <c r="E86" s="395"/>
      <c r="F86" s="395"/>
      <c r="G86" s="395"/>
      <c r="H86" s="395"/>
      <c r="I86" s="395"/>
      <c r="J86" s="395"/>
      <c r="K86" s="395"/>
      <c r="L86" s="395"/>
      <c r="M86" s="395"/>
      <c r="N86" s="395"/>
      <c r="O86" s="395"/>
      <c r="P86" s="395"/>
      <c r="Q86" s="395"/>
      <c r="R86" s="395"/>
      <c r="S86" s="395"/>
      <c r="T86" s="395"/>
      <c r="U86" s="395"/>
      <c r="V86" s="395"/>
      <c r="W86" s="395"/>
      <c r="X86" s="395"/>
      <c r="Y86" s="395"/>
      <c r="Z86" s="395"/>
      <c r="AA86" s="395"/>
      <c r="AB86" s="395"/>
    </row>
    <row r="87" spans="1:28" ht="15">
      <c r="A87" s="395"/>
      <c r="B87" s="395"/>
      <c r="C87" s="395"/>
      <c r="D87" s="399"/>
      <c r="E87" s="395"/>
      <c r="F87" s="395"/>
      <c r="G87" s="395"/>
      <c r="H87" s="395"/>
      <c r="I87" s="395"/>
      <c r="J87" s="395"/>
      <c r="K87" s="395"/>
      <c r="L87" s="395"/>
      <c r="M87" s="395"/>
      <c r="N87" s="395"/>
      <c r="O87" s="395"/>
      <c r="P87" s="395"/>
      <c r="Q87" s="395"/>
      <c r="R87" s="395"/>
      <c r="S87" s="395"/>
      <c r="T87" s="395"/>
      <c r="U87" s="395"/>
      <c r="V87" s="395"/>
      <c r="W87" s="395"/>
      <c r="X87" s="395"/>
      <c r="Y87" s="395"/>
      <c r="Z87" s="395"/>
      <c r="AA87" s="395"/>
      <c r="AB87" s="395"/>
    </row>
    <row r="88" spans="1:28" ht="15">
      <c r="A88" s="395"/>
      <c r="B88" s="395"/>
      <c r="C88" s="395"/>
      <c r="D88" s="399"/>
      <c r="E88" s="395"/>
      <c r="F88" s="395"/>
      <c r="G88" s="395"/>
      <c r="H88" s="395"/>
      <c r="I88" s="395"/>
      <c r="J88" s="395"/>
      <c r="K88" s="395"/>
      <c r="L88" s="395"/>
      <c r="M88" s="395"/>
      <c r="N88" s="395"/>
      <c r="O88" s="395"/>
      <c r="P88" s="395"/>
      <c r="Q88" s="395"/>
      <c r="R88" s="395"/>
      <c r="S88" s="395"/>
      <c r="T88" s="395"/>
      <c r="U88" s="395"/>
      <c r="V88" s="395"/>
      <c r="W88" s="395"/>
      <c r="X88" s="395"/>
      <c r="Y88" s="395"/>
      <c r="Z88" s="395"/>
      <c r="AA88" s="395"/>
      <c r="AB88" s="395"/>
    </row>
    <row r="89" spans="1:28" ht="15">
      <c r="A89" s="395"/>
      <c r="B89" s="395"/>
      <c r="C89" s="395"/>
      <c r="D89" s="399"/>
      <c r="E89" s="395"/>
      <c r="F89" s="395"/>
      <c r="G89" s="395"/>
      <c r="H89" s="395"/>
      <c r="I89" s="395"/>
      <c r="J89" s="395"/>
      <c r="K89" s="395"/>
      <c r="L89" s="395"/>
      <c r="M89" s="395"/>
      <c r="N89" s="395"/>
      <c r="O89" s="395"/>
      <c r="P89" s="395"/>
      <c r="Q89" s="395"/>
      <c r="R89" s="395"/>
      <c r="S89" s="395"/>
      <c r="T89" s="395"/>
      <c r="U89" s="395"/>
      <c r="V89" s="395"/>
      <c r="W89" s="395"/>
      <c r="X89" s="395"/>
      <c r="Y89" s="395"/>
      <c r="Z89" s="395"/>
      <c r="AA89" s="395"/>
      <c r="AB89" s="395"/>
    </row>
    <row r="90" spans="1:28" ht="15">
      <c r="A90" s="395"/>
      <c r="B90" s="395"/>
      <c r="C90" s="395"/>
      <c r="D90" s="399"/>
      <c r="E90" s="395"/>
      <c r="F90" s="395"/>
      <c r="G90" s="395"/>
      <c r="H90" s="395"/>
      <c r="I90" s="395"/>
      <c r="J90" s="395"/>
      <c r="K90" s="395"/>
      <c r="L90" s="395"/>
      <c r="M90" s="395"/>
      <c r="N90" s="395"/>
      <c r="O90" s="395"/>
      <c r="P90" s="395"/>
      <c r="Q90" s="395"/>
      <c r="R90" s="395"/>
      <c r="S90" s="395"/>
      <c r="T90" s="395"/>
      <c r="U90" s="395"/>
      <c r="V90" s="395"/>
      <c r="W90" s="395"/>
      <c r="X90" s="395"/>
      <c r="Y90" s="395"/>
      <c r="Z90" s="395"/>
      <c r="AA90" s="395"/>
      <c r="AB90" s="395"/>
    </row>
    <row r="91" spans="1:28" ht="15">
      <c r="A91" s="395"/>
      <c r="B91" s="395"/>
      <c r="C91" s="395"/>
      <c r="D91" s="399"/>
      <c r="E91" s="395"/>
      <c r="F91" s="395"/>
      <c r="G91" s="395"/>
      <c r="H91" s="395"/>
      <c r="I91" s="395"/>
      <c r="J91" s="395"/>
      <c r="K91" s="395"/>
      <c r="L91" s="395"/>
      <c r="M91" s="395"/>
      <c r="N91" s="395"/>
      <c r="O91" s="395"/>
      <c r="P91" s="395"/>
      <c r="Q91" s="395"/>
      <c r="R91" s="395"/>
      <c r="S91" s="395"/>
      <c r="T91" s="395"/>
      <c r="U91" s="395"/>
      <c r="V91" s="395"/>
      <c r="W91" s="395"/>
      <c r="X91" s="395"/>
      <c r="Y91" s="395"/>
      <c r="Z91" s="395"/>
      <c r="AA91" s="395"/>
      <c r="AB91" s="395"/>
    </row>
    <row r="92" spans="1:28" ht="15">
      <c r="A92" s="395"/>
      <c r="B92" s="395"/>
      <c r="C92" s="395"/>
      <c r="D92" s="399"/>
      <c r="E92" s="395"/>
      <c r="F92" s="395"/>
      <c r="G92" s="395"/>
      <c r="H92" s="395"/>
      <c r="I92" s="395"/>
      <c r="J92" s="395"/>
      <c r="K92" s="395"/>
      <c r="L92" s="395"/>
      <c r="M92" s="395"/>
      <c r="N92" s="395"/>
      <c r="O92" s="395"/>
      <c r="P92" s="395"/>
      <c r="Q92" s="395"/>
      <c r="R92" s="395"/>
      <c r="S92" s="395"/>
      <c r="T92" s="395"/>
      <c r="U92" s="395"/>
      <c r="V92" s="395"/>
      <c r="W92" s="395"/>
      <c r="X92" s="395"/>
      <c r="Y92" s="395"/>
      <c r="Z92" s="395"/>
      <c r="AA92" s="395"/>
      <c r="AB92" s="395"/>
    </row>
    <row r="93" spans="1:28">
      <c r="A93" s="395"/>
      <c r="B93" s="395"/>
      <c r="C93" s="395"/>
      <c r="D93" s="395"/>
      <c r="E93" s="395"/>
      <c r="F93" s="395"/>
      <c r="G93" s="395"/>
      <c r="H93" s="395"/>
      <c r="I93" s="395"/>
      <c r="J93" s="395"/>
      <c r="K93" s="395"/>
      <c r="L93" s="395"/>
      <c r="M93" s="395"/>
      <c r="N93" s="395"/>
      <c r="O93" s="395"/>
      <c r="P93" s="395"/>
      <c r="Q93" s="395"/>
      <c r="R93" s="395"/>
      <c r="S93" s="395"/>
      <c r="T93" s="395"/>
      <c r="U93" s="395"/>
      <c r="V93" s="395"/>
      <c r="W93" s="395"/>
      <c r="X93" s="395"/>
      <c r="Y93" s="395"/>
      <c r="Z93" s="395"/>
      <c r="AA93" s="395"/>
      <c r="AB93" s="395"/>
    </row>
    <row r="94" spans="1:28">
      <c r="A94" s="395"/>
      <c r="B94" s="395"/>
      <c r="C94" s="395"/>
      <c r="D94" s="395"/>
      <c r="E94" s="395"/>
      <c r="F94" s="395"/>
      <c r="G94" s="395"/>
      <c r="H94" s="395"/>
      <c r="I94" s="395"/>
      <c r="J94" s="395"/>
      <c r="K94" s="395"/>
      <c r="L94" s="395"/>
      <c r="M94" s="395"/>
      <c r="N94" s="395"/>
      <c r="O94" s="395"/>
      <c r="P94" s="395"/>
      <c r="Q94" s="395"/>
      <c r="R94" s="395"/>
      <c r="S94" s="395"/>
      <c r="T94" s="395"/>
      <c r="U94" s="395"/>
      <c r="V94" s="395"/>
      <c r="W94" s="395"/>
      <c r="X94" s="395"/>
      <c r="Y94" s="395"/>
      <c r="Z94" s="395"/>
      <c r="AA94" s="395"/>
      <c r="AB94" s="395"/>
    </row>
    <row r="95" spans="1:28">
      <c r="A95" s="395"/>
      <c r="B95" s="395"/>
      <c r="C95" s="395"/>
      <c r="D95" s="395"/>
      <c r="E95" s="395"/>
      <c r="F95" s="395"/>
      <c r="G95" s="395"/>
      <c r="H95" s="395"/>
      <c r="I95" s="395"/>
      <c r="J95" s="395"/>
      <c r="K95" s="395"/>
      <c r="L95" s="395"/>
      <c r="M95" s="395"/>
      <c r="N95" s="395"/>
      <c r="O95" s="395"/>
      <c r="P95" s="395"/>
      <c r="Q95" s="395"/>
      <c r="R95" s="395"/>
      <c r="S95" s="395"/>
      <c r="T95" s="395"/>
      <c r="U95" s="395"/>
      <c r="V95" s="395"/>
      <c r="W95" s="395"/>
      <c r="X95" s="395"/>
      <c r="Y95" s="395"/>
      <c r="Z95" s="395"/>
      <c r="AA95" s="395"/>
      <c r="AB95" s="395"/>
    </row>
    <row r="96" spans="1:28">
      <c r="A96" s="395"/>
      <c r="B96" s="395"/>
      <c r="C96" s="395"/>
      <c r="D96" s="395"/>
      <c r="E96" s="395"/>
      <c r="F96" s="395"/>
      <c r="G96" s="395"/>
      <c r="H96" s="395"/>
      <c r="I96" s="395"/>
      <c r="J96" s="395"/>
      <c r="K96" s="395"/>
      <c r="L96" s="395"/>
      <c r="M96" s="395"/>
      <c r="N96" s="395"/>
      <c r="O96" s="395"/>
      <c r="P96" s="395"/>
      <c r="Q96" s="395"/>
      <c r="R96" s="395"/>
      <c r="S96" s="395"/>
      <c r="T96" s="395"/>
      <c r="U96" s="395"/>
      <c r="V96" s="395"/>
      <c r="W96" s="395"/>
      <c r="X96" s="395"/>
      <c r="Y96" s="395"/>
      <c r="Z96" s="395"/>
      <c r="AA96" s="395"/>
      <c r="AB96" s="395"/>
    </row>
    <row r="97" spans="1:28">
      <c r="A97" s="395"/>
      <c r="B97" s="395"/>
      <c r="C97" s="395"/>
      <c r="D97" s="395"/>
      <c r="E97" s="395"/>
      <c r="F97" s="395"/>
      <c r="G97" s="395"/>
      <c r="H97" s="395"/>
      <c r="I97" s="395"/>
      <c r="J97" s="395"/>
      <c r="K97" s="395"/>
      <c r="L97" s="395"/>
      <c r="M97" s="395"/>
      <c r="N97" s="395"/>
      <c r="O97" s="395"/>
      <c r="P97" s="395"/>
      <c r="Q97" s="395"/>
      <c r="R97" s="395"/>
      <c r="S97" s="395"/>
      <c r="T97" s="395"/>
      <c r="U97" s="395"/>
      <c r="V97" s="395"/>
      <c r="W97" s="395"/>
      <c r="X97" s="395"/>
      <c r="Y97" s="395"/>
      <c r="Z97" s="395"/>
      <c r="AA97" s="395"/>
      <c r="AB97" s="395"/>
    </row>
    <row r="98" spans="1:28">
      <c r="A98" s="395"/>
      <c r="B98" s="395"/>
      <c r="C98" s="395"/>
      <c r="D98" s="395"/>
      <c r="E98" s="395"/>
      <c r="F98" s="395"/>
      <c r="G98" s="395"/>
      <c r="H98" s="395"/>
      <c r="I98" s="395"/>
      <c r="J98" s="395"/>
      <c r="K98" s="395"/>
      <c r="L98" s="395"/>
      <c r="M98" s="395"/>
      <c r="N98" s="395"/>
      <c r="O98" s="395"/>
      <c r="P98" s="395"/>
      <c r="Q98" s="395"/>
      <c r="R98" s="395"/>
      <c r="S98" s="395"/>
      <c r="T98" s="395"/>
      <c r="U98" s="395"/>
      <c r="V98" s="395"/>
      <c r="W98" s="395"/>
      <c r="X98" s="395"/>
      <c r="Y98" s="395"/>
      <c r="Z98" s="395"/>
      <c r="AA98" s="395"/>
      <c r="AB98" s="395"/>
    </row>
    <row r="99" spans="1:28">
      <c r="A99" s="395"/>
      <c r="B99" s="395"/>
      <c r="C99" s="395"/>
      <c r="D99" s="395"/>
      <c r="E99" s="395"/>
      <c r="F99" s="395"/>
      <c r="G99" s="395"/>
      <c r="H99" s="395"/>
      <c r="I99" s="395"/>
      <c r="J99" s="395"/>
      <c r="K99" s="395"/>
      <c r="L99" s="395"/>
      <c r="M99" s="395"/>
      <c r="N99" s="395"/>
      <c r="O99" s="395"/>
      <c r="P99" s="395"/>
      <c r="Q99" s="395"/>
      <c r="R99" s="395"/>
      <c r="S99" s="395"/>
      <c r="T99" s="395"/>
      <c r="U99" s="395"/>
      <c r="V99" s="395"/>
      <c r="W99" s="395"/>
      <c r="X99" s="395"/>
      <c r="Y99" s="395"/>
      <c r="Z99" s="395"/>
      <c r="AA99" s="395"/>
      <c r="AB99" s="395"/>
    </row>
    <row r="100" spans="1:28">
      <c r="A100" s="395"/>
      <c r="B100" s="395"/>
      <c r="C100" s="395"/>
      <c r="D100" s="395"/>
      <c r="E100" s="395"/>
      <c r="F100" s="395"/>
      <c r="G100" s="395"/>
      <c r="H100" s="395"/>
      <c r="I100" s="395"/>
      <c r="J100" s="395"/>
      <c r="K100" s="395"/>
      <c r="L100" s="395"/>
      <c r="M100" s="395"/>
      <c r="N100" s="395"/>
      <c r="O100" s="395"/>
      <c r="P100" s="395"/>
      <c r="Q100" s="395"/>
      <c r="R100" s="395"/>
      <c r="S100" s="395"/>
      <c r="T100" s="395"/>
      <c r="U100" s="395"/>
      <c r="V100" s="395"/>
      <c r="W100" s="395"/>
      <c r="X100" s="395"/>
      <c r="Y100" s="395"/>
      <c r="Z100" s="395"/>
      <c r="AA100" s="395"/>
      <c r="AB100" s="395"/>
    </row>
    <row r="101" spans="1:28">
      <c r="A101" s="395"/>
      <c r="B101" s="395"/>
      <c r="C101" s="395"/>
      <c r="D101" s="395"/>
      <c r="E101" s="395"/>
      <c r="F101" s="395"/>
      <c r="G101" s="395"/>
      <c r="H101" s="395"/>
      <c r="I101" s="395"/>
      <c r="J101" s="395"/>
      <c r="K101" s="395"/>
      <c r="L101" s="395"/>
      <c r="M101" s="395"/>
      <c r="N101" s="395"/>
      <c r="O101" s="395"/>
      <c r="P101" s="395"/>
      <c r="Q101" s="395"/>
      <c r="R101" s="395"/>
      <c r="S101" s="395"/>
      <c r="T101" s="395"/>
      <c r="U101" s="395"/>
      <c r="V101" s="395"/>
      <c r="W101" s="395"/>
      <c r="X101" s="395"/>
      <c r="Y101" s="395"/>
      <c r="Z101" s="395"/>
      <c r="AA101" s="395"/>
      <c r="AB101" s="395"/>
    </row>
    <row r="102" spans="1:28">
      <c r="A102" s="395"/>
      <c r="B102" s="395"/>
      <c r="C102" s="395"/>
      <c r="D102" s="395"/>
      <c r="E102" s="395"/>
      <c r="F102" s="395"/>
      <c r="G102" s="395"/>
      <c r="H102" s="395"/>
      <c r="I102" s="395"/>
      <c r="J102" s="395"/>
      <c r="K102" s="395"/>
      <c r="L102" s="395"/>
      <c r="M102" s="395"/>
      <c r="N102" s="395"/>
      <c r="O102" s="395"/>
      <c r="P102" s="395"/>
      <c r="Q102" s="395"/>
      <c r="R102" s="395"/>
      <c r="S102" s="395"/>
      <c r="T102" s="395"/>
      <c r="U102" s="395"/>
      <c r="V102" s="395"/>
      <c r="W102" s="395"/>
      <c r="X102" s="395"/>
      <c r="Y102" s="395"/>
      <c r="Z102" s="395"/>
      <c r="AA102" s="395"/>
      <c r="AB102" s="395"/>
    </row>
    <row r="103" spans="1:28">
      <c r="A103" s="395"/>
      <c r="B103" s="395"/>
      <c r="C103" s="395"/>
      <c r="D103" s="395"/>
      <c r="E103" s="395"/>
      <c r="F103" s="395"/>
      <c r="G103" s="395"/>
      <c r="H103" s="395"/>
      <c r="I103" s="395"/>
      <c r="J103" s="395"/>
      <c r="K103" s="395"/>
      <c r="L103" s="395"/>
      <c r="M103" s="395"/>
      <c r="N103" s="395"/>
      <c r="O103" s="395"/>
      <c r="P103" s="395"/>
      <c r="Q103" s="395"/>
      <c r="R103" s="395"/>
      <c r="S103" s="395"/>
      <c r="T103" s="395"/>
      <c r="U103" s="395"/>
      <c r="V103" s="395"/>
      <c r="W103" s="395"/>
      <c r="X103" s="395"/>
      <c r="Y103" s="395"/>
      <c r="Z103" s="395"/>
      <c r="AA103" s="395"/>
      <c r="AB103" s="395"/>
    </row>
    <row r="104" spans="1:28">
      <c r="A104" s="395"/>
      <c r="B104" s="395"/>
      <c r="C104" s="395"/>
      <c r="D104" s="395"/>
      <c r="E104" s="395"/>
      <c r="F104" s="395"/>
      <c r="G104" s="395"/>
      <c r="H104" s="395"/>
      <c r="I104" s="395"/>
      <c r="J104" s="395"/>
      <c r="K104" s="395"/>
      <c r="L104" s="395"/>
      <c r="M104" s="395"/>
      <c r="N104" s="395"/>
      <c r="O104" s="395"/>
      <c r="P104" s="395"/>
      <c r="Q104" s="395"/>
      <c r="R104" s="395"/>
      <c r="S104" s="395"/>
      <c r="T104" s="395"/>
      <c r="U104" s="395"/>
      <c r="V104" s="395"/>
      <c r="W104" s="395"/>
      <c r="X104" s="395"/>
      <c r="Y104" s="395"/>
      <c r="Z104" s="395"/>
      <c r="AA104" s="395"/>
      <c r="AB104" s="395"/>
    </row>
    <row r="105" spans="1:28">
      <c r="A105" s="395"/>
      <c r="B105" s="395"/>
      <c r="C105" s="395"/>
      <c r="D105" s="395"/>
      <c r="E105" s="395"/>
      <c r="F105" s="395"/>
      <c r="G105" s="395"/>
      <c r="H105" s="395"/>
      <c r="I105" s="395"/>
      <c r="J105" s="395"/>
      <c r="K105" s="395"/>
      <c r="L105" s="395"/>
      <c r="M105" s="395"/>
      <c r="N105" s="395"/>
      <c r="O105" s="395"/>
      <c r="P105" s="395"/>
      <c r="Q105" s="395"/>
      <c r="R105" s="395"/>
      <c r="S105" s="395"/>
      <c r="T105" s="395"/>
      <c r="U105" s="395"/>
      <c r="V105" s="395"/>
      <c r="W105" s="395"/>
      <c r="X105" s="395"/>
      <c r="Y105" s="395"/>
      <c r="Z105" s="395"/>
      <c r="AA105" s="395"/>
      <c r="AB105" s="395"/>
    </row>
    <row r="106" spans="1:28">
      <c r="A106" s="395"/>
      <c r="B106" s="395"/>
      <c r="C106" s="395"/>
      <c r="D106" s="395"/>
      <c r="E106" s="395"/>
      <c r="F106" s="395"/>
      <c r="G106" s="395"/>
      <c r="H106" s="395"/>
      <c r="I106" s="395"/>
      <c r="J106" s="395"/>
      <c r="K106" s="395"/>
      <c r="L106" s="395"/>
      <c r="M106" s="395"/>
      <c r="N106" s="395"/>
      <c r="O106" s="395"/>
      <c r="P106" s="395"/>
      <c r="Q106" s="395"/>
      <c r="R106" s="395"/>
      <c r="S106" s="395"/>
      <c r="T106" s="395"/>
      <c r="U106" s="395"/>
      <c r="V106" s="395"/>
      <c r="W106" s="395"/>
      <c r="X106" s="395"/>
      <c r="Y106" s="395"/>
      <c r="Z106" s="395"/>
      <c r="AA106" s="395"/>
      <c r="AB106" s="395"/>
    </row>
    <row r="107" spans="1:28">
      <c r="A107" s="395"/>
      <c r="B107" s="395"/>
      <c r="C107" s="395"/>
      <c r="D107" s="395"/>
      <c r="E107" s="395"/>
      <c r="F107" s="395"/>
      <c r="G107" s="395"/>
      <c r="H107" s="395"/>
      <c r="I107" s="395"/>
      <c r="J107" s="395"/>
      <c r="K107" s="395"/>
      <c r="L107" s="395"/>
      <c r="M107" s="395"/>
      <c r="N107" s="395"/>
      <c r="O107" s="395"/>
      <c r="P107" s="395"/>
      <c r="Q107" s="395"/>
      <c r="R107" s="395"/>
      <c r="S107" s="395"/>
      <c r="T107" s="395"/>
      <c r="U107" s="395"/>
      <c r="V107" s="395"/>
      <c r="W107" s="395"/>
      <c r="X107" s="395"/>
      <c r="Y107" s="395"/>
      <c r="Z107" s="395"/>
      <c r="AA107" s="395"/>
      <c r="AB107" s="395"/>
    </row>
    <row r="108" spans="1:28">
      <c r="A108" s="395"/>
      <c r="B108" s="395"/>
      <c r="C108" s="395"/>
      <c r="D108" s="395"/>
      <c r="E108" s="395"/>
      <c r="F108" s="395"/>
      <c r="G108" s="395"/>
      <c r="H108" s="395"/>
      <c r="I108" s="395"/>
      <c r="J108" s="395"/>
      <c r="K108" s="395"/>
      <c r="L108" s="395"/>
      <c r="M108" s="395"/>
      <c r="N108" s="395"/>
      <c r="O108" s="395"/>
      <c r="P108" s="395"/>
      <c r="Q108" s="395"/>
      <c r="R108" s="395"/>
      <c r="S108" s="395"/>
      <c r="T108" s="395"/>
      <c r="U108" s="395"/>
      <c r="V108" s="395"/>
      <c r="W108" s="395"/>
      <c r="X108" s="395"/>
      <c r="Y108" s="395"/>
      <c r="Z108" s="395"/>
      <c r="AA108" s="395"/>
      <c r="AB108" s="395"/>
    </row>
    <row r="109" spans="1:28">
      <c r="A109" s="395"/>
      <c r="B109" s="395"/>
      <c r="C109" s="395"/>
      <c r="D109" s="395"/>
      <c r="E109" s="395"/>
      <c r="F109" s="395"/>
      <c r="G109" s="395"/>
      <c r="H109" s="395"/>
      <c r="I109" s="395"/>
      <c r="J109" s="395"/>
      <c r="K109" s="395"/>
      <c r="L109" s="395"/>
      <c r="M109" s="395"/>
      <c r="N109" s="395"/>
      <c r="O109" s="395"/>
      <c r="P109" s="395"/>
      <c r="Q109" s="395"/>
      <c r="R109" s="395"/>
      <c r="S109" s="395"/>
      <c r="T109" s="395"/>
      <c r="U109" s="395"/>
      <c r="V109" s="395"/>
      <c r="W109" s="395"/>
      <c r="X109" s="395"/>
      <c r="Y109" s="395"/>
      <c r="Z109" s="395"/>
      <c r="AA109" s="395"/>
      <c r="AB109" s="395"/>
    </row>
  </sheetData>
  <mergeCells count="5">
    <mergeCell ref="B10:D10"/>
    <mergeCell ref="B61:F62"/>
    <mergeCell ref="B71:F71"/>
    <mergeCell ref="B72:F72"/>
    <mergeCell ref="B2:F2"/>
  </mergeCells>
  <phoneticPr fontId="18" type="noConversion"/>
  <printOptions horizontalCentered="1"/>
  <pageMargins left="0.25" right="0" top="0.25" bottom="0.25" header="0.5" footer="0.5"/>
  <pageSetup scale="73" fitToHeight="2" orientation="portrait" blackAndWhite="1" r:id="rId1"/>
  <headerFooter alignWithMargins="0"/>
  <rowBreaks count="1" manualBreakCount="1">
    <brk id="60" min="1" max="5"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theme="0"/>
    <pageSetUpPr fitToPage="1"/>
  </sheetPr>
  <dimension ref="A1:N260"/>
  <sheetViews>
    <sheetView topLeftCell="A7" zoomScaleNormal="100" workbookViewId="0">
      <selection activeCell="G128" sqref="G128"/>
    </sheetView>
  </sheetViews>
  <sheetFormatPr defaultRowHeight="12"/>
  <cols>
    <col min="1" max="1" width="3.875" customWidth="1"/>
    <col min="2" max="2" width="2.625" customWidth="1"/>
    <col min="3" max="3" width="3.875" customWidth="1"/>
    <col min="4" max="4" width="86.375" customWidth="1"/>
    <col min="5" max="5" width="2.625" customWidth="1"/>
  </cols>
  <sheetData>
    <row r="1" spans="1:14">
      <c r="A1" s="635"/>
      <c r="B1" s="267"/>
      <c r="C1" s="268"/>
      <c r="D1" s="268"/>
      <c r="E1" s="277"/>
      <c r="F1" s="635"/>
      <c r="G1" s="635"/>
      <c r="H1" s="635"/>
      <c r="I1" s="635"/>
      <c r="J1" s="635"/>
      <c r="K1" s="635"/>
      <c r="L1" s="635"/>
      <c r="M1" s="635"/>
      <c r="N1" s="635"/>
    </row>
    <row r="2" spans="1:14" ht="15">
      <c r="A2" s="635"/>
      <c r="B2" s="269"/>
      <c r="C2" s="270"/>
      <c r="D2" s="662" t="s">
        <v>464</v>
      </c>
      <c r="E2" s="278"/>
      <c r="F2" s="635"/>
      <c r="G2" s="635"/>
      <c r="H2" s="635"/>
      <c r="I2" s="635"/>
      <c r="J2" s="635"/>
      <c r="K2" s="635"/>
      <c r="L2" s="635"/>
      <c r="M2" s="635"/>
      <c r="N2" s="635"/>
    </row>
    <row r="3" spans="1:14" ht="15">
      <c r="A3" s="635"/>
      <c r="B3" s="269"/>
      <c r="C3" s="270"/>
      <c r="D3" s="662" t="s">
        <v>733</v>
      </c>
      <c r="E3" s="278"/>
      <c r="F3" s="635"/>
      <c r="G3" s="635"/>
      <c r="H3" s="635"/>
      <c r="I3" s="635"/>
      <c r="J3" s="635"/>
      <c r="K3" s="635"/>
      <c r="L3" s="635"/>
      <c r="M3" s="635"/>
      <c r="N3" s="635"/>
    </row>
    <row r="4" spans="1:14" ht="12.75">
      <c r="A4" s="635"/>
      <c r="B4" s="269"/>
      <c r="C4" s="270"/>
      <c r="D4" s="663" t="s">
        <v>473</v>
      </c>
      <c r="E4" s="645"/>
      <c r="F4" s="635"/>
      <c r="G4" s="635"/>
      <c r="H4" s="635"/>
      <c r="I4" s="635"/>
      <c r="J4" s="635"/>
      <c r="K4" s="635"/>
      <c r="L4" s="635"/>
      <c r="M4" s="635"/>
      <c r="N4" s="635"/>
    </row>
    <row r="5" spans="1:14" ht="12.75">
      <c r="A5" s="635"/>
      <c r="B5" s="269"/>
      <c r="C5" s="270"/>
      <c r="D5" s="663"/>
      <c r="E5" s="643"/>
      <c r="F5" s="635"/>
      <c r="G5" s="635"/>
      <c r="H5" s="635"/>
      <c r="I5" s="635"/>
      <c r="J5" s="635"/>
      <c r="K5" s="635"/>
      <c r="L5" s="635"/>
      <c r="M5" s="635"/>
      <c r="N5" s="635"/>
    </row>
    <row r="6" spans="1:14" ht="12.75">
      <c r="A6" s="635"/>
      <c r="B6" s="269"/>
      <c r="C6" s="270"/>
      <c r="D6" s="664" t="s">
        <v>825</v>
      </c>
      <c r="E6" s="278"/>
      <c r="F6" s="635"/>
      <c r="G6" s="635"/>
      <c r="H6" s="635"/>
      <c r="I6" s="635"/>
      <c r="J6" s="635"/>
      <c r="K6" s="635"/>
      <c r="L6" s="635"/>
      <c r="M6" s="635"/>
      <c r="N6" s="635"/>
    </row>
    <row r="7" spans="1:14" ht="24">
      <c r="A7" s="635"/>
      <c r="B7" s="269"/>
      <c r="C7" s="270"/>
      <c r="D7" s="664" t="s">
        <v>826</v>
      </c>
      <c r="E7" s="278"/>
      <c r="F7" s="635"/>
      <c r="G7" s="635"/>
      <c r="H7" s="635"/>
      <c r="I7" s="635"/>
      <c r="J7" s="635"/>
      <c r="K7" s="635"/>
      <c r="L7" s="635"/>
      <c r="M7" s="635"/>
      <c r="N7" s="635"/>
    </row>
    <row r="8" spans="1:14" ht="6.75" customHeight="1">
      <c r="A8" s="635"/>
      <c r="B8" s="269"/>
      <c r="C8" s="270"/>
      <c r="D8" s="665"/>
      <c r="E8" s="278"/>
      <c r="F8" s="635"/>
      <c r="G8" s="635"/>
      <c r="H8" s="635"/>
      <c r="I8" s="635"/>
      <c r="J8" s="635"/>
      <c r="K8" s="635"/>
      <c r="L8" s="635"/>
      <c r="M8" s="635"/>
      <c r="N8" s="635"/>
    </row>
    <row r="9" spans="1:14" ht="14.25">
      <c r="A9" s="635"/>
      <c r="B9" s="269"/>
      <c r="C9" s="270"/>
      <c r="D9" s="665" t="s">
        <v>827</v>
      </c>
      <c r="E9" s="278"/>
      <c r="F9" s="635"/>
      <c r="G9" s="635"/>
      <c r="H9" s="635"/>
      <c r="I9" s="635"/>
      <c r="J9" s="635"/>
      <c r="K9" s="635"/>
      <c r="L9" s="635"/>
      <c r="M9" s="635"/>
      <c r="N9" s="635"/>
    </row>
    <row r="10" spans="1:14" ht="14.25">
      <c r="A10" s="635"/>
      <c r="B10" s="269"/>
      <c r="C10" s="270"/>
      <c r="D10" s="665" t="s">
        <v>828</v>
      </c>
      <c r="E10" s="278"/>
      <c r="F10" s="635"/>
      <c r="G10" s="635"/>
      <c r="H10" s="635"/>
      <c r="I10" s="635"/>
      <c r="J10" s="635"/>
      <c r="K10" s="635"/>
      <c r="L10" s="635"/>
      <c r="M10" s="635"/>
      <c r="N10" s="635"/>
    </row>
    <row r="11" spans="1:14" ht="5.25" customHeight="1">
      <c r="A11" s="635"/>
      <c r="B11" s="269"/>
      <c r="C11" s="270"/>
      <c r="D11" s="665"/>
      <c r="E11" s="278"/>
      <c r="F11" s="635"/>
      <c r="G11" s="635"/>
      <c r="H11" s="635"/>
      <c r="I11" s="635"/>
      <c r="J11" s="635"/>
      <c r="K11" s="635"/>
      <c r="L11" s="635"/>
      <c r="M11" s="635"/>
      <c r="N11" s="635"/>
    </row>
    <row r="12" spans="1:14" ht="14.25">
      <c r="A12" s="635"/>
      <c r="B12" s="269"/>
      <c r="C12" s="270"/>
      <c r="D12" s="665" t="s">
        <v>466</v>
      </c>
      <c r="E12" s="278"/>
      <c r="F12" s="635"/>
      <c r="G12" s="635"/>
      <c r="H12" s="635"/>
      <c r="I12" s="635"/>
      <c r="J12" s="635"/>
      <c r="K12" s="635"/>
      <c r="L12" s="635"/>
      <c r="M12" s="635"/>
      <c r="N12" s="635"/>
    </row>
    <row r="13" spans="1:14" ht="16.5" customHeight="1">
      <c r="A13" s="635"/>
      <c r="B13" s="269"/>
      <c r="C13" s="270"/>
      <c r="D13" s="665" t="s">
        <v>829</v>
      </c>
      <c r="E13" s="278"/>
      <c r="F13" s="635"/>
      <c r="G13" s="635"/>
      <c r="H13" s="635"/>
      <c r="I13" s="635"/>
      <c r="J13" s="635"/>
      <c r="K13" s="635"/>
      <c r="L13" s="635"/>
      <c r="M13" s="635"/>
      <c r="N13" s="635"/>
    </row>
    <row r="14" spans="1:14" ht="16.5" customHeight="1">
      <c r="A14" s="635"/>
      <c r="B14" s="269"/>
      <c r="C14" s="270"/>
      <c r="D14" s="665" t="s">
        <v>732</v>
      </c>
      <c r="E14" s="278"/>
      <c r="F14" s="635"/>
      <c r="G14" s="635"/>
      <c r="H14" s="635"/>
      <c r="I14" s="635"/>
      <c r="J14" s="635"/>
      <c r="K14" s="635"/>
      <c r="L14" s="635"/>
      <c r="M14" s="635"/>
      <c r="N14" s="635"/>
    </row>
    <row r="15" spans="1:14" ht="12.75" customHeight="1">
      <c r="A15" s="635"/>
      <c r="B15" s="269"/>
      <c r="C15" s="270"/>
      <c r="D15" s="661"/>
      <c r="E15" s="646"/>
      <c r="F15" s="636"/>
      <c r="G15" s="635"/>
      <c r="H15" s="635"/>
      <c r="I15" s="635"/>
      <c r="J15" s="635"/>
      <c r="K15" s="635"/>
      <c r="L15" s="635"/>
      <c r="M15" s="635"/>
      <c r="N15" s="635"/>
    </row>
    <row r="16" spans="1:14" ht="12.75" customHeight="1">
      <c r="A16" s="635"/>
      <c r="B16" s="269"/>
      <c r="C16" s="671" t="s">
        <v>622</v>
      </c>
      <c r="D16" s="661"/>
      <c r="E16" s="646"/>
      <c r="F16" s="636"/>
      <c r="G16" s="635"/>
      <c r="H16" s="635"/>
      <c r="I16" s="635"/>
      <c r="J16" s="635"/>
      <c r="K16" s="635"/>
      <c r="L16" s="635"/>
      <c r="M16" s="635"/>
      <c r="N16" s="635"/>
    </row>
    <row r="17" spans="1:14" ht="12.75" customHeight="1">
      <c r="A17" s="635"/>
      <c r="B17" s="269"/>
      <c r="C17" s="666" t="s">
        <v>245</v>
      </c>
      <c r="D17" s="667"/>
      <c r="E17" s="646"/>
      <c r="F17" s="636"/>
      <c r="G17" s="635"/>
      <c r="H17" s="635"/>
      <c r="I17" s="635"/>
      <c r="J17" s="635"/>
      <c r="K17" s="635"/>
      <c r="L17" s="635"/>
      <c r="M17" s="635"/>
      <c r="N17" s="635"/>
    </row>
    <row r="18" spans="1:14" ht="12.75" customHeight="1">
      <c r="A18" s="635"/>
      <c r="B18" s="269"/>
      <c r="C18" s="666" t="s">
        <v>246</v>
      </c>
      <c r="D18" s="668"/>
      <c r="E18" s="646"/>
      <c r="F18" s="636"/>
      <c r="G18" s="635"/>
      <c r="H18" s="635"/>
      <c r="I18" s="635"/>
      <c r="J18" s="635"/>
      <c r="K18" s="635"/>
      <c r="L18" s="635"/>
      <c r="M18" s="635"/>
      <c r="N18" s="635"/>
    </row>
    <row r="19" spans="1:14" ht="12.75" customHeight="1">
      <c r="A19" s="635"/>
      <c r="B19" s="269"/>
      <c r="C19" s="1391" t="s">
        <v>250</v>
      </c>
      <c r="D19" s="1391"/>
      <c r="E19" s="646"/>
      <c r="F19" s="636"/>
      <c r="G19" s="635"/>
      <c r="H19" s="635"/>
      <c r="I19" s="635"/>
      <c r="J19" s="635"/>
      <c r="K19" s="635"/>
      <c r="L19" s="635"/>
      <c r="M19" s="635"/>
      <c r="N19" s="635"/>
    </row>
    <row r="20" spans="1:14" ht="12.75" customHeight="1">
      <c r="A20" s="635"/>
      <c r="B20" s="269"/>
      <c r="C20" s="1391" t="s">
        <v>23</v>
      </c>
      <c r="D20" s="1391"/>
      <c r="E20" s="646"/>
      <c r="F20" s="636"/>
      <c r="G20" s="635"/>
      <c r="H20" s="635"/>
      <c r="I20" s="635"/>
      <c r="J20" s="635"/>
      <c r="K20" s="635"/>
      <c r="L20" s="635"/>
      <c r="M20" s="635"/>
      <c r="N20" s="635"/>
    </row>
    <row r="21" spans="1:14" ht="12.75" customHeight="1">
      <c r="A21" s="635"/>
      <c r="B21" s="269"/>
      <c r="C21" s="1392" t="s">
        <v>256</v>
      </c>
      <c r="D21" s="1392"/>
      <c r="E21" s="646"/>
      <c r="F21" s="636"/>
      <c r="G21" s="635"/>
      <c r="H21" s="635"/>
      <c r="I21" s="635"/>
      <c r="J21" s="635"/>
      <c r="K21" s="635"/>
      <c r="L21" s="635"/>
      <c r="M21" s="635"/>
      <c r="N21" s="635"/>
    </row>
    <row r="22" spans="1:14" ht="12.75" customHeight="1">
      <c r="A22" s="635"/>
      <c r="B22" s="269"/>
      <c r="C22" s="1392" t="s">
        <v>479</v>
      </c>
      <c r="D22" s="1392"/>
      <c r="E22" s="646"/>
      <c r="F22" s="636"/>
      <c r="G22" s="635"/>
      <c r="H22" s="635"/>
      <c r="I22" s="635"/>
      <c r="J22" s="635"/>
      <c r="K22" s="635"/>
      <c r="L22" s="635"/>
      <c r="M22" s="635"/>
      <c r="N22" s="635"/>
    </row>
    <row r="23" spans="1:14" ht="12.75" customHeight="1">
      <c r="A23" s="635"/>
      <c r="B23" s="269"/>
      <c r="C23" s="666"/>
      <c r="D23" s="666" t="s">
        <v>481</v>
      </c>
      <c r="E23" s="646"/>
      <c r="F23" s="636"/>
      <c r="G23" s="635"/>
      <c r="H23" s="635"/>
      <c r="I23" s="635"/>
      <c r="J23" s="635"/>
      <c r="K23" s="635"/>
      <c r="L23" s="635"/>
      <c r="M23" s="635"/>
      <c r="N23" s="635"/>
    </row>
    <row r="24" spans="1:14" ht="12.75" customHeight="1">
      <c r="A24" s="635"/>
      <c r="B24" s="269"/>
      <c r="C24" s="666"/>
      <c r="D24" s="669" t="s">
        <v>487</v>
      </c>
      <c r="E24" s="646"/>
      <c r="F24" s="636"/>
      <c r="G24" s="635"/>
      <c r="H24" s="635"/>
      <c r="I24" s="635"/>
      <c r="J24" s="635"/>
      <c r="K24" s="635"/>
      <c r="L24" s="635"/>
      <c r="M24" s="635"/>
      <c r="N24" s="635"/>
    </row>
    <row r="25" spans="1:14" ht="12.75" customHeight="1">
      <c r="A25" s="635"/>
      <c r="B25" s="269"/>
      <c r="C25" s="666"/>
      <c r="D25" s="670" t="s">
        <v>600</v>
      </c>
      <c r="E25" s="646"/>
      <c r="F25" s="636"/>
      <c r="G25" s="635"/>
      <c r="H25" s="635"/>
      <c r="I25" s="635"/>
      <c r="J25" s="635"/>
      <c r="K25" s="635"/>
      <c r="L25" s="635"/>
      <c r="M25" s="635"/>
      <c r="N25" s="635"/>
    </row>
    <row r="26" spans="1:14" ht="12.75" customHeight="1">
      <c r="A26" s="635"/>
      <c r="B26" s="269"/>
      <c r="C26" s="666"/>
      <c r="D26" s="670" t="s">
        <v>603</v>
      </c>
      <c r="E26" s="646"/>
      <c r="F26" s="636"/>
      <c r="G26" s="635"/>
      <c r="H26" s="635"/>
      <c r="I26" s="635"/>
      <c r="J26" s="635"/>
      <c r="K26" s="635"/>
      <c r="L26" s="635"/>
      <c r="M26" s="635"/>
      <c r="N26" s="635"/>
    </row>
    <row r="27" spans="1:14" ht="12.75" customHeight="1">
      <c r="A27" s="635"/>
      <c r="B27" s="269"/>
      <c r="C27" s="666"/>
      <c r="D27" s="670" t="s">
        <v>611</v>
      </c>
      <c r="E27" s="646"/>
      <c r="F27" s="636"/>
      <c r="G27" s="635"/>
      <c r="H27" s="635"/>
      <c r="I27" s="635"/>
      <c r="J27" s="635"/>
      <c r="K27" s="635"/>
      <c r="L27" s="635"/>
      <c r="M27" s="635"/>
      <c r="N27" s="635"/>
    </row>
    <row r="28" spans="1:14" ht="12.75" customHeight="1">
      <c r="A28" s="635"/>
      <c r="B28" s="269"/>
      <c r="C28" s="666"/>
      <c r="D28" s="670" t="s">
        <v>614</v>
      </c>
      <c r="E28" s="646"/>
      <c r="F28" s="636"/>
      <c r="G28" s="635"/>
      <c r="H28" s="635"/>
      <c r="I28" s="635"/>
      <c r="J28" s="635"/>
      <c r="K28" s="635"/>
      <c r="L28" s="635"/>
      <c r="M28" s="635"/>
      <c r="N28" s="635"/>
    </row>
    <row r="29" spans="1:14" ht="12.75" customHeight="1">
      <c r="A29" s="635"/>
      <c r="B29" s="269"/>
      <c r="C29" s="666"/>
      <c r="D29" s="666" t="s">
        <v>598</v>
      </c>
      <c r="E29" s="646"/>
      <c r="F29" s="636"/>
      <c r="G29" s="635"/>
      <c r="H29" s="635"/>
      <c r="I29" s="635"/>
      <c r="J29" s="635"/>
      <c r="K29" s="635"/>
      <c r="L29" s="635"/>
      <c r="M29" s="635"/>
      <c r="N29" s="635"/>
    </row>
    <row r="30" spans="1:14" ht="12.75" customHeight="1">
      <c r="A30" s="635"/>
      <c r="B30" s="269"/>
      <c r="C30" s="1392" t="s">
        <v>607</v>
      </c>
      <c r="D30" s="1392"/>
      <c r="E30" s="646"/>
      <c r="F30" s="636"/>
      <c r="G30" s="635"/>
      <c r="H30" s="635"/>
      <c r="I30" s="635"/>
      <c r="J30" s="635"/>
      <c r="K30" s="635"/>
      <c r="L30" s="635"/>
      <c r="M30" s="635"/>
      <c r="N30" s="635"/>
    </row>
    <row r="31" spans="1:14" ht="12.75" customHeight="1">
      <c r="A31" s="635"/>
      <c r="B31" s="269"/>
      <c r="C31" s="1392" t="s">
        <v>272</v>
      </c>
      <c r="D31" s="1392"/>
      <c r="E31" s="646"/>
      <c r="F31" s="636"/>
      <c r="G31" s="635"/>
      <c r="H31" s="635"/>
      <c r="I31" s="635"/>
      <c r="J31" s="635"/>
      <c r="K31" s="635"/>
      <c r="L31" s="635"/>
      <c r="M31" s="635"/>
      <c r="N31" s="635"/>
    </row>
    <row r="32" spans="1:14" ht="12.75" customHeight="1">
      <c r="A32" s="635"/>
      <c r="B32" s="269"/>
      <c r="C32" s="1392" t="s">
        <v>619</v>
      </c>
      <c r="D32" s="1392"/>
      <c r="E32" s="646"/>
      <c r="F32" s="636"/>
      <c r="G32" s="635"/>
      <c r="H32" s="635"/>
      <c r="I32" s="635"/>
      <c r="J32" s="635"/>
      <c r="K32" s="635"/>
      <c r="L32" s="635"/>
      <c r="M32" s="635"/>
      <c r="N32" s="635"/>
    </row>
    <row r="33" spans="1:14" ht="12.75" customHeight="1">
      <c r="A33" s="635"/>
      <c r="B33" s="269"/>
      <c r="C33" s="666"/>
      <c r="D33" s="661" t="s">
        <v>276</v>
      </c>
      <c r="E33" s="646"/>
      <c r="F33" s="636"/>
      <c r="G33" s="635"/>
      <c r="H33" s="635"/>
      <c r="I33" s="635"/>
      <c r="J33" s="635"/>
      <c r="K33" s="635"/>
      <c r="L33" s="635"/>
      <c r="M33" s="635"/>
      <c r="N33" s="635"/>
    </row>
    <row r="34" spans="1:14" ht="12.75" customHeight="1">
      <c r="A34" s="635"/>
      <c r="B34" s="269"/>
      <c r="C34" s="270"/>
      <c r="D34" s="661"/>
      <c r="E34" s="646"/>
      <c r="F34" s="636"/>
      <c r="G34" s="635"/>
      <c r="H34" s="635"/>
      <c r="I34" s="635"/>
      <c r="J34" s="635"/>
      <c r="K34" s="635"/>
      <c r="L34" s="635"/>
      <c r="M34" s="635"/>
      <c r="N34" s="635"/>
    </row>
    <row r="35" spans="1:14" ht="17.25" customHeight="1">
      <c r="A35" s="635"/>
      <c r="B35" s="269"/>
      <c r="C35" s="672" t="s">
        <v>245</v>
      </c>
      <c r="D35" s="673"/>
      <c r="E35" s="675" t="s">
        <v>621</v>
      </c>
      <c r="F35" s="636"/>
      <c r="G35" s="635"/>
      <c r="H35" s="635"/>
      <c r="I35" s="635"/>
      <c r="J35" s="635"/>
      <c r="K35" s="635"/>
      <c r="L35" s="635"/>
      <c r="M35" s="635"/>
      <c r="N35" s="635"/>
    </row>
    <row r="36" spans="1:14" ht="132.75" customHeight="1">
      <c r="A36" s="635"/>
      <c r="B36" s="269"/>
      <c r="C36" s="1389" t="s">
        <v>465</v>
      </c>
      <c r="D36" s="1389"/>
      <c r="E36" s="646"/>
      <c r="F36" s="636"/>
      <c r="G36" s="635"/>
      <c r="H36" s="635"/>
      <c r="I36" s="635"/>
      <c r="J36" s="635"/>
      <c r="K36" s="635"/>
      <c r="L36" s="635"/>
      <c r="M36" s="635"/>
      <c r="N36" s="635"/>
    </row>
    <row r="37" spans="1:14" ht="12" customHeight="1">
      <c r="A37" s="635"/>
      <c r="B37" s="269"/>
      <c r="C37" s="270"/>
      <c r="D37" s="660"/>
      <c r="E37" s="278"/>
      <c r="F37" s="636"/>
      <c r="G37" s="635"/>
      <c r="H37" s="635"/>
      <c r="I37" s="635"/>
      <c r="J37" s="635"/>
      <c r="K37" s="635"/>
      <c r="L37" s="635"/>
      <c r="M37" s="635"/>
      <c r="N37" s="635"/>
    </row>
    <row r="38" spans="1:14" ht="79.5" customHeight="1">
      <c r="A38" s="635"/>
      <c r="B38" s="269"/>
      <c r="C38" s="1389" t="s">
        <v>468</v>
      </c>
      <c r="D38" s="1389"/>
      <c r="E38" s="278"/>
      <c r="F38" s="636"/>
      <c r="G38" s="635"/>
      <c r="H38" s="635"/>
      <c r="I38" s="635"/>
      <c r="J38" s="635"/>
      <c r="K38" s="635"/>
      <c r="L38" s="635"/>
      <c r="M38" s="635"/>
      <c r="N38" s="635"/>
    </row>
    <row r="39" spans="1:14" ht="12" customHeight="1">
      <c r="A39" s="635"/>
      <c r="B39" s="269"/>
      <c r="C39" s="270"/>
      <c r="D39" s="660"/>
      <c r="E39" s="278"/>
      <c r="F39" s="636"/>
      <c r="G39" s="635"/>
      <c r="H39" s="635"/>
      <c r="I39" s="635"/>
      <c r="J39" s="635"/>
      <c r="K39" s="635"/>
      <c r="L39" s="635"/>
      <c r="M39" s="635"/>
      <c r="N39" s="635"/>
    </row>
    <row r="40" spans="1:14" ht="16.5" customHeight="1">
      <c r="A40" s="635"/>
      <c r="B40" s="269"/>
      <c r="C40" s="1389" t="s">
        <v>470</v>
      </c>
      <c r="D40" s="1389"/>
      <c r="E40" s="278"/>
      <c r="F40" s="636"/>
      <c r="G40" s="635"/>
      <c r="H40" s="635"/>
      <c r="I40" s="635"/>
      <c r="J40" s="635"/>
      <c r="K40" s="635"/>
      <c r="L40" s="635"/>
      <c r="M40" s="635"/>
      <c r="N40" s="635"/>
    </row>
    <row r="41" spans="1:14" ht="30" customHeight="1">
      <c r="A41" s="635"/>
      <c r="B41" s="269"/>
      <c r="C41" s="1389" t="s">
        <v>469</v>
      </c>
      <c r="D41" s="1389"/>
      <c r="E41" s="278"/>
      <c r="F41" s="636"/>
      <c r="G41" s="635"/>
      <c r="H41" s="635"/>
      <c r="I41" s="635"/>
      <c r="J41" s="635"/>
      <c r="K41" s="635"/>
      <c r="L41" s="635"/>
      <c r="M41" s="635"/>
      <c r="N41" s="635"/>
    </row>
    <row r="42" spans="1:14" ht="41.25" customHeight="1">
      <c r="A42" s="635"/>
      <c r="B42" s="269"/>
      <c r="C42" s="1389" t="s">
        <v>620</v>
      </c>
      <c r="D42" s="1389"/>
      <c r="E42" s="278"/>
      <c r="F42" s="636"/>
      <c r="G42" s="635"/>
      <c r="H42" s="635"/>
      <c r="I42" s="635"/>
      <c r="J42" s="635"/>
      <c r="K42" s="635"/>
      <c r="L42" s="635"/>
      <c r="M42" s="635"/>
      <c r="N42" s="635"/>
    </row>
    <row r="43" spans="1:14" ht="14.25" customHeight="1">
      <c r="A43" s="635"/>
      <c r="B43" s="269"/>
      <c r="C43" s="1389" t="s">
        <v>471</v>
      </c>
      <c r="D43" s="1389"/>
      <c r="E43" s="278"/>
      <c r="F43" s="636"/>
      <c r="G43" s="635"/>
      <c r="H43" s="635"/>
      <c r="I43" s="635"/>
      <c r="J43" s="635"/>
      <c r="K43" s="635"/>
      <c r="L43" s="635"/>
      <c r="M43" s="635"/>
      <c r="N43" s="635"/>
    </row>
    <row r="44" spans="1:14" ht="28.5" customHeight="1">
      <c r="A44" s="635"/>
      <c r="B44" s="269"/>
      <c r="C44" s="270"/>
      <c r="D44" s="651" t="s">
        <v>584</v>
      </c>
      <c r="E44" s="278"/>
      <c r="F44" s="636"/>
      <c r="G44" s="635"/>
      <c r="H44" s="635"/>
      <c r="I44" s="635"/>
      <c r="J44" s="635"/>
      <c r="K44" s="635"/>
      <c r="L44" s="635"/>
      <c r="M44" s="635"/>
      <c r="N44" s="635"/>
    </row>
    <row r="45" spans="1:14" ht="43.9" customHeight="1">
      <c r="A45" s="635"/>
      <c r="B45" s="269"/>
      <c r="C45" s="270"/>
      <c r="D45" s="651" t="s">
        <v>472</v>
      </c>
      <c r="E45" s="278"/>
      <c r="F45" s="636"/>
      <c r="G45" s="635"/>
      <c r="H45" s="635"/>
      <c r="I45" s="635"/>
      <c r="J45" s="635"/>
      <c r="K45" s="635"/>
      <c r="L45" s="635"/>
      <c r="M45" s="635"/>
      <c r="N45" s="635"/>
    </row>
    <row r="46" spans="1:14" ht="108" customHeight="1">
      <c r="A46" s="635"/>
      <c r="B46" s="269"/>
      <c r="C46" s="270"/>
      <c r="D46" s="651" t="s">
        <v>585</v>
      </c>
      <c r="E46" s="278"/>
      <c r="F46" s="636"/>
      <c r="G46" s="635"/>
      <c r="H46" s="635"/>
      <c r="I46" s="635"/>
      <c r="J46" s="635"/>
      <c r="K46" s="635"/>
      <c r="L46" s="635"/>
      <c r="M46" s="635"/>
      <c r="N46" s="635"/>
    </row>
    <row r="47" spans="1:14" ht="69" customHeight="1">
      <c r="A47" s="635"/>
      <c r="B47" s="269"/>
      <c r="C47" s="270"/>
      <c r="D47" s="651" t="s">
        <v>474</v>
      </c>
      <c r="E47" s="278"/>
      <c r="F47" s="636"/>
      <c r="G47" s="635"/>
      <c r="H47" s="635"/>
      <c r="I47" s="635"/>
      <c r="J47" s="635"/>
      <c r="K47" s="635"/>
      <c r="L47" s="635"/>
      <c r="M47" s="635"/>
      <c r="N47" s="635"/>
    </row>
    <row r="48" spans="1:14" ht="55.5" customHeight="1">
      <c r="A48" s="635"/>
      <c r="B48" s="269"/>
      <c r="C48" s="270"/>
      <c r="D48" s="651" t="s">
        <v>475</v>
      </c>
      <c r="E48" s="278"/>
      <c r="F48" s="636"/>
      <c r="G48" s="635"/>
      <c r="H48" s="635"/>
      <c r="I48" s="635"/>
      <c r="J48" s="635"/>
      <c r="K48" s="635"/>
      <c r="L48" s="635"/>
      <c r="M48" s="635"/>
      <c r="N48" s="635"/>
    </row>
    <row r="49" spans="1:14" ht="30.75" customHeight="1">
      <c r="A49" s="635"/>
      <c r="B49" s="269"/>
      <c r="C49" s="270"/>
      <c r="D49" s="651" t="s">
        <v>586</v>
      </c>
      <c r="E49" s="278"/>
      <c r="F49" s="636"/>
      <c r="G49" s="635"/>
      <c r="H49" s="635"/>
      <c r="I49" s="635"/>
      <c r="J49" s="635"/>
      <c r="K49" s="635"/>
      <c r="L49" s="635"/>
      <c r="M49" s="635"/>
      <c r="N49" s="635"/>
    </row>
    <row r="50" spans="1:14" ht="30" customHeight="1">
      <c r="A50" s="635"/>
      <c r="B50" s="269"/>
      <c r="C50" s="1389" t="s">
        <v>587</v>
      </c>
      <c r="D50" s="1389"/>
      <c r="E50" s="278"/>
      <c r="F50" s="636"/>
      <c r="G50" s="635"/>
      <c r="H50" s="635"/>
      <c r="I50" s="635"/>
      <c r="J50" s="635"/>
      <c r="K50" s="635"/>
      <c r="L50" s="635"/>
      <c r="M50" s="635"/>
      <c r="N50" s="635"/>
    </row>
    <row r="51" spans="1:14" ht="16.5" customHeight="1">
      <c r="A51" s="635"/>
      <c r="B51" s="269"/>
      <c r="C51" s="1390" t="s">
        <v>588</v>
      </c>
      <c r="D51" s="1390"/>
      <c r="E51" s="278"/>
      <c r="F51" s="636"/>
      <c r="G51" s="635"/>
      <c r="H51" s="635"/>
      <c r="I51" s="635"/>
      <c r="J51" s="635"/>
      <c r="K51" s="635"/>
      <c r="L51" s="635"/>
      <c r="M51" s="635"/>
      <c r="N51" s="635"/>
    </row>
    <row r="52" spans="1:14" ht="12" customHeight="1">
      <c r="A52" s="635"/>
      <c r="B52" s="269"/>
      <c r="C52" s="648"/>
      <c r="D52" s="648"/>
      <c r="E52" s="278"/>
      <c r="F52" s="636"/>
      <c r="G52" s="635"/>
      <c r="H52" s="635"/>
      <c r="I52" s="635"/>
      <c r="J52" s="635"/>
      <c r="K52" s="635"/>
      <c r="L52" s="635"/>
      <c r="M52" s="635"/>
      <c r="N52" s="635"/>
    </row>
    <row r="53" spans="1:14" ht="42.75" customHeight="1">
      <c r="A53" s="635"/>
      <c r="B53" s="269"/>
      <c r="C53" s="1389" t="s">
        <v>14</v>
      </c>
      <c r="D53" s="1389"/>
      <c r="E53" s="278"/>
      <c r="F53" s="636"/>
      <c r="G53" s="635"/>
      <c r="H53" s="635"/>
      <c r="I53" s="635"/>
      <c r="J53" s="635"/>
      <c r="K53" s="635"/>
      <c r="L53" s="635"/>
      <c r="M53" s="635"/>
      <c r="N53" s="635"/>
    </row>
    <row r="54" spans="1:14" ht="33" customHeight="1">
      <c r="A54" s="635"/>
      <c r="B54" s="269"/>
      <c r="C54" s="1389" t="s">
        <v>830</v>
      </c>
      <c r="D54" s="1389"/>
      <c r="E54" s="278"/>
      <c r="F54" s="636"/>
      <c r="G54" s="635"/>
      <c r="H54" s="635"/>
      <c r="I54" s="635"/>
      <c r="J54" s="635"/>
      <c r="K54" s="635"/>
      <c r="L54" s="635"/>
      <c r="M54" s="635"/>
      <c r="N54" s="635"/>
    </row>
    <row r="55" spans="1:14" ht="12" customHeight="1">
      <c r="A55" s="635"/>
      <c r="B55" s="269"/>
      <c r="C55" s="270"/>
      <c r="D55" s="652"/>
      <c r="E55" s="646"/>
      <c r="F55" s="636"/>
      <c r="G55" s="635"/>
      <c r="H55" s="635"/>
      <c r="I55" s="635"/>
      <c r="J55" s="635"/>
      <c r="K55" s="635"/>
      <c r="L55" s="635"/>
      <c r="M55" s="635"/>
      <c r="N55" s="635"/>
    </row>
    <row r="56" spans="1:14" ht="15.75">
      <c r="A56" s="635"/>
      <c r="B56" s="269"/>
      <c r="C56" s="672" t="s">
        <v>246</v>
      </c>
      <c r="D56" s="672"/>
      <c r="E56" s="675" t="s">
        <v>621</v>
      </c>
      <c r="F56" s="636"/>
      <c r="G56" s="635"/>
      <c r="H56" s="635"/>
      <c r="I56" s="635"/>
      <c r="J56" s="635"/>
      <c r="K56" s="635"/>
      <c r="L56" s="635"/>
      <c r="M56" s="635"/>
      <c r="N56" s="635"/>
    </row>
    <row r="57" spans="1:14" ht="69.599999999999994" customHeight="1">
      <c r="A57" s="635"/>
      <c r="B57" s="269"/>
      <c r="C57" s="1389" t="s">
        <v>15</v>
      </c>
      <c r="D57" s="1389"/>
      <c r="E57" s="278"/>
      <c r="F57" s="638"/>
      <c r="G57" s="635"/>
      <c r="H57" s="635"/>
      <c r="I57" s="635"/>
      <c r="J57" s="635"/>
      <c r="K57" s="635"/>
      <c r="L57" s="635"/>
      <c r="M57" s="635"/>
      <c r="N57" s="635"/>
    </row>
    <row r="58" spans="1:14" ht="12" customHeight="1">
      <c r="A58" s="635"/>
      <c r="B58" s="269"/>
      <c r="C58" s="270"/>
      <c r="D58" s="651"/>
      <c r="E58" s="278"/>
      <c r="F58" s="638"/>
      <c r="G58" s="635"/>
      <c r="H58" s="635"/>
      <c r="I58" s="635"/>
      <c r="J58" s="635"/>
      <c r="K58" s="635"/>
      <c r="L58" s="635"/>
      <c r="M58" s="635"/>
      <c r="N58" s="635"/>
    </row>
    <row r="59" spans="1:14" ht="53.45" customHeight="1">
      <c r="A59" s="635"/>
      <c r="B59" s="269"/>
      <c r="C59" s="1389" t="s">
        <v>16</v>
      </c>
      <c r="D59" s="1389"/>
      <c r="E59" s="278"/>
      <c r="F59" s="638"/>
      <c r="G59" s="635"/>
      <c r="H59" s="635"/>
      <c r="I59" s="635"/>
      <c r="J59" s="635"/>
      <c r="K59" s="635"/>
      <c r="L59" s="635"/>
      <c r="M59" s="635"/>
      <c r="N59" s="635"/>
    </row>
    <row r="60" spans="1:14" ht="12" customHeight="1">
      <c r="A60" s="635"/>
      <c r="B60" s="269"/>
      <c r="C60" s="649"/>
      <c r="D60" s="649"/>
      <c r="E60" s="278"/>
      <c r="F60" s="638"/>
      <c r="G60" s="635"/>
      <c r="H60" s="635"/>
      <c r="I60" s="635"/>
      <c r="J60" s="635"/>
      <c r="K60" s="635"/>
      <c r="L60" s="635"/>
      <c r="M60" s="635"/>
      <c r="N60" s="635"/>
    </row>
    <row r="61" spans="1:14" ht="28.5" customHeight="1">
      <c r="A61" s="635"/>
      <c r="B61" s="269"/>
      <c r="C61" s="1389" t="s">
        <v>12</v>
      </c>
      <c r="D61" s="1389"/>
      <c r="E61" s="289"/>
      <c r="F61" s="638"/>
      <c r="G61" s="635"/>
      <c r="H61" s="635"/>
      <c r="I61" s="635"/>
      <c r="J61" s="635"/>
      <c r="K61" s="635"/>
      <c r="L61" s="635"/>
      <c r="M61" s="635"/>
      <c r="N61" s="635"/>
    </row>
    <row r="62" spans="1:14" ht="12" customHeight="1">
      <c r="A62" s="635"/>
      <c r="B62" s="269"/>
      <c r="C62" s="270"/>
      <c r="D62" s="661"/>
      <c r="E62" s="289"/>
      <c r="F62" s="636"/>
      <c r="G62" s="635"/>
      <c r="H62" s="635"/>
      <c r="I62" s="635"/>
      <c r="J62" s="635"/>
      <c r="K62" s="635"/>
      <c r="L62" s="635"/>
      <c r="M62" s="635"/>
      <c r="N62" s="635"/>
    </row>
    <row r="63" spans="1:14" ht="15.75" customHeight="1">
      <c r="A63" s="635"/>
      <c r="B63" s="269"/>
      <c r="C63" s="672" t="s">
        <v>250</v>
      </c>
      <c r="D63" s="674"/>
      <c r="E63" s="675" t="s">
        <v>621</v>
      </c>
      <c r="F63" s="639"/>
      <c r="G63" s="639"/>
      <c r="H63" s="639"/>
      <c r="I63" s="639"/>
      <c r="J63" s="635"/>
      <c r="K63" s="635"/>
      <c r="L63" s="635"/>
      <c r="M63" s="635"/>
      <c r="N63" s="635"/>
    </row>
    <row r="64" spans="1:14" ht="42" customHeight="1">
      <c r="A64" s="635"/>
      <c r="B64" s="269"/>
      <c r="C64" s="1389" t="s">
        <v>476</v>
      </c>
      <c r="D64" s="1389"/>
      <c r="E64" s="278"/>
      <c r="F64" s="639"/>
      <c r="G64" s="639"/>
      <c r="H64" s="639"/>
      <c r="I64" s="639"/>
      <c r="J64" s="635"/>
      <c r="K64" s="635"/>
      <c r="L64" s="635"/>
      <c r="M64" s="635"/>
      <c r="N64" s="635"/>
    </row>
    <row r="65" spans="1:14" ht="12" customHeight="1">
      <c r="A65" s="635"/>
      <c r="B65" s="269"/>
      <c r="C65" s="270"/>
      <c r="D65" s="651"/>
      <c r="E65" s="278"/>
      <c r="F65" s="639"/>
      <c r="G65" s="639"/>
      <c r="H65" s="639"/>
      <c r="I65" s="639"/>
      <c r="J65" s="635"/>
      <c r="K65" s="635"/>
      <c r="L65" s="635"/>
      <c r="M65" s="635"/>
      <c r="N65" s="635"/>
    </row>
    <row r="66" spans="1:14" ht="38.25">
      <c r="A66" s="635"/>
      <c r="B66" s="269"/>
      <c r="C66" s="270"/>
      <c r="D66" s="651" t="s">
        <v>477</v>
      </c>
      <c r="E66" s="278"/>
      <c r="F66" s="639"/>
      <c r="G66" s="639"/>
      <c r="H66" s="639"/>
      <c r="I66" s="639"/>
      <c r="J66" s="635"/>
      <c r="K66" s="635"/>
      <c r="L66" s="635"/>
      <c r="M66" s="635"/>
      <c r="N66" s="635"/>
    </row>
    <row r="67" spans="1:14" ht="12" customHeight="1">
      <c r="A67" s="635"/>
      <c r="B67" s="269"/>
      <c r="C67" s="270"/>
      <c r="D67" s="651"/>
      <c r="E67" s="278"/>
      <c r="F67" s="639"/>
      <c r="G67" s="639"/>
      <c r="H67" s="639"/>
      <c r="I67" s="639"/>
      <c r="J67" s="635"/>
      <c r="K67" s="635"/>
      <c r="L67" s="635"/>
      <c r="M67" s="635"/>
      <c r="N67" s="635"/>
    </row>
    <row r="68" spans="1:14" ht="78.75" customHeight="1">
      <c r="A68" s="635"/>
      <c r="B68" s="269"/>
      <c r="C68" s="270"/>
      <c r="D68" s="651" t="s">
        <v>478</v>
      </c>
      <c r="E68" s="278"/>
      <c r="F68" s="639"/>
      <c r="G68" s="639"/>
      <c r="H68" s="639"/>
      <c r="I68" s="639"/>
      <c r="J68" s="635"/>
      <c r="K68" s="635"/>
      <c r="L68" s="635"/>
      <c r="M68" s="635"/>
      <c r="N68" s="635"/>
    </row>
    <row r="69" spans="1:14" ht="12" customHeight="1">
      <c r="A69" s="635"/>
      <c r="B69" s="269"/>
      <c r="C69" s="270"/>
      <c r="D69" s="651"/>
      <c r="E69" s="278"/>
      <c r="F69" s="639"/>
      <c r="G69" s="639"/>
      <c r="H69" s="639"/>
      <c r="I69" s="639"/>
      <c r="J69" s="635"/>
      <c r="K69" s="635"/>
      <c r="L69" s="635"/>
      <c r="M69" s="635"/>
      <c r="N69" s="635"/>
    </row>
    <row r="70" spans="1:14" ht="25.5">
      <c r="A70" s="635"/>
      <c r="B70" s="269"/>
      <c r="C70" s="270"/>
      <c r="D70" s="651" t="s">
        <v>251</v>
      </c>
      <c r="E70" s="278"/>
      <c r="F70" s="639"/>
      <c r="G70" s="639"/>
      <c r="H70" s="639"/>
      <c r="I70" s="639"/>
      <c r="J70" s="635"/>
      <c r="K70" s="635"/>
      <c r="L70" s="635"/>
      <c r="M70" s="635"/>
      <c r="N70" s="635"/>
    </row>
    <row r="71" spans="1:14" ht="12.75">
      <c r="A71" s="635"/>
      <c r="B71" s="269"/>
      <c r="C71" s="270"/>
      <c r="D71" s="651" t="s">
        <v>258</v>
      </c>
      <c r="E71" s="647"/>
      <c r="F71" s="635"/>
      <c r="G71" s="639"/>
      <c r="H71" s="639"/>
      <c r="I71" s="639"/>
      <c r="J71" s="635"/>
      <c r="K71" s="635"/>
      <c r="L71" s="635"/>
      <c r="M71" s="635"/>
      <c r="N71" s="635"/>
    </row>
    <row r="72" spans="1:14" ht="12.75">
      <c r="A72" s="635"/>
      <c r="B72" s="269"/>
      <c r="C72" s="270"/>
      <c r="D72" s="656" t="s">
        <v>253</v>
      </c>
      <c r="E72" s="647"/>
      <c r="F72" s="639"/>
      <c r="G72" s="639"/>
      <c r="H72" s="635"/>
      <c r="I72" s="639"/>
      <c r="J72" s="635"/>
      <c r="K72" s="635"/>
      <c r="L72" s="635"/>
      <c r="M72" s="635"/>
      <c r="N72" s="635"/>
    </row>
    <row r="73" spans="1:14" ht="12.75">
      <c r="A73" s="635"/>
      <c r="B73" s="269"/>
      <c r="C73" s="270"/>
      <c r="D73" s="656" t="s">
        <v>254</v>
      </c>
      <c r="E73" s="647"/>
      <c r="F73" s="639"/>
      <c r="G73" s="639"/>
      <c r="H73" s="639"/>
      <c r="I73" s="635"/>
      <c r="J73" s="635"/>
      <c r="K73" s="635"/>
      <c r="L73" s="635"/>
      <c r="M73" s="635"/>
      <c r="N73" s="635"/>
    </row>
    <row r="74" spans="1:14" ht="12.75">
      <c r="A74" s="635"/>
      <c r="B74" s="269"/>
      <c r="C74" s="270"/>
      <c r="D74" s="656" t="s">
        <v>255</v>
      </c>
      <c r="E74" s="647"/>
      <c r="F74" s="639"/>
      <c r="G74" s="639"/>
      <c r="H74" s="639"/>
      <c r="I74" s="635"/>
      <c r="J74" s="635"/>
      <c r="K74" s="635"/>
      <c r="L74" s="635"/>
      <c r="M74" s="635"/>
      <c r="N74" s="635"/>
    </row>
    <row r="75" spans="1:14" ht="12.75">
      <c r="A75" s="635"/>
      <c r="B75" s="269"/>
      <c r="C75" s="270"/>
      <c r="D75" s="651" t="s">
        <v>252</v>
      </c>
      <c r="E75" s="647"/>
      <c r="F75" s="639"/>
      <c r="G75" s="639"/>
      <c r="H75" s="639"/>
      <c r="I75" s="639"/>
      <c r="J75" s="635"/>
      <c r="K75" s="635"/>
      <c r="L75" s="635"/>
      <c r="M75" s="635"/>
      <c r="N75" s="635"/>
    </row>
    <row r="76" spans="1:14" ht="12" customHeight="1">
      <c r="A76" s="635"/>
      <c r="B76" s="269"/>
      <c r="C76" s="270"/>
      <c r="D76" s="651"/>
      <c r="E76" s="647"/>
      <c r="F76" s="639"/>
      <c r="G76" s="639"/>
      <c r="H76" s="639"/>
      <c r="I76" s="639"/>
      <c r="J76" s="635"/>
      <c r="K76" s="635"/>
      <c r="L76" s="635"/>
      <c r="M76" s="635"/>
      <c r="N76" s="635"/>
    </row>
    <row r="77" spans="1:14" ht="15.75">
      <c r="A77" s="635"/>
      <c r="B77" s="269"/>
      <c r="C77" s="672" t="s">
        <v>23</v>
      </c>
      <c r="D77" s="672"/>
      <c r="E77" s="675" t="s">
        <v>621</v>
      </c>
      <c r="F77" s="639"/>
      <c r="G77" s="639"/>
      <c r="H77" s="639"/>
      <c r="I77" s="639"/>
      <c r="J77" s="635"/>
      <c r="K77" s="635"/>
      <c r="L77" s="635"/>
      <c r="M77" s="635"/>
      <c r="N77" s="635"/>
    </row>
    <row r="78" spans="1:14" ht="67.900000000000006" customHeight="1">
      <c r="A78" s="635"/>
      <c r="B78" s="269"/>
      <c r="C78" s="1389" t="s">
        <v>701</v>
      </c>
      <c r="D78" s="1389"/>
      <c r="E78" s="647"/>
      <c r="F78" s="639"/>
      <c r="G78" s="639"/>
      <c r="H78" s="639"/>
      <c r="I78" s="639"/>
      <c r="J78" s="635"/>
      <c r="K78" s="635"/>
      <c r="L78" s="635"/>
      <c r="M78" s="635"/>
      <c r="N78" s="635"/>
    </row>
    <row r="79" spans="1:14" ht="12" customHeight="1">
      <c r="A79" s="635"/>
      <c r="B79" s="269"/>
      <c r="C79" s="270"/>
      <c r="D79" s="651"/>
      <c r="E79" s="647"/>
      <c r="F79" s="639"/>
      <c r="G79" s="639"/>
      <c r="H79" s="639"/>
      <c r="I79" s="639"/>
      <c r="J79" s="635"/>
      <c r="K79" s="635"/>
      <c r="L79" s="635"/>
      <c r="M79" s="635"/>
      <c r="N79" s="635"/>
    </row>
    <row r="80" spans="1:14" ht="36.75" customHeight="1">
      <c r="A80" s="635"/>
      <c r="B80" s="269"/>
      <c r="C80" s="1389" t="s">
        <v>702</v>
      </c>
      <c r="D80" s="1389"/>
      <c r="E80" s="647"/>
      <c r="F80" s="639"/>
      <c r="G80" s="639"/>
      <c r="H80" s="639"/>
      <c r="I80" s="639"/>
      <c r="J80" s="635"/>
      <c r="K80" s="635"/>
      <c r="L80" s="635"/>
      <c r="M80" s="635"/>
      <c r="N80" s="635"/>
    </row>
    <row r="81" spans="1:14" ht="12" customHeight="1">
      <c r="A81" s="635"/>
      <c r="B81" s="269"/>
      <c r="C81" s="270"/>
      <c r="D81" s="651"/>
      <c r="E81" s="647"/>
      <c r="F81" s="639"/>
      <c r="G81" s="639"/>
      <c r="H81" s="639"/>
      <c r="I81" s="639"/>
      <c r="J81" s="635"/>
      <c r="K81" s="635"/>
      <c r="L81" s="635"/>
      <c r="M81" s="635"/>
      <c r="N81" s="635"/>
    </row>
    <row r="82" spans="1:14" ht="15.75">
      <c r="A82" s="635"/>
      <c r="B82" s="269"/>
      <c r="C82" s="672" t="s">
        <v>256</v>
      </c>
      <c r="D82" s="672"/>
      <c r="E82" s="675" t="s">
        <v>621</v>
      </c>
      <c r="F82" s="639"/>
      <c r="G82" s="639"/>
      <c r="H82" s="639"/>
      <c r="I82" s="639"/>
      <c r="J82" s="635"/>
      <c r="K82" s="635"/>
      <c r="L82" s="635"/>
      <c r="M82" s="635"/>
      <c r="N82" s="635"/>
    </row>
    <row r="83" spans="1:14" ht="57" customHeight="1">
      <c r="A83" s="635"/>
      <c r="B83" s="269"/>
      <c r="C83" s="1389" t="s">
        <v>589</v>
      </c>
      <c r="D83" s="1389"/>
      <c r="E83" s="647"/>
      <c r="F83" s="639"/>
      <c r="G83" s="639"/>
      <c r="H83" s="639"/>
      <c r="I83" s="639"/>
      <c r="J83" s="635"/>
      <c r="K83" s="635"/>
      <c r="L83" s="635"/>
      <c r="M83" s="635"/>
      <c r="N83" s="635"/>
    </row>
    <row r="84" spans="1:14" ht="12.75">
      <c r="A84" s="635"/>
      <c r="B84" s="269"/>
      <c r="C84" s="270"/>
      <c r="D84" s="659" t="s">
        <v>610</v>
      </c>
      <c r="E84" s="647"/>
      <c r="F84" s="639"/>
      <c r="G84" s="639"/>
      <c r="H84" s="639"/>
      <c r="I84" s="639"/>
      <c r="J84" s="635"/>
      <c r="K84" s="635"/>
      <c r="L84" s="635"/>
      <c r="M84" s="635"/>
      <c r="N84" s="635"/>
    </row>
    <row r="85" spans="1:14" ht="15.6" customHeight="1">
      <c r="A85" s="635"/>
      <c r="B85" s="269"/>
      <c r="C85" s="270"/>
      <c r="D85" s="659" t="s">
        <v>259</v>
      </c>
      <c r="E85" s="647"/>
      <c r="F85" s="639"/>
      <c r="G85" s="639"/>
      <c r="H85" s="639"/>
      <c r="I85" s="639"/>
      <c r="J85" s="635"/>
      <c r="K85" s="635"/>
      <c r="L85" s="635"/>
      <c r="M85" s="635"/>
      <c r="N85" s="635"/>
    </row>
    <row r="86" spans="1:14" ht="67.900000000000006" customHeight="1">
      <c r="A86" s="635"/>
      <c r="B86" s="269"/>
      <c r="C86" s="270"/>
      <c r="D86" s="651" t="s">
        <v>13</v>
      </c>
      <c r="E86" s="647"/>
      <c r="F86" s="639"/>
      <c r="G86" s="639"/>
      <c r="H86" s="639"/>
      <c r="I86" s="639"/>
      <c r="J86" s="635"/>
      <c r="K86" s="635"/>
      <c r="L86" s="635"/>
      <c r="M86" s="635"/>
      <c r="N86" s="635"/>
    </row>
    <row r="87" spans="1:14" ht="12.75">
      <c r="A87" s="635"/>
      <c r="B87" s="269"/>
      <c r="C87" s="270"/>
      <c r="D87" s="659" t="s">
        <v>260</v>
      </c>
      <c r="E87" s="647"/>
      <c r="F87" s="639"/>
      <c r="G87" s="639"/>
      <c r="H87" s="639"/>
      <c r="I87" s="639"/>
      <c r="J87" s="635"/>
      <c r="K87" s="635"/>
      <c r="L87" s="635"/>
      <c r="M87" s="635"/>
      <c r="N87" s="635"/>
    </row>
    <row r="88" spans="1:14" ht="12" customHeight="1">
      <c r="A88" s="635"/>
      <c r="B88" s="269"/>
      <c r="C88" s="270"/>
      <c r="D88" s="660"/>
      <c r="E88" s="278"/>
      <c r="F88" s="635"/>
      <c r="G88" s="635"/>
      <c r="H88" s="635"/>
      <c r="I88" s="635"/>
      <c r="J88" s="635"/>
      <c r="K88" s="635"/>
      <c r="L88" s="635"/>
      <c r="M88" s="635"/>
      <c r="N88" s="635"/>
    </row>
    <row r="89" spans="1:14" ht="15.75">
      <c r="A89" s="635"/>
      <c r="B89" s="269"/>
      <c r="C89" s="672" t="s">
        <v>479</v>
      </c>
      <c r="D89" s="672"/>
      <c r="E89" s="675" t="s">
        <v>621</v>
      </c>
      <c r="F89" s="635"/>
      <c r="G89" s="635"/>
      <c r="H89" s="635"/>
      <c r="I89" s="635"/>
      <c r="J89" s="635"/>
      <c r="K89" s="635"/>
      <c r="L89" s="635"/>
      <c r="M89" s="635"/>
      <c r="N89" s="635"/>
    </row>
    <row r="90" spans="1:14" ht="27.75" customHeight="1">
      <c r="A90" s="635"/>
      <c r="B90" s="269"/>
      <c r="C90" s="1389" t="s">
        <v>480</v>
      </c>
      <c r="D90" s="1389"/>
      <c r="E90" s="278"/>
      <c r="F90" s="635"/>
      <c r="G90" s="635"/>
      <c r="H90" s="635"/>
      <c r="I90" s="635"/>
      <c r="J90" s="635"/>
      <c r="K90" s="635"/>
      <c r="L90" s="635"/>
      <c r="M90" s="635"/>
      <c r="N90" s="635"/>
    </row>
    <row r="91" spans="1:14" ht="12" customHeight="1">
      <c r="A91" s="635"/>
      <c r="B91" s="269"/>
      <c r="C91" s="649"/>
      <c r="D91" s="649"/>
      <c r="E91" s="675" t="s">
        <v>621</v>
      </c>
      <c r="F91" s="635"/>
      <c r="G91" s="635"/>
      <c r="H91" s="635"/>
      <c r="I91" s="635"/>
      <c r="J91" s="635"/>
      <c r="K91" s="635"/>
      <c r="L91" s="635"/>
      <c r="M91" s="635"/>
      <c r="N91" s="635"/>
    </row>
    <row r="92" spans="1:14" ht="15.75">
      <c r="A92" s="635"/>
      <c r="B92" s="269"/>
      <c r="C92" s="270"/>
      <c r="D92" s="653" t="s">
        <v>481</v>
      </c>
      <c r="E92" s="161"/>
      <c r="F92" s="635"/>
      <c r="G92" s="635"/>
      <c r="H92" s="635"/>
      <c r="I92" s="635"/>
      <c r="J92" s="635"/>
      <c r="K92" s="635"/>
      <c r="L92" s="635"/>
      <c r="M92" s="635"/>
      <c r="N92" s="635"/>
    </row>
    <row r="93" spans="1:14" ht="82.15" customHeight="1">
      <c r="A93" s="635"/>
      <c r="B93" s="269"/>
      <c r="C93" s="270"/>
      <c r="D93" s="651" t="s">
        <v>482</v>
      </c>
      <c r="E93" s="278"/>
      <c r="F93" s="635"/>
      <c r="G93" s="641"/>
      <c r="H93" s="635"/>
      <c r="I93" s="635"/>
      <c r="J93" s="635"/>
      <c r="K93" s="635"/>
      <c r="L93" s="635"/>
      <c r="M93" s="635"/>
      <c r="N93" s="635"/>
    </row>
    <row r="94" spans="1:14" ht="12" customHeight="1">
      <c r="A94" s="635"/>
      <c r="B94" s="269"/>
      <c r="C94" s="270"/>
      <c r="D94" s="651"/>
      <c r="E94" s="278"/>
      <c r="F94" s="635"/>
      <c r="G94" s="641"/>
      <c r="H94" s="635"/>
      <c r="I94" s="635"/>
      <c r="J94" s="635"/>
      <c r="K94" s="635"/>
      <c r="L94" s="635"/>
      <c r="M94" s="635"/>
      <c r="N94" s="635"/>
    </row>
    <row r="95" spans="1:14" ht="136.15" customHeight="1">
      <c r="A95" s="635"/>
      <c r="B95" s="269"/>
      <c r="C95" s="270"/>
      <c r="D95" s="651" t="s">
        <v>590</v>
      </c>
      <c r="E95" s="278"/>
      <c r="F95" s="635"/>
      <c r="G95" s="635"/>
      <c r="H95" s="635"/>
      <c r="I95" s="635"/>
      <c r="J95" s="635"/>
      <c r="K95" s="635"/>
      <c r="L95" s="635"/>
      <c r="M95" s="635"/>
      <c r="N95" s="635"/>
    </row>
    <row r="96" spans="1:14" ht="12" customHeight="1">
      <c r="A96" s="635"/>
      <c r="B96" s="269"/>
      <c r="C96" s="270"/>
      <c r="D96" s="651"/>
      <c r="E96" s="278"/>
      <c r="F96" s="635"/>
      <c r="G96" s="635"/>
      <c r="H96" s="635"/>
      <c r="I96" s="635"/>
      <c r="J96" s="635"/>
      <c r="K96" s="635"/>
      <c r="L96" s="635"/>
      <c r="M96" s="635"/>
      <c r="N96" s="635"/>
    </row>
    <row r="97" spans="1:14" ht="29.25" customHeight="1">
      <c r="A97" s="635"/>
      <c r="B97" s="269"/>
      <c r="C97" s="270"/>
      <c r="D97" s="651" t="s">
        <v>483</v>
      </c>
      <c r="E97" s="278"/>
      <c r="F97" s="635"/>
      <c r="G97" s="635"/>
      <c r="H97" s="635"/>
      <c r="I97" s="635"/>
      <c r="J97" s="635"/>
      <c r="K97" s="635"/>
      <c r="L97" s="635"/>
      <c r="M97" s="635"/>
      <c r="N97" s="635"/>
    </row>
    <row r="98" spans="1:14" ht="12" customHeight="1">
      <c r="A98" s="635"/>
      <c r="B98" s="269"/>
      <c r="C98" s="270"/>
      <c r="D98" s="651"/>
      <c r="E98" s="278"/>
      <c r="F98" s="635"/>
      <c r="G98" s="635"/>
      <c r="H98" s="635"/>
      <c r="I98" s="635"/>
      <c r="J98" s="635"/>
      <c r="K98" s="635"/>
      <c r="L98" s="635"/>
      <c r="M98" s="635"/>
      <c r="N98" s="635"/>
    </row>
    <row r="99" spans="1:14" ht="117.75" customHeight="1">
      <c r="A99" s="635"/>
      <c r="B99" s="269"/>
      <c r="C99" s="270"/>
      <c r="D99" s="654" t="s">
        <v>591</v>
      </c>
      <c r="E99" s="278"/>
      <c r="F99" s="635"/>
      <c r="G99" s="635"/>
      <c r="H99" s="635"/>
      <c r="I99" s="635"/>
      <c r="J99" s="635"/>
      <c r="K99" s="635"/>
      <c r="L99" s="635"/>
      <c r="M99" s="635"/>
      <c r="N99" s="635"/>
    </row>
    <row r="100" spans="1:14" ht="12" customHeight="1">
      <c r="A100" s="635"/>
      <c r="B100" s="269"/>
      <c r="C100" s="270"/>
      <c r="D100" s="654"/>
      <c r="E100" s="278"/>
      <c r="F100" s="635"/>
      <c r="G100" s="635"/>
      <c r="H100" s="635"/>
      <c r="I100" s="635"/>
      <c r="J100" s="635"/>
      <c r="K100" s="635"/>
      <c r="L100" s="635"/>
      <c r="M100" s="635"/>
      <c r="N100" s="635"/>
    </row>
    <row r="101" spans="1:14" ht="57.75" customHeight="1">
      <c r="A101" s="635"/>
      <c r="B101" s="269"/>
      <c r="C101" s="270"/>
      <c r="D101" s="651" t="s">
        <v>484</v>
      </c>
      <c r="E101" s="278"/>
      <c r="F101" s="635"/>
      <c r="G101" s="635"/>
      <c r="H101" s="635"/>
      <c r="I101" s="635"/>
      <c r="J101" s="635"/>
      <c r="K101" s="635"/>
      <c r="L101" s="635"/>
      <c r="M101" s="635"/>
      <c r="N101" s="635"/>
    </row>
    <row r="102" spans="1:14" ht="12" customHeight="1">
      <c r="A102" s="635"/>
      <c r="B102" s="269"/>
      <c r="C102" s="270"/>
      <c r="D102" s="651"/>
      <c r="E102" s="278"/>
      <c r="F102" s="635"/>
      <c r="G102" s="635"/>
      <c r="H102" s="635"/>
      <c r="I102" s="635"/>
      <c r="J102" s="635"/>
      <c r="K102" s="635"/>
      <c r="L102" s="635"/>
      <c r="M102" s="635"/>
      <c r="N102" s="635"/>
    </row>
    <row r="103" spans="1:14" ht="27.75" customHeight="1">
      <c r="A103" s="635"/>
      <c r="B103" s="269"/>
      <c r="C103" s="270"/>
      <c r="D103" s="654" t="s">
        <v>485</v>
      </c>
      <c r="E103" s="278"/>
      <c r="F103" s="635"/>
      <c r="G103" s="635"/>
      <c r="H103" s="635"/>
      <c r="I103" s="635"/>
      <c r="J103" s="635"/>
      <c r="K103" s="635"/>
      <c r="L103" s="635"/>
      <c r="M103" s="635"/>
      <c r="N103" s="635"/>
    </row>
    <row r="104" spans="1:14" ht="12" customHeight="1">
      <c r="A104" s="635"/>
      <c r="B104" s="269"/>
      <c r="C104" s="270"/>
      <c r="D104" s="654"/>
      <c r="E104" s="278"/>
      <c r="F104" s="635"/>
      <c r="G104" s="635"/>
      <c r="H104" s="635"/>
      <c r="I104" s="635"/>
      <c r="J104" s="635"/>
      <c r="K104" s="635"/>
      <c r="L104" s="635"/>
      <c r="M104" s="635"/>
      <c r="N104" s="635"/>
    </row>
    <row r="105" spans="1:14" ht="41.25" customHeight="1">
      <c r="A105" s="635"/>
      <c r="B105" s="269"/>
      <c r="C105" s="270"/>
      <c r="D105" s="654" t="s">
        <v>592</v>
      </c>
      <c r="E105" s="278"/>
      <c r="F105" s="635"/>
      <c r="G105" s="635"/>
      <c r="H105" s="635"/>
      <c r="I105" s="635"/>
      <c r="J105" s="635"/>
      <c r="K105" s="635"/>
      <c r="L105" s="635"/>
      <c r="M105" s="635"/>
      <c r="N105" s="635"/>
    </row>
    <row r="106" spans="1:14" ht="12" customHeight="1">
      <c r="A106" s="635"/>
      <c r="B106" s="269"/>
      <c r="C106" s="270"/>
      <c r="D106" s="654"/>
      <c r="E106" s="278"/>
      <c r="F106" s="635"/>
      <c r="G106" s="635"/>
      <c r="H106" s="635"/>
      <c r="I106" s="635"/>
      <c r="J106" s="635"/>
      <c r="K106" s="635"/>
      <c r="L106" s="635"/>
      <c r="M106" s="635"/>
      <c r="N106" s="635"/>
    </row>
    <row r="107" spans="1:14" ht="29.25" customHeight="1">
      <c r="A107" s="635"/>
      <c r="B107" s="269"/>
      <c r="C107" s="270"/>
      <c r="D107" s="654" t="s">
        <v>486</v>
      </c>
      <c r="E107" s="278"/>
      <c r="F107" s="635"/>
      <c r="G107" s="635"/>
      <c r="H107" s="635"/>
      <c r="I107" s="635"/>
      <c r="J107" s="635"/>
      <c r="K107" s="635"/>
      <c r="L107" s="635"/>
      <c r="M107" s="635"/>
      <c r="N107" s="635"/>
    </row>
    <row r="108" spans="1:14" ht="12" customHeight="1">
      <c r="A108" s="635"/>
      <c r="B108" s="269"/>
      <c r="C108" s="270"/>
      <c r="D108" s="654"/>
      <c r="E108" s="675" t="s">
        <v>621</v>
      </c>
      <c r="F108" s="635"/>
      <c r="G108" s="635"/>
      <c r="H108" s="635"/>
      <c r="I108" s="635"/>
      <c r="J108" s="635"/>
      <c r="K108" s="635"/>
      <c r="L108" s="635"/>
      <c r="M108" s="635"/>
      <c r="N108" s="635"/>
    </row>
    <row r="109" spans="1:14" ht="16.5" customHeight="1">
      <c r="A109" s="635"/>
      <c r="B109" s="269"/>
      <c r="C109" s="270"/>
      <c r="D109" s="655" t="s">
        <v>487</v>
      </c>
      <c r="E109" s="278"/>
      <c r="F109" s="635"/>
      <c r="G109" s="635"/>
      <c r="H109" s="635"/>
      <c r="I109" s="635"/>
      <c r="J109" s="635"/>
      <c r="K109" s="635"/>
      <c r="L109" s="635"/>
      <c r="M109" s="635"/>
      <c r="N109" s="635"/>
    </row>
    <row r="110" spans="1:14" ht="55.5" customHeight="1">
      <c r="A110" s="635"/>
      <c r="B110" s="269"/>
      <c r="C110" s="270"/>
      <c r="D110" s="651" t="s">
        <v>593</v>
      </c>
      <c r="E110" s="278"/>
      <c r="F110" s="635"/>
      <c r="G110" s="635"/>
      <c r="H110" s="635"/>
      <c r="I110" s="635"/>
      <c r="J110" s="635"/>
      <c r="K110" s="635"/>
      <c r="L110" s="635"/>
      <c r="M110" s="635"/>
      <c r="N110" s="635"/>
    </row>
    <row r="111" spans="1:14" ht="12" customHeight="1">
      <c r="A111" s="635"/>
      <c r="B111" s="269"/>
      <c r="C111" s="270"/>
      <c r="D111" s="651"/>
      <c r="E111" s="278"/>
      <c r="F111" s="635"/>
      <c r="G111" s="635"/>
      <c r="H111" s="635"/>
      <c r="I111" s="635"/>
      <c r="J111" s="635"/>
      <c r="K111" s="635"/>
      <c r="L111" s="635"/>
      <c r="M111" s="635"/>
      <c r="N111" s="635"/>
    </row>
    <row r="112" spans="1:14" ht="68.25" customHeight="1">
      <c r="A112" s="635"/>
      <c r="B112" s="269"/>
      <c r="C112" s="270"/>
      <c r="D112" s="651" t="s">
        <v>488</v>
      </c>
      <c r="E112" s="278"/>
      <c r="F112" s="635"/>
      <c r="G112" s="635"/>
      <c r="H112" s="635"/>
      <c r="I112" s="635"/>
      <c r="J112" s="635"/>
      <c r="K112" s="635"/>
      <c r="L112" s="635"/>
      <c r="M112" s="635"/>
      <c r="N112" s="635"/>
    </row>
    <row r="113" spans="1:14" ht="12" customHeight="1">
      <c r="A113" s="635"/>
      <c r="B113" s="269"/>
      <c r="C113" s="270"/>
      <c r="D113" s="651"/>
      <c r="E113" s="278"/>
      <c r="F113" s="635"/>
      <c r="G113" s="635"/>
      <c r="H113" s="635"/>
      <c r="I113" s="635"/>
      <c r="J113" s="635"/>
      <c r="K113" s="635"/>
      <c r="L113" s="635"/>
      <c r="M113" s="635"/>
      <c r="N113" s="635"/>
    </row>
    <row r="114" spans="1:14" ht="106.9" customHeight="1">
      <c r="A114" s="635"/>
      <c r="B114" s="269"/>
      <c r="C114" s="270"/>
      <c r="D114" s="651" t="s">
        <v>489</v>
      </c>
      <c r="E114" s="278"/>
      <c r="F114" s="635"/>
      <c r="G114" s="635"/>
      <c r="H114" s="635"/>
      <c r="I114" s="635"/>
      <c r="J114" s="635"/>
      <c r="K114" s="635"/>
      <c r="L114" s="635"/>
      <c r="M114" s="635"/>
      <c r="N114" s="635"/>
    </row>
    <row r="115" spans="1:14" ht="12" customHeight="1">
      <c r="A115" s="635"/>
      <c r="B115" s="269"/>
      <c r="C115" s="270"/>
      <c r="D115" s="651"/>
      <c r="E115" s="278"/>
      <c r="F115" s="635"/>
      <c r="G115" s="635"/>
      <c r="H115" s="635"/>
      <c r="I115" s="635"/>
      <c r="J115" s="635"/>
      <c r="K115" s="635"/>
      <c r="L115" s="635"/>
      <c r="M115" s="635"/>
      <c r="N115" s="635"/>
    </row>
    <row r="116" spans="1:14" ht="42" customHeight="1">
      <c r="A116" s="635"/>
      <c r="B116" s="269"/>
      <c r="C116" s="270"/>
      <c r="D116" s="651" t="s">
        <v>604</v>
      </c>
      <c r="E116" s="278"/>
      <c r="F116" s="635"/>
      <c r="G116" s="635"/>
      <c r="H116" s="635"/>
      <c r="I116" s="635"/>
      <c r="J116" s="635"/>
      <c r="K116" s="635"/>
      <c r="L116" s="635"/>
      <c r="M116" s="635"/>
      <c r="N116" s="635"/>
    </row>
    <row r="117" spans="1:14" ht="12" customHeight="1">
      <c r="A117" s="635"/>
      <c r="B117" s="269"/>
      <c r="C117" s="270"/>
      <c r="D117" s="651"/>
      <c r="E117" s="278"/>
      <c r="F117" s="635"/>
      <c r="G117" s="635"/>
      <c r="H117" s="635"/>
      <c r="I117" s="635"/>
      <c r="J117" s="635"/>
      <c r="K117" s="635"/>
      <c r="L117" s="635"/>
      <c r="M117" s="635"/>
      <c r="N117" s="635"/>
    </row>
    <row r="118" spans="1:14" ht="12.75">
      <c r="A118" s="635"/>
      <c r="B118" s="269"/>
      <c r="C118" s="270"/>
      <c r="D118" s="651" t="s">
        <v>490</v>
      </c>
      <c r="E118" s="278"/>
      <c r="F118" s="635"/>
      <c r="G118" s="635"/>
      <c r="H118" s="635"/>
      <c r="I118" s="635"/>
      <c r="J118" s="635"/>
      <c r="K118" s="635"/>
      <c r="L118" s="635"/>
      <c r="M118" s="635"/>
      <c r="N118" s="635"/>
    </row>
    <row r="119" spans="1:14" ht="12" customHeight="1">
      <c r="A119" s="635"/>
      <c r="B119" s="269"/>
      <c r="C119" s="270"/>
      <c r="D119" s="651"/>
      <c r="E119" s="278"/>
      <c r="F119" s="635"/>
      <c r="G119" s="635"/>
      <c r="H119" s="635"/>
      <c r="I119" s="635"/>
      <c r="J119" s="635"/>
      <c r="K119" s="635"/>
      <c r="L119" s="635"/>
      <c r="M119" s="635"/>
      <c r="N119" s="635"/>
    </row>
    <row r="120" spans="1:14" ht="39.75" customHeight="1">
      <c r="A120" s="635"/>
      <c r="B120" s="269"/>
      <c r="C120" s="270"/>
      <c r="D120" s="651" t="s">
        <v>17</v>
      </c>
      <c r="E120" s="278"/>
      <c r="F120" s="635"/>
      <c r="G120" s="635"/>
      <c r="H120" s="635"/>
      <c r="I120" s="635"/>
      <c r="J120" s="635"/>
      <c r="K120" s="635"/>
      <c r="L120" s="635"/>
      <c r="M120" s="635"/>
      <c r="N120" s="635"/>
    </row>
    <row r="121" spans="1:14" ht="12" customHeight="1">
      <c r="A121" s="635"/>
      <c r="B121" s="269"/>
      <c r="C121" s="270"/>
      <c r="D121" s="651"/>
      <c r="E121" s="278"/>
      <c r="F121" s="635"/>
      <c r="G121" s="635"/>
      <c r="H121" s="635"/>
      <c r="I121" s="635"/>
      <c r="J121" s="635"/>
      <c r="K121" s="635"/>
      <c r="L121" s="635"/>
      <c r="M121" s="635"/>
      <c r="N121" s="635"/>
    </row>
    <row r="122" spans="1:14" ht="109.9" customHeight="1">
      <c r="A122" s="635"/>
      <c r="B122" s="269"/>
      <c r="C122" s="270"/>
      <c r="D122" s="651" t="s">
        <v>594</v>
      </c>
      <c r="E122" s="278"/>
      <c r="F122" s="635"/>
      <c r="G122" s="635"/>
      <c r="H122" s="635"/>
      <c r="I122" s="635"/>
      <c r="J122" s="635"/>
      <c r="K122" s="635"/>
      <c r="L122" s="635"/>
      <c r="M122" s="635"/>
      <c r="N122" s="635"/>
    </row>
    <row r="123" spans="1:14" ht="12" customHeight="1">
      <c r="A123" s="635"/>
      <c r="B123" s="269"/>
      <c r="C123" s="270"/>
      <c r="D123" s="651"/>
      <c r="E123" s="278"/>
      <c r="F123" s="635"/>
      <c r="G123" s="635"/>
      <c r="H123" s="635"/>
      <c r="I123" s="635"/>
      <c r="J123" s="635"/>
      <c r="K123" s="635"/>
      <c r="L123" s="635"/>
      <c r="M123" s="635"/>
      <c r="N123" s="635"/>
    </row>
    <row r="124" spans="1:14" ht="12.75">
      <c r="A124" s="635"/>
      <c r="B124" s="269"/>
      <c r="C124" s="270"/>
      <c r="D124" s="656" t="s">
        <v>261</v>
      </c>
      <c r="E124" s="278"/>
      <c r="F124" s="635"/>
      <c r="G124" s="635"/>
      <c r="H124" s="635"/>
      <c r="I124" s="635"/>
      <c r="J124" s="635"/>
      <c r="K124" s="635"/>
      <c r="L124" s="635"/>
      <c r="M124" s="635"/>
      <c r="N124" s="635"/>
    </row>
    <row r="125" spans="1:14" ht="54.6" customHeight="1">
      <c r="A125" s="635"/>
      <c r="B125" s="269"/>
      <c r="C125" s="270"/>
      <c r="D125" s="651" t="s">
        <v>262</v>
      </c>
      <c r="E125" s="278"/>
      <c r="F125" s="635"/>
      <c r="G125" s="635"/>
      <c r="H125" s="635"/>
      <c r="I125" s="635"/>
      <c r="J125" s="635"/>
      <c r="K125" s="635"/>
      <c r="L125" s="635"/>
      <c r="M125" s="635"/>
      <c r="N125" s="635"/>
    </row>
    <row r="126" spans="1:14" ht="12" customHeight="1">
      <c r="A126" s="635"/>
      <c r="B126" s="269"/>
      <c r="C126" s="270"/>
      <c r="D126" s="657"/>
      <c r="E126" s="278"/>
      <c r="F126" s="635"/>
      <c r="G126" s="635"/>
      <c r="H126" s="635"/>
      <c r="I126" s="635"/>
      <c r="J126" s="635"/>
      <c r="K126" s="635"/>
      <c r="L126" s="635"/>
      <c r="M126" s="635"/>
      <c r="N126" s="635"/>
    </row>
    <row r="127" spans="1:14" ht="137.44999999999999" customHeight="1">
      <c r="A127" s="635"/>
      <c r="B127" s="269"/>
      <c r="C127" s="270"/>
      <c r="D127" s="651" t="s">
        <v>595</v>
      </c>
      <c r="E127" s="278"/>
      <c r="F127" s="635"/>
      <c r="G127" s="635"/>
      <c r="H127" s="635"/>
      <c r="I127" s="635"/>
      <c r="J127" s="635"/>
      <c r="K127" s="635"/>
      <c r="L127" s="635"/>
      <c r="M127" s="635"/>
      <c r="N127" s="635"/>
    </row>
    <row r="128" spans="1:14" ht="56.25" customHeight="1">
      <c r="A128" s="635"/>
      <c r="B128" s="269"/>
      <c r="C128" s="270"/>
      <c r="D128" s="651" t="s">
        <v>832</v>
      </c>
      <c r="E128" s="278"/>
      <c r="F128" s="635"/>
      <c r="G128" s="635"/>
      <c r="H128" s="635"/>
      <c r="I128" s="635"/>
      <c r="J128" s="635"/>
      <c r="K128" s="635"/>
      <c r="L128" s="635"/>
      <c r="M128" s="635"/>
      <c r="N128" s="635"/>
    </row>
    <row r="129" spans="1:14" ht="12" customHeight="1">
      <c r="A129" s="635"/>
      <c r="B129" s="269"/>
      <c r="C129" s="270"/>
      <c r="D129" s="651"/>
      <c r="E129" s="278"/>
      <c r="F129" s="635"/>
      <c r="G129" s="635"/>
      <c r="H129" s="635"/>
      <c r="I129" s="635"/>
      <c r="J129" s="635"/>
      <c r="K129" s="635"/>
      <c r="L129" s="635"/>
      <c r="M129" s="635"/>
      <c r="N129" s="635"/>
    </row>
    <row r="130" spans="1:14" ht="44.25" customHeight="1">
      <c r="A130" s="635"/>
      <c r="B130" s="269"/>
      <c r="C130" s="270"/>
      <c r="D130" s="657" t="s">
        <v>18</v>
      </c>
      <c r="E130" s="278"/>
      <c r="F130" s="635"/>
      <c r="G130" s="635"/>
      <c r="H130" s="635"/>
      <c r="I130" s="635"/>
      <c r="J130" s="635"/>
      <c r="K130" s="635"/>
      <c r="L130" s="635"/>
      <c r="M130" s="635"/>
      <c r="N130" s="635"/>
    </row>
    <row r="131" spans="1:14" ht="12" customHeight="1">
      <c r="A131" s="635"/>
      <c r="B131" s="269"/>
      <c r="C131" s="270"/>
      <c r="D131" s="651"/>
      <c r="E131" s="675" t="s">
        <v>621</v>
      </c>
      <c r="F131" s="635"/>
      <c r="G131" s="635"/>
      <c r="H131" s="635"/>
      <c r="I131" s="635"/>
      <c r="J131" s="635"/>
      <c r="K131" s="635"/>
      <c r="L131" s="635"/>
      <c r="M131" s="635"/>
      <c r="N131" s="635"/>
    </row>
    <row r="132" spans="1:14" ht="15">
      <c r="A132" s="635"/>
      <c r="B132" s="269"/>
      <c r="C132" s="270"/>
      <c r="D132" s="658" t="s">
        <v>600</v>
      </c>
      <c r="E132" s="278"/>
      <c r="F132" s="635"/>
      <c r="G132" s="635"/>
      <c r="H132" s="635"/>
      <c r="I132" s="635"/>
      <c r="J132" s="635"/>
      <c r="K132" s="635"/>
      <c r="L132" s="635"/>
      <c r="M132" s="635"/>
      <c r="N132" s="635"/>
    </row>
    <row r="133" spans="1:14" ht="57" customHeight="1">
      <c r="A133" s="635"/>
      <c r="B133" s="269"/>
      <c r="C133" s="270"/>
      <c r="D133" s="651" t="s">
        <v>601</v>
      </c>
      <c r="E133" s="278"/>
      <c r="F133" s="635"/>
      <c r="G133" s="635"/>
      <c r="H133" s="635"/>
      <c r="I133" s="635"/>
      <c r="J133" s="635"/>
      <c r="K133" s="635"/>
      <c r="L133" s="635"/>
      <c r="M133" s="635"/>
      <c r="N133" s="635"/>
    </row>
    <row r="134" spans="1:14" ht="12" customHeight="1">
      <c r="A134" s="635"/>
      <c r="B134" s="269"/>
      <c r="C134" s="270"/>
      <c r="D134" s="651"/>
      <c r="E134" s="278"/>
      <c r="F134" s="635"/>
      <c r="G134" s="635"/>
      <c r="H134" s="635"/>
      <c r="I134" s="635"/>
      <c r="J134" s="635"/>
      <c r="K134" s="635"/>
      <c r="L134" s="635"/>
      <c r="M134" s="635"/>
      <c r="N134" s="635"/>
    </row>
    <row r="135" spans="1:14" ht="41.25" customHeight="1">
      <c r="A135" s="635"/>
      <c r="B135" s="269"/>
      <c r="C135" s="270"/>
      <c r="D135" s="651" t="s">
        <v>602</v>
      </c>
      <c r="E135" s="278"/>
      <c r="F135" s="635"/>
      <c r="G135" s="635"/>
      <c r="H135" s="635"/>
      <c r="I135" s="635"/>
      <c r="J135" s="635"/>
      <c r="K135" s="635"/>
      <c r="L135" s="635"/>
      <c r="M135" s="635"/>
      <c r="N135" s="635"/>
    </row>
    <row r="136" spans="1:14" ht="12" customHeight="1">
      <c r="A136" s="635"/>
      <c r="B136" s="269"/>
      <c r="C136" s="270"/>
      <c r="D136" s="651"/>
      <c r="E136" s="675" t="s">
        <v>621</v>
      </c>
      <c r="F136" s="635"/>
      <c r="G136" s="635"/>
      <c r="H136" s="635"/>
      <c r="I136" s="635"/>
      <c r="J136" s="635"/>
      <c r="K136" s="635"/>
      <c r="L136" s="635"/>
      <c r="M136" s="635"/>
      <c r="N136" s="635"/>
    </row>
    <row r="137" spans="1:14" ht="15">
      <c r="A137" s="635"/>
      <c r="B137" s="269"/>
      <c r="C137" s="270"/>
      <c r="D137" s="658" t="s">
        <v>603</v>
      </c>
      <c r="E137" s="278"/>
      <c r="F137" s="635"/>
      <c r="G137" s="635"/>
      <c r="H137" s="635"/>
      <c r="I137" s="635"/>
      <c r="J137" s="635"/>
      <c r="K137" s="635"/>
      <c r="L137" s="635"/>
      <c r="M137" s="635"/>
      <c r="N137" s="635"/>
    </row>
    <row r="138" spans="1:14" ht="56.25" customHeight="1">
      <c r="A138" s="635"/>
      <c r="B138" s="269"/>
      <c r="C138" s="270"/>
      <c r="D138" s="651" t="s">
        <v>605</v>
      </c>
      <c r="E138" s="278"/>
      <c r="F138" s="635"/>
      <c r="G138" s="635"/>
      <c r="H138" s="635"/>
      <c r="I138" s="635"/>
      <c r="J138" s="635"/>
      <c r="K138" s="635"/>
      <c r="L138" s="635"/>
      <c r="M138" s="635"/>
      <c r="N138" s="635"/>
    </row>
    <row r="139" spans="1:14" ht="12" customHeight="1">
      <c r="A139" s="635"/>
      <c r="B139" s="269"/>
      <c r="C139" s="270"/>
      <c r="D139" s="651"/>
      <c r="E139" s="278"/>
      <c r="F139" s="635"/>
      <c r="G139" s="635"/>
      <c r="H139" s="635"/>
      <c r="I139" s="635"/>
      <c r="J139" s="635"/>
      <c r="K139" s="635"/>
      <c r="L139" s="635"/>
      <c r="M139" s="635"/>
      <c r="N139" s="635"/>
    </row>
    <row r="140" spans="1:14" ht="123.75" customHeight="1">
      <c r="A140" s="635"/>
      <c r="B140" s="269"/>
      <c r="C140" s="270"/>
      <c r="D140" s="651" t="s">
        <v>606</v>
      </c>
      <c r="E140" s="278"/>
      <c r="F140" s="635"/>
      <c r="G140" s="635"/>
      <c r="H140" s="635"/>
      <c r="I140" s="635"/>
      <c r="J140" s="635"/>
      <c r="K140" s="635"/>
      <c r="L140" s="635"/>
      <c r="M140" s="635"/>
      <c r="N140" s="635"/>
    </row>
    <row r="141" spans="1:14" ht="12" customHeight="1">
      <c r="A141" s="635"/>
      <c r="B141" s="269"/>
      <c r="C141" s="270"/>
      <c r="D141" s="651"/>
      <c r="E141" s="675" t="s">
        <v>621</v>
      </c>
      <c r="F141" s="635"/>
      <c r="G141" s="635"/>
      <c r="H141" s="635"/>
      <c r="I141" s="635"/>
      <c r="J141" s="635"/>
      <c r="K141" s="635"/>
      <c r="L141" s="635"/>
      <c r="M141" s="635"/>
      <c r="N141" s="635"/>
    </row>
    <row r="142" spans="1:14" ht="15">
      <c r="A142" s="635"/>
      <c r="B142" s="269"/>
      <c r="C142" s="270"/>
      <c r="D142" s="658" t="s">
        <v>611</v>
      </c>
      <c r="E142" s="278"/>
      <c r="F142" s="635"/>
      <c r="G142" s="635"/>
      <c r="H142" s="635"/>
      <c r="I142" s="635"/>
      <c r="J142" s="635"/>
      <c r="K142" s="635"/>
      <c r="L142" s="635"/>
      <c r="M142" s="635"/>
      <c r="N142" s="635"/>
    </row>
    <row r="143" spans="1:14" ht="54.75" customHeight="1">
      <c r="A143" s="635"/>
      <c r="B143" s="269"/>
      <c r="C143" s="270"/>
      <c r="D143" s="651" t="s">
        <v>615</v>
      </c>
      <c r="E143" s="278"/>
      <c r="F143" s="635"/>
      <c r="G143" s="635"/>
      <c r="H143" s="635"/>
      <c r="I143" s="635"/>
      <c r="J143" s="635"/>
      <c r="K143" s="635"/>
      <c r="L143" s="635"/>
      <c r="M143" s="635"/>
      <c r="N143" s="635"/>
    </row>
    <row r="144" spans="1:14" ht="12" customHeight="1">
      <c r="A144" s="635"/>
      <c r="B144" s="269"/>
      <c r="C144" s="270"/>
      <c r="D144" s="651"/>
      <c r="E144" s="278"/>
      <c r="F144" s="635"/>
      <c r="G144" s="635"/>
      <c r="H144" s="635"/>
      <c r="I144" s="635"/>
      <c r="J144" s="635"/>
      <c r="K144" s="635"/>
      <c r="L144" s="635"/>
      <c r="M144" s="635"/>
      <c r="N144" s="635"/>
    </row>
    <row r="145" spans="1:14" ht="67.5" customHeight="1">
      <c r="A145" s="635"/>
      <c r="B145" s="269"/>
      <c r="C145" s="270"/>
      <c r="D145" s="651" t="s">
        <v>612</v>
      </c>
      <c r="E145" s="278"/>
      <c r="F145" s="635"/>
      <c r="G145" s="635"/>
      <c r="H145" s="635"/>
      <c r="I145" s="635"/>
      <c r="J145" s="635"/>
      <c r="K145" s="635"/>
      <c r="L145" s="635"/>
      <c r="M145" s="635"/>
      <c r="N145" s="635"/>
    </row>
    <row r="146" spans="1:14" ht="12" customHeight="1">
      <c r="A146" s="635"/>
      <c r="B146" s="269"/>
      <c r="C146" s="270"/>
      <c r="D146" s="651"/>
      <c r="E146" s="278"/>
      <c r="F146" s="635"/>
      <c r="G146" s="635"/>
      <c r="H146" s="635"/>
      <c r="I146" s="635"/>
      <c r="J146" s="635"/>
      <c r="K146" s="635"/>
      <c r="L146" s="635"/>
      <c r="M146" s="635"/>
      <c r="N146" s="635"/>
    </row>
    <row r="147" spans="1:14" ht="55.5" customHeight="1">
      <c r="A147" s="635"/>
      <c r="B147" s="269"/>
      <c r="C147" s="270"/>
      <c r="D147" s="651" t="s">
        <v>613</v>
      </c>
      <c r="E147" s="278"/>
      <c r="F147" s="635"/>
      <c r="G147" s="635"/>
      <c r="H147" s="635"/>
      <c r="I147" s="635"/>
      <c r="J147" s="635"/>
      <c r="K147" s="635"/>
      <c r="L147" s="635"/>
      <c r="M147" s="635"/>
      <c r="N147" s="635"/>
    </row>
    <row r="148" spans="1:14" ht="12" customHeight="1">
      <c r="A148" s="635"/>
      <c r="B148" s="269"/>
      <c r="C148" s="270"/>
      <c r="D148" s="651"/>
      <c r="E148" s="675" t="s">
        <v>621</v>
      </c>
      <c r="F148" s="635"/>
      <c r="G148" s="635"/>
      <c r="H148" s="635"/>
      <c r="I148" s="635"/>
      <c r="J148" s="635"/>
      <c r="K148" s="635"/>
      <c r="L148" s="635"/>
      <c r="M148" s="635"/>
      <c r="N148" s="635"/>
    </row>
    <row r="149" spans="1:14" ht="15">
      <c r="A149" s="635"/>
      <c r="B149" s="269"/>
      <c r="C149" s="270"/>
      <c r="D149" s="658" t="s">
        <v>614</v>
      </c>
      <c r="E149" s="278"/>
      <c r="F149" s="635"/>
      <c r="G149" s="635"/>
      <c r="H149" s="635"/>
      <c r="I149" s="635"/>
      <c r="J149" s="635"/>
      <c r="K149" s="635"/>
      <c r="L149" s="635"/>
      <c r="M149" s="635"/>
      <c r="N149" s="635"/>
    </row>
    <row r="150" spans="1:14" ht="29.25" customHeight="1">
      <c r="A150" s="635"/>
      <c r="B150" s="269"/>
      <c r="C150" s="270"/>
      <c r="D150" s="651" t="s">
        <v>616</v>
      </c>
      <c r="E150" s="278"/>
      <c r="F150" s="635"/>
      <c r="G150" s="635"/>
      <c r="H150" s="635"/>
      <c r="I150" s="635"/>
      <c r="J150" s="635"/>
      <c r="K150" s="635"/>
      <c r="L150" s="635"/>
      <c r="M150" s="635"/>
      <c r="N150" s="635"/>
    </row>
    <row r="151" spans="1:14" ht="12" customHeight="1">
      <c r="A151" s="635"/>
      <c r="B151" s="269"/>
      <c r="C151" s="270"/>
      <c r="D151" s="651"/>
      <c r="E151" s="278"/>
      <c r="F151" s="635"/>
      <c r="G151" s="635"/>
      <c r="H151" s="635"/>
      <c r="I151" s="635"/>
      <c r="J151" s="635"/>
      <c r="K151" s="635"/>
      <c r="L151" s="635"/>
      <c r="M151" s="635"/>
      <c r="N151" s="635"/>
    </row>
    <row r="152" spans="1:14" ht="94.5" customHeight="1">
      <c r="A152" s="635"/>
      <c r="B152" s="269"/>
      <c r="C152" s="270"/>
      <c r="D152" s="651" t="s">
        <v>617</v>
      </c>
      <c r="E152" s="278"/>
      <c r="F152" s="635"/>
      <c r="G152" s="635"/>
      <c r="H152" s="635"/>
      <c r="I152" s="635"/>
      <c r="J152" s="635"/>
      <c r="K152" s="635"/>
      <c r="L152" s="635"/>
      <c r="M152" s="635"/>
      <c r="N152" s="635"/>
    </row>
    <row r="153" spans="1:14" ht="12" customHeight="1">
      <c r="A153" s="635"/>
      <c r="B153" s="269"/>
      <c r="C153" s="270"/>
      <c r="D153" s="651"/>
      <c r="E153" s="675" t="s">
        <v>621</v>
      </c>
      <c r="F153" s="635"/>
      <c r="G153" s="635"/>
      <c r="H153" s="635"/>
      <c r="I153" s="635"/>
      <c r="J153" s="635"/>
      <c r="K153" s="635"/>
      <c r="L153" s="635"/>
      <c r="M153" s="635"/>
      <c r="N153" s="635"/>
    </row>
    <row r="154" spans="1:14" ht="15">
      <c r="A154" s="635"/>
      <c r="B154" s="269"/>
      <c r="C154" s="270"/>
      <c r="D154" s="653" t="s">
        <v>598</v>
      </c>
      <c r="E154" s="278"/>
      <c r="F154" s="635"/>
      <c r="G154" s="635"/>
      <c r="H154" s="635"/>
      <c r="I154" s="635"/>
      <c r="J154" s="635"/>
      <c r="K154" s="635"/>
      <c r="L154" s="635"/>
      <c r="M154" s="635"/>
      <c r="N154" s="635"/>
    </row>
    <row r="155" spans="1:14" ht="108" customHeight="1">
      <c r="A155" s="635"/>
      <c r="B155" s="269"/>
      <c r="C155" s="270"/>
      <c r="D155" s="651" t="s">
        <v>599</v>
      </c>
      <c r="E155" s="278"/>
      <c r="F155" s="635"/>
      <c r="G155" s="635"/>
      <c r="H155" s="635"/>
      <c r="I155" s="635"/>
      <c r="J155" s="635"/>
      <c r="K155" s="635"/>
      <c r="L155" s="635"/>
      <c r="M155" s="635"/>
      <c r="N155" s="635"/>
    </row>
    <row r="156" spans="1:14" ht="12" customHeight="1">
      <c r="A156" s="635"/>
      <c r="B156" s="269"/>
      <c r="C156" s="270"/>
      <c r="D156" s="651"/>
      <c r="E156" s="278"/>
      <c r="F156" s="635"/>
      <c r="G156" s="635"/>
      <c r="H156" s="635"/>
      <c r="I156" s="635"/>
      <c r="J156" s="635"/>
      <c r="K156" s="635"/>
      <c r="L156" s="635"/>
      <c r="M156" s="635"/>
      <c r="N156" s="635"/>
    </row>
    <row r="157" spans="1:14" ht="15.75">
      <c r="A157" s="635"/>
      <c r="B157" s="269"/>
      <c r="C157" s="672" t="s">
        <v>607</v>
      </c>
      <c r="D157" s="672"/>
      <c r="E157" s="675" t="s">
        <v>621</v>
      </c>
      <c r="F157" s="635"/>
      <c r="G157" s="635"/>
      <c r="H157" s="635"/>
      <c r="I157" s="635"/>
      <c r="J157" s="635"/>
      <c r="K157" s="635"/>
      <c r="L157" s="635"/>
      <c r="M157" s="635"/>
      <c r="N157" s="635"/>
    </row>
    <row r="158" spans="1:14" ht="81" customHeight="1">
      <c r="A158" s="635"/>
      <c r="B158" s="269"/>
      <c r="C158" s="1389" t="s">
        <v>263</v>
      </c>
      <c r="D158" s="1389"/>
      <c r="E158" s="278"/>
      <c r="F158" s="635"/>
      <c r="G158" s="635"/>
      <c r="H158" s="635"/>
      <c r="I158" s="635"/>
      <c r="J158" s="635"/>
      <c r="K158" s="635"/>
      <c r="L158" s="635"/>
      <c r="M158" s="635"/>
      <c r="N158" s="635"/>
    </row>
    <row r="159" spans="1:14" ht="12" customHeight="1">
      <c r="A159" s="635"/>
      <c r="B159" s="269"/>
      <c r="C159" s="270"/>
      <c r="D159" s="652"/>
      <c r="E159" s="278"/>
      <c r="F159" s="635"/>
      <c r="G159" s="635"/>
      <c r="H159" s="635"/>
      <c r="I159" s="635"/>
      <c r="J159" s="635"/>
      <c r="K159" s="635"/>
      <c r="L159" s="635"/>
      <c r="M159" s="635"/>
      <c r="N159" s="635"/>
    </row>
    <row r="160" spans="1:14" ht="12.75">
      <c r="A160" s="635"/>
      <c r="B160" s="269"/>
      <c r="C160" s="1389" t="s">
        <v>596</v>
      </c>
      <c r="D160" s="1389"/>
      <c r="E160" s="278"/>
      <c r="F160" s="635"/>
      <c r="G160" s="635"/>
      <c r="H160" s="635"/>
      <c r="I160" s="635"/>
      <c r="J160" s="635"/>
      <c r="K160" s="635"/>
      <c r="L160" s="635"/>
      <c r="M160" s="635"/>
      <c r="N160" s="635"/>
    </row>
    <row r="161" spans="1:14" ht="12" customHeight="1">
      <c r="A161" s="635"/>
      <c r="B161" s="269"/>
      <c r="C161" s="270"/>
      <c r="D161" s="651"/>
      <c r="E161" s="278"/>
      <c r="F161" s="635"/>
      <c r="G161" s="635"/>
      <c r="H161" s="635"/>
      <c r="I161" s="635"/>
      <c r="J161" s="635"/>
      <c r="K161" s="635"/>
      <c r="L161" s="635"/>
      <c r="M161" s="635"/>
      <c r="N161" s="635"/>
    </row>
    <row r="162" spans="1:14" ht="94.9" customHeight="1">
      <c r="A162" s="635"/>
      <c r="B162" s="269"/>
      <c r="C162" s="1389" t="s">
        <v>597</v>
      </c>
      <c r="D162" s="1389"/>
      <c r="E162" s="278"/>
      <c r="F162" s="635"/>
      <c r="G162" s="635"/>
      <c r="H162" s="635"/>
      <c r="I162" s="635"/>
      <c r="J162" s="635"/>
      <c r="K162" s="635"/>
      <c r="L162" s="635"/>
      <c r="M162" s="635"/>
      <c r="N162" s="635"/>
    </row>
    <row r="163" spans="1:14" ht="12" customHeight="1">
      <c r="A163" s="635"/>
      <c r="B163" s="269"/>
      <c r="C163" s="270"/>
      <c r="D163" s="651"/>
      <c r="E163" s="278"/>
      <c r="F163" s="635"/>
      <c r="G163" s="635"/>
      <c r="H163" s="635"/>
      <c r="I163" s="635"/>
      <c r="J163" s="635"/>
      <c r="K163" s="635"/>
      <c r="L163" s="635"/>
      <c r="M163" s="635"/>
      <c r="N163" s="635"/>
    </row>
    <row r="164" spans="1:14" ht="15.75" customHeight="1">
      <c r="A164" s="635"/>
      <c r="B164" s="269"/>
      <c r="C164" s="672" t="s">
        <v>618</v>
      </c>
      <c r="D164" s="672"/>
      <c r="E164" s="675" t="s">
        <v>621</v>
      </c>
      <c r="F164" s="635"/>
      <c r="G164" s="635"/>
      <c r="H164" s="635"/>
      <c r="I164" s="635"/>
      <c r="J164" s="635"/>
      <c r="K164" s="635"/>
      <c r="L164" s="635"/>
      <c r="M164" s="635"/>
      <c r="N164" s="635"/>
    </row>
    <row r="165" spans="1:14" ht="42.75" customHeight="1">
      <c r="A165" s="635"/>
      <c r="B165" s="269"/>
      <c r="C165" s="1389" t="s">
        <v>608</v>
      </c>
      <c r="D165" s="1389"/>
      <c r="E165" s="278"/>
      <c r="F165" s="635"/>
      <c r="G165" s="635"/>
      <c r="H165" s="635"/>
      <c r="I165" s="635"/>
      <c r="J165" s="635"/>
      <c r="K165" s="635"/>
      <c r="L165" s="635"/>
      <c r="M165" s="635"/>
      <c r="N165" s="635"/>
    </row>
    <row r="166" spans="1:14" ht="12" customHeight="1">
      <c r="A166" s="635"/>
      <c r="B166" s="269"/>
      <c r="C166" s="270"/>
      <c r="D166" s="651"/>
      <c r="E166" s="278"/>
      <c r="F166" s="635"/>
      <c r="G166" s="635"/>
      <c r="H166" s="635"/>
      <c r="I166" s="635"/>
      <c r="J166" s="635"/>
      <c r="K166" s="635"/>
      <c r="L166" s="635"/>
      <c r="M166" s="635"/>
      <c r="N166" s="635"/>
    </row>
    <row r="167" spans="1:14" ht="71.45" customHeight="1">
      <c r="A167" s="635"/>
      <c r="B167" s="269"/>
      <c r="C167" s="1389" t="s">
        <v>609</v>
      </c>
      <c r="D167" s="1389"/>
      <c r="E167" s="278"/>
      <c r="F167" s="635"/>
      <c r="G167" s="635"/>
      <c r="H167" s="635"/>
      <c r="I167" s="635"/>
      <c r="J167" s="635"/>
      <c r="K167" s="635"/>
      <c r="L167" s="635"/>
      <c r="M167" s="635"/>
      <c r="N167" s="635"/>
    </row>
    <row r="168" spans="1:14" ht="12" customHeight="1">
      <c r="A168" s="635"/>
      <c r="B168" s="269"/>
      <c r="C168" s="270"/>
      <c r="D168" s="651"/>
      <c r="E168" s="278"/>
      <c r="F168" s="635"/>
      <c r="G168" s="635"/>
      <c r="H168" s="635"/>
      <c r="I168" s="635"/>
      <c r="J168" s="635"/>
      <c r="K168" s="635"/>
      <c r="L168" s="635"/>
      <c r="M168" s="635"/>
      <c r="N168" s="635"/>
    </row>
    <row r="169" spans="1:14" ht="15" customHeight="1">
      <c r="A169" s="635"/>
      <c r="B169" s="269"/>
      <c r="C169" s="672" t="s">
        <v>272</v>
      </c>
      <c r="D169" s="672"/>
      <c r="E169" s="675" t="s">
        <v>621</v>
      </c>
      <c r="F169" s="635"/>
      <c r="G169" s="635"/>
      <c r="H169" s="635"/>
      <c r="I169" s="635"/>
      <c r="J169" s="635"/>
      <c r="K169" s="635"/>
      <c r="L169" s="635"/>
      <c r="M169" s="635"/>
      <c r="N169" s="635"/>
    </row>
    <row r="170" spans="1:14" ht="43.15" customHeight="1">
      <c r="A170" s="635"/>
      <c r="B170" s="269"/>
      <c r="C170" s="1389" t="s">
        <v>8</v>
      </c>
      <c r="D170" s="1389"/>
      <c r="E170" s="161"/>
      <c r="F170" s="635"/>
      <c r="G170" s="635"/>
      <c r="H170" s="635"/>
      <c r="I170" s="635"/>
      <c r="J170" s="635"/>
      <c r="K170" s="635"/>
      <c r="L170" s="635"/>
      <c r="M170" s="635"/>
      <c r="N170" s="635"/>
    </row>
    <row r="171" spans="1:14" ht="12" customHeight="1">
      <c r="A171" s="635"/>
      <c r="B171" s="269"/>
      <c r="C171" s="270"/>
      <c r="D171" s="651"/>
      <c r="E171" s="278"/>
      <c r="F171" s="635"/>
      <c r="G171" s="635"/>
      <c r="H171" s="635"/>
      <c r="I171" s="635"/>
      <c r="J171" s="635"/>
      <c r="K171" s="635"/>
      <c r="L171" s="635"/>
      <c r="M171" s="635"/>
      <c r="N171" s="635"/>
    </row>
    <row r="172" spans="1:14" ht="15.75">
      <c r="A172" s="635"/>
      <c r="B172" s="269"/>
      <c r="C172" s="672" t="s">
        <v>619</v>
      </c>
      <c r="D172" s="672"/>
      <c r="E172" s="675" t="s">
        <v>621</v>
      </c>
      <c r="F172" s="635"/>
      <c r="G172" s="635"/>
      <c r="H172" s="635"/>
      <c r="I172" s="635"/>
      <c r="J172" s="635"/>
      <c r="K172" s="635"/>
      <c r="L172" s="635"/>
      <c r="M172" s="635"/>
      <c r="N172" s="635"/>
    </row>
    <row r="173" spans="1:14" ht="29.25" customHeight="1">
      <c r="A173" s="635"/>
      <c r="B173" s="269"/>
      <c r="C173" s="1389" t="s">
        <v>278</v>
      </c>
      <c r="D173" s="1389"/>
      <c r="E173" s="278"/>
      <c r="F173" s="635"/>
      <c r="G173" s="635"/>
      <c r="H173" s="635"/>
      <c r="I173" s="635"/>
      <c r="J173" s="635"/>
      <c r="K173" s="635"/>
      <c r="L173" s="635"/>
      <c r="M173" s="635"/>
      <c r="N173" s="635"/>
    </row>
    <row r="174" spans="1:14" ht="13.5" thickBot="1">
      <c r="A174" s="635"/>
      <c r="B174" s="272"/>
      <c r="C174" s="405"/>
      <c r="D174" s="650"/>
      <c r="E174" s="406"/>
      <c r="F174" s="635"/>
      <c r="G174" s="635"/>
      <c r="H174" s="635"/>
      <c r="I174" s="635"/>
      <c r="J174" s="635"/>
      <c r="K174" s="635"/>
      <c r="L174" s="635"/>
      <c r="M174" s="635"/>
      <c r="N174" s="635"/>
    </row>
    <row r="175" spans="1:14" ht="12.75">
      <c r="A175" s="635"/>
      <c r="B175" s="635"/>
      <c r="C175" s="635"/>
      <c r="D175" s="640"/>
      <c r="E175" s="635"/>
      <c r="F175" s="635"/>
      <c r="G175" s="635"/>
      <c r="H175" s="635"/>
      <c r="I175" s="635"/>
      <c r="J175" s="635"/>
      <c r="K175" s="635"/>
      <c r="L175" s="635"/>
      <c r="M175" s="635"/>
      <c r="N175" s="635"/>
    </row>
    <row r="176" spans="1:14" ht="12.75">
      <c r="A176" s="635"/>
      <c r="B176" s="635"/>
      <c r="C176" s="635"/>
      <c r="D176" s="640"/>
      <c r="E176" s="635"/>
      <c r="F176" s="635"/>
      <c r="G176" s="635"/>
      <c r="H176" s="635"/>
      <c r="I176" s="635"/>
      <c r="J176" s="635"/>
      <c r="K176" s="635"/>
      <c r="L176" s="635"/>
      <c r="M176" s="635"/>
      <c r="N176" s="635"/>
    </row>
    <row r="177" spans="1:14">
      <c r="A177" s="635"/>
      <c r="B177" s="635"/>
      <c r="C177" s="635"/>
      <c r="D177" s="637"/>
      <c r="E177" s="635"/>
      <c r="F177" s="635"/>
      <c r="G177" s="635"/>
      <c r="H177" s="635"/>
      <c r="I177" s="635"/>
      <c r="J177" s="635"/>
      <c r="K177" s="635"/>
      <c r="L177" s="635"/>
      <c r="M177" s="635"/>
      <c r="N177" s="635"/>
    </row>
    <row r="178" spans="1:14">
      <c r="A178" s="635"/>
      <c r="B178" s="635"/>
      <c r="C178" s="635"/>
      <c r="D178" s="637"/>
      <c r="E178" s="635"/>
      <c r="F178" s="635"/>
      <c r="G178" s="635"/>
      <c r="H178" s="635"/>
      <c r="I178" s="635"/>
      <c r="J178" s="635"/>
      <c r="K178" s="635"/>
      <c r="L178" s="635"/>
      <c r="M178" s="635"/>
      <c r="N178" s="635"/>
    </row>
    <row r="179" spans="1:14">
      <c r="A179" s="635"/>
      <c r="B179" s="635"/>
      <c r="C179" s="635"/>
      <c r="D179" s="637"/>
      <c r="E179" s="635"/>
      <c r="F179" s="635"/>
      <c r="G179" s="635"/>
      <c r="H179" s="635"/>
      <c r="I179" s="635"/>
      <c r="J179" s="635"/>
      <c r="K179" s="635"/>
      <c r="L179" s="635"/>
      <c r="M179" s="635"/>
      <c r="N179" s="635"/>
    </row>
    <row r="180" spans="1:14">
      <c r="A180" s="635"/>
      <c r="B180" s="635"/>
      <c r="C180" s="635"/>
      <c r="D180" s="637"/>
      <c r="E180" s="635"/>
      <c r="F180" s="635"/>
      <c r="G180" s="635"/>
      <c r="H180" s="635"/>
      <c r="I180" s="635"/>
      <c r="J180" s="635"/>
      <c r="K180" s="635"/>
      <c r="L180" s="635"/>
      <c r="M180" s="635"/>
      <c r="N180" s="635"/>
    </row>
    <row r="181" spans="1:14">
      <c r="A181" s="635"/>
      <c r="B181" s="635"/>
      <c r="C181" s="635"/>
      <c r="D181" s="637"/>
      <c r="E181" s="635"/>
      <c r="F181" s="635"/>
      <c r="G181" s="635"/>
      <c r="H181" s="635"/>
      <c r="I181" s="635"/>
      <c r="J181" s="635"/>
      <c r="K181" s="635"/>
      <c r="L181" s="635"/>
      <c r="M181" s="635"/>
      <c r="N181" s="635"/>
    </row>
    <row r="182" spans="1:14">
      <c r="A182" s="635"/>
      <c r="B182" s="635"/>
      <c r="C182" s="635"/>
      <c r="D182" s="637"/>
      <c r="E182" s="635"/>
      <c r="F182" s="635"/>
      <c r="G182" s="635"/>
      <c r="H182" s="635"/>
      <c r="I182" s="635"/>
      <c r="J182" s="635"/>
      <c r="K182" s="635"/>
      <c r="L182" s="635"/>
      <c r="M182" s="635"/>
      <c r="N182" s="635"/>
    </row>
    <row r="183" spans="1:14">
      <c r="A183" s="635"/>
      <c r="B183" s="635"/>
      <c r="C183" s="635"/>
      <c r="D183" s="637"/>
      <c r="E183" s="635"/>
      <c r="F183" s="635"/>
      <c r="G183" s="635"/>
      <c r="H183" s="635"/>
      <c r="I183" s="635"/>
      <c r="J183" s="635"/>
      <c r="K183" s="635"/>
      <c r="L183" s="635"/>
      <c r="M183" s="635"/>
      <c r="N183" s="635"/>
    </row>
    <row r="184" spans="1:14">
      <c r="A184" s="635"/>
      <c r="B184" s="635"/>
      <c r="C184" s="635"/>
      <c r="D184" s="637"/>
      <c r="E184" s="635"/>
      <c r="F184" s="635"/>
      <c r="G184" s="635"/>
      <c r="H184" s="635"/>
      <c r="I184" s="635"/>
      <c r="J184" s="635"/>
      <c r="K184" s="635"/>
      <c r="L184" s="635"/>
      <c r="M184" s="635"/>
      <c r="N184" s="635"/>
    </row>
    <row r="185" spans="1:14">
      <c r="A185" s="635"/>
      <c r="B185" s="635"/>
      <c r="C185" s="635"/>
      <c r="D185" s="637"/>
      <c r="E185" s="635"/>
      <c r="F185" s="635"/>
      <c r="G185" s="635"/>
      <c r="H185" s="635"/>
      <c r="I185" s="635"/>
      <c r="J185" s="635"/>
      <c r="K185" s="635"/>
      <c r="L185" s="635"/>
      <c r="M185" s="635"/>
      <c r="N185" s="635"/>
    </row>
    <row r="186" spans="1:14">
      <c r="A186" s="635"/>
      <c r="B186" s="635"/>
      <c r="C186" s="635"/>
      <c r="D186" s="637"/>
      <c r="E186" s="635"/>
      <c r="F186" s="635"/>
      <c r="G186" s="635"/>
      <c r="H186" s="635"/>
      <c r="I186" s="635"/>
      <c r="J186" s="635"/>
      <c r="K186" s="635"/>
      <c r="L186" s="635"/>
      <c r="M186" s="635"/>
      <c r="N186" s="635"/>
    </row>
    <row r="187" spans="1:14">
      <c r="A187" s="635"/>
      <c r="B187" s="635"/>
      <c r="C187" s="635"/>
      <c r="D187" s="637"/>
      <c r="E187" s="635"/>
      <c r="F187" s="635"/>
      <c r="G187" s="635"/>
      <c r="H187" s="635"/>
      <c r="I187" s="635"/>
      <c r="J187" s="635"/>
      <c r="K187" s="635"/>
      <c r="L187" s="635"/>
      <c r="M187" s="635"/>
      <c r="N187" s="635"/>
    </row>
    <row r="188" spans="1:14">
      <c r="A188" s="635"/>
      <c r="B188" s="635"/>
      <c r="C188" s="635"/>
      <c r="D188" s="637"/>
      <c r="E188" s="635"/>
      <c r="F188" s="635"/>
      <c r="G188" s="635"/>
      <c r="H188" s="635"/>
      <c r="I188" s="635"/>
      <c r="J188" s="635"/>
      <c r="K188" s="635"/>
      <c r="L188" s="635"/>
      <c r="M188" s="635"/>
      <c r="N188" s="635"/>
    </row>
    <row r="189" spans="1:14">
      <c r="A189" s="635"/>
      <c r="B189" s="635"/>
      <c r="C189" s="635"/>
      <c r="D189" s="637"/>
      <c r="E189" s="635"/>
      <c r="F189" s="635"/>
      <c r="G189" s="635"/>
      <c r="H189" s="635"/>
      <c r="I189" s="635"/>
      <c r="J189" s="635"/>
      <c r="K189" s="635"/>
      <c r="L189" s="635"/>
      <c r="M189" s="635"/>
      <c r="N189" s="635"/>
    </row>
    <row r="190" spans="1:14">
      <c r="A190" s="635"/>
      <c r="B190" s="635"/>
      <c r="C190" s="635"/>
      <c r="D190" s="637"/>
      <c r="E190" s="635"/>
      <c r="F190" s="635"/>
      <c r="G190" s="635"/>
      <c r="H190" s="635"/>
      <c r="I190" s="635"/>
      <c r="J190" s="635"/>
      <c r="K190" s="635"/>
      <c r="L190" s="635"/>
      <c r="M190" s="635"/>
      <c r="N190" s="635"/>
    </row>
    <row r="191" spans="1:14">
      <c r="A191" s="635"/>
      <c r="B191" s="635"/>
      <c r="C191" s="635"/>
      <c r="D191" s="637"/>
      <c r="E191" s="635"/>
      <c r="F191" s="635"/>
      <c r="G191" s="635"/>
      <c r="H191" s="635"/>
      <c r="I191" s="635"/>
      <c r="J191" s="635"/>
      <c r="K191" s="635"/>
      <c r="L191" s="635"/>
      <c r="M191" s="635"/>
      <c r="N191" s="635"/>
    </row>
    <row r="192" spans="1:14">
      <c r="A192" s="635"/>
      <c r="B192" s="635"/>
      <c r="C192" s="635"/>
      <c r="D192" s="637"/>
      <c r="E192" s="635"/>
      <c r="F192" s="635"/>
      <c r="G192" s="635"/>
      <c r="H192" s="635"/>
      <c r="I192" s="635"/>
      <c r="J192" s="635"/>
      <c r="K192" s="635"/>
      <c r="L192" s="635"/>
      <c r="M192" s="635"/>
      <c r="N192" s="635"/>
    </row>
    <row r="193" spans="1:14">
      <c r="A193" s="635"/>
      <c r="B193" s="635"/>
      <c r="C193" s="635"/>
      <c r="D193" s="637"/>
      <c r="E193" s="635"/>
      <c r="F193" s="635"/>
      <c r="G193" s="635"/>
      <c r="H193" s="635"/>
      <c r="I193" s="635"/>
      <c r="J193" s="635"/>
      <c r="K193" s="635"/>
      <c r="L193" s="635"/>
      <c r="M193" s="635"/>
      <c r="N193" s="635"/>
    </row>
    <row r="194" spans="1:14">
      <c r="A194" s="635"/>
      <c r="B194" s="635"/>
      <c r="C194" s="635"/>
      <c r="D194" s="637"/>
      <c r="E194" s="635"/>
      <c r="F194" s="635"/>
      <c r="G194" s="635"/>
      <c r="H194" s="635"/>
      <c r="I194" s="635"/>
      <c r="J194" s="635"/>
      <c r="K194" s="635"/>
      <c r="L194" s="635"/>
      <c r="M194" s="635"/>
      <c r="N194" s="635"/>
    </row>
    <row r="195" spans="1:14">
      <c r="A195" s="635"/>
      <c r="B195" s="635"/>
      <c r="C195" s="635"/>
      <c r="D195" s="637"/>
      <c r="E195" s="635"/>
      <c r="F195" s="635"/>
      <c r="G195" s="635"/>
      <c r="H195" s="635"/>
      <c r="I195" s="635"/>
      <c r="J195" s="635"/>
      <c r="K195" s="635"/>
      <c r="L195" s="635"/>
      <c r="M195" s="635"/>
      <c r="N195" s="635"/>
    </row>
    <row r="196" spans="1:14">
      <c r="A196" s="635"/>
      <c r="B196" s="635"/>
      <c r="C196" s="635"/>
      <c r="D196" s="637"/>
      <c r="E196" s="635"/>
      <c r="F196" s="635"/>
      <c r="G196" s="635"/>
      <c r="H196" s="635"/>
      <c r="I196" s="635"/>
      <c r="J196" s="635"/>
      <c r="K196" s="635"/>
      <c r="L196" s="635"/>
      <c r="M196" s="635"/>
      <c r="N196" s="635"/>
    </row>
    <row r="197" spans="1:14">
      <c r="A197" s="635"/>
      <c r="B197" s="635"/>
      <c r="C197" s="635"/>
      <c r="D197" s="637"/>
      <c r="E197" s="635"/>
      <c r="F197" s="635"/>
      <c r="G197" s="635"/>
      <c r="H197" s="635"/>
      <c r="I197" s="635"/>
      <c r="J197" s="635"/>
      <c r="K197" s="635"/>
      <c r="L197" s="635"/>
      <c r="M197" s="635"/>
      <c r="N197" s="635"/>
    </row>
    <row r="198" spans="1:14">
      <c r="A198" s="635"/>
      <c r="B198" s="635"/>
      <c r="C198" s="635"/>
      <c r="D198" s="637"/>
      <c r="E198" s="635"/>
      <c r="F198" s="635"/>
      <c r="G198" s="635"/>
      <c r="H198" s="635"/>
      <c r="I198" s="635"/>
      <c r="J198" s="635"/>
      <c r="K198" s="635"/>
      <c r="L198" s="635"/>
      <c r="M198" s="635"/>
      <c r="N198" s="635"/>
    </row>
    <row r="199" spans="1:14">
      <c r="A199" s="635"/>
      <c r="B199" s="635"/>
      <c r="C199" s="635"/>
      <c r="D199" s="637"/>
      <c r="E199" s="635"/>
      <c r="F199" s="635"/>
      <c r="G199" s="635"/>
      <c r="H199" s="635"/>
      <c r="I199" s="635"/>
      <c r="J199" s="635"/>
      <c r="K199" s="635"/>
      <c r="L199" s="635"/>
      <c r="M199" s="635"/>
      <c r="N199" s="635"/>
    </row>
    <row r="200" spans="1:14">
      <c r="A200" s="635"/>
      <c r="B200" s="635"/>
      <c r="C200" s="635"/>
      <c r="D200" s="637"/>
      <c r="E200" s="635"/>
      <c r="F200" s="635"/>
      <c r="G200" s="635"/>
      <c r="H200" s="635"/>
      <c r="I200" s="635"/>
      <c r="J200" s="635"/>
      <c r="K200" s="635"/>
      <c r="L200" s="635"/>
      <c r="M200" s="635"/>
      <c r="N200" s="635"/>
    </row>
    <row r="201" spans="1:14">
      <c r="A201" s="635"/>
      <c r="B201" s="635"/>
      <c r="C201" s="635"/>
      <c r="D201" s="637"/>
      <c r="E201" s="635"/>
      <c r="F201" s="635"/>
      <c r="G201" s="635"/>
      <c r="H201" s="635"/>
      <c r="I201" s="635"/>
      <c r="J201" s="635"/>
      <c r="K201" s="635"/>
      <c r="L201" s="635"/>
      <c r="M201" s="635"/>
      <c r="N201" s="635"/>
    </row>
    <row r="202" spans="1:14">
      <c r="A202" s="635"/>
      <c r="B202" s="635"/>
      <c r="C202" s="635"/>
      <c r="D202" s="637"/>
      <c r="E202" s="635"/>
      <c r="F202" s="635"/>
      <c r="G202" s="635"/>
      <c r="H202" s="635"/>
      <c r="I202" s="635"/>
      <c r="J202" s="635"/>
      <c r="K202" s="635"/>
      <c r="L202" s="635"/>
      <c r="M202" s="635"/>
      <c r="N202" s="635"/>
    </row>
    <row r="203" spans="1:14">
      <c r="A203" s="635"/>
      <c r="B203" s="635"/>
      <c r="C203" s="635"/>
      <c r="D203" s="637"/>
      <c r="E203" s="635"/>
      <c r="F203" s="635"/>
      <c r="G203" s="635"/>
      <c r="H203" s="635"/>
      <c r="I203" s="635"/>
      <c r="J203" s="635"/>
      <c r="K203" s="635"/>
      <c r="L203" s="635"/>
      <c r="M203" s="635"/>
      <c r="N203" s="635"/>
    </row>
    <row r="204" spans="1:14">
      <c r="A204" s="635"/>
      <c r="B204" s="635"/>
      <c r="C204" s="635"/>
      <c r="D204" s="637"/>
      <c r="E204" s="635"/>
      <c r="F204" s="635"/>
      <c r="G204" s="635"/>
      <c r="H204" s="635"/>
      <c r="I204" s="635"/>
      <c r="J204" s="635"/>
      <c r="K204" s="635"/>
      <c r="L204" s="635"/>
      <c r="M204" s="635"/>
      <c r="N204" s="635"/>
    </row>
    <row r="205" spans="1:14">
      <c r="D205" s="59"/>
    </row>
    <row r="206" spans="1:14">
      <c r="D206" s="59"/>
    </row>
    <row r="207" spans="1:14">
      <c r="D207" s="59"/>
    </row>
    <row r="208" spans="1:14">
      <c r="D208" s="59"/>
    </row>
    <row r="209" spans="4:4">
      <c r="D209" s="59"/>
    </row>
    <row r="210" spans="4:4">
      <c r="D210" s="59"/>
    </row>
    <row r="211" spans="4:4">
      <c r="D211" s="59"/>
    </row>
    <row r="212" spans="4:4">
      <c r="D212" s="59"/>
    </row>
    <row r="213" spans="4:4">
      <c r="D213" s="59"/>
    </row>
    <row r="214" spans="4:4">
      <c r="D214" s="59"/>
    </row>
    <row r="215" spans="4:4">
      <c r="D215" s="59"/>
    </row>
    <row r="216" spans="4:4">
      <c r="D216" s="59"/>
    </row>
    <row r="217" spans="4:4">
      <c r="D217" s="59"/>
    </row>
    <row r="218" spans="4:4">
      <c r="D218" s="59"/>
    </row>
    <row r="219" spans="4:4">
      <c r="D219" s="59"/>
    </row>
    <row r="220" spans="4:4">
      <c r="D220" s="59"/>
    </row>
    <row r="221" spans="4:4">
      <c r="D221" s="59"/>
    </row>
    <row r="222" spans="4:4">
      <c r="D222" s="59"/>
    </row>
    <row r="223" spans="4:4">
      <c r="D223" s="59"/>
    </row>
    <row r="224" spans="4:4">
      <c r="D224" s="59"/>
    </row>
    <row r="225" spans="4:4">
      <c r="D225" s="59"/>
    </row>
    <row r="226" spans="4:4">
      <c r="D226" s="59"/>
    </row>
    <row r="227" spans="4:4">
      <c r="D227" s="59"/>
    </row>
    <row r="228" spans="4:4">
      <c r="D228" s="59"/>
    </row>
    <row r="229" spans="4:4">
      <c r="D229" s="59"/>
    </row>
    <row r="230" spans="4:4">
      <c r="D230" s="59"/>
    </row>
    <row r="231" spans="4:4">
      <c r="D231" s="59"/>
    </row>
    <row r="232" spans="4:4">
      <c r="D232" s="59"/>
    </row>
    <row r="233" spans="4:4">
      <c r="D233" s="59"/>
    </row>
    <row r="234" spans="4:4">
      <c r="D234" s="59"/>
    </row>
    <row r="235" spans="4:4">
      <c r="D235" s="59"/>
    </row>
    <row r="236" spans="4:4">
      <c r="D236" s="59"/>
    </row>
    <row r="237" spans="4:4">
      <c r="D237" s="59"/>
    </row>
    <row r="238" spans="4:4">
      <c r="D238" s="59"/>
    </row>
    <row r="239" spans="4:4">
      <c r="D239" s="59"/>
    </row>
    <row r="240" spans="4:4">
      <c r="D240" s="59"/>
    </row>
    <row r="241" spans="4:4">
      <c r="D241" s="59"/>
    </row>
    <row r="242" spans="4:4">
      <c r="D242" s="59"/>
    </row>
    <row r="243" spans="4:4">
      <c r="D243" s="59"/>
    </row>
    <row r="244" spans="4:4">
      <c r="D244" s="59"/>
    </row>
    <row r="245" spans="4:4">
      <c r="D245" s="59"/>
    </row>
    <row r="246" spans="4:4">
      <c r="D246" s="59"/>
    </row>
    <row r="247" spans="4:4">
      <c r="D247" s="59"/>
    </row>
    <row r="248" spans="4:4">
      <c r="D248" s="59"/>
    </row>
    <row r="249" spans="4:4">
      <c r="D249" s="59"/>
    </row>
    <row r="250" spans="4:4">
      <c r="D250" s="59"/>
    </row>
    <row r="251" spans="4:4">
      <c r="D251" s="59"/>
    </row>
    <row r="252" spans="4:4">
      <c r="D252" s="59"/>
    </row>
    <row r="253" spans="4:4">
      <c r="D253" s="59"/>
    </row>
    <row r="254" spans="4:4">
      <c r="D254" s="59"/>
    </row>
    <row r="255" spans="4:4">
      <c r="D255" s="59"/>
    </row>
    <row r="256" spans="4:4">
      <c r="D256" s="59"/>
    </row>
    <row r="257" spans="4:4">
      <c r="D257" s="59"/>
    </row>
    <row r="258" spans="4:4">
      <c r="D258" s="59"/>
    </row>
    <row r="259" spans="4:4">
      <c r="D259" s="59"/>
    </row>
    <row r="260" spans="4:4">
      <c r="D260" s="59"/>
    </row>
  </sheetData>
  <mergeCells count="32">
    <mergeCell ref="C170:D170"/>
    <mergeCell ref="C173:D173"/>
    <mergeCell ref="C19:D19"/>
    <mergeCell ref="C20:D20"/>
    <mergeCell ref="C21:D21"/>
    <mergeCell ref="C22:D22"/>
    <mergeCell ref="C30:D30"/>
    <mergeCell ref="C31:D31"/>
    <mergeCell ref="C32:D32"/>
    <mergeCell ref="C160:D160"/>
    <mergeCell ref="C162:D162"/>
    <mergeCell ref="C165:D165"/>
    <mergeCell ref="C167:D167"/>
    <mergeCell ref="C83:D83"/>
    <mergeCell ref="C90:D90"/>
    <mergeCell ref="C158:D158"/>
    <mergeCell ref="C50:D50"/>
    <mergeCell ref="C78:D78"/>
    <mergeCell ref="C80:D80"/>
    <mergeCell ref="C36:D36"/>
    <mergeCell ref="C43:D43"/>
    <mergeCell ref="C38:D38"/>
    <mergeCell ref="C40:D40"/>
    <mergeCell ref="C41:D41"/>
    <mergeCell ref="C42:D42"/>
    <mergeCell ref="C61:D61"/>
    <mergeCell ref="C64:D64"/>
    <mergeCell ref="C51:D51"/>
    <mergeCell ref="C53:D53"/>
    <mergeCell ref="C54:D54"/>
    <mergeCell ref="C57:D57"/>
    <mergeCell ref="C59:D59"/>
  </mergeCells>
  <phoneticPr fontId="18" type="noConversion"/>
  <hyperlinks>
    <hyperlink ref="C17" location="Introduction" display="Introduction" xr:uid="{00000000-0004-0000-0300-000000000000}"/>
    <hyperlink ref="C18" location="AdvDisAdv" display="Advantages and Disadvantages" xr:uid="{00000000-0004-0000-0300-000001000000}"/>
    <hyperlink ref="C19:D19" location="EnteringData" display="Entering Data" xr:uid="{00000000-0004-0000-0300-000002000000}"/>
    <hyperlink ref="C20:D20" location="Printing" display="Printing Worksheets" xr:uid="{00000000-0004-0000-0300-000003000000}"/>
    <hyperlink ref="C21:D21" location="Saving" display="Saving Data" xr:uid="{00000000-0004-0000-0300-000004000000}"/>
    <hyperlink ref="C22:D22" location="LivestockSheet" display="Livestock Forage Balance Worksheet" xr:uid="{00000000-0004-0000-0300-000005000000}"/>
    <hyperlink ref="D23" location="LivestockNeeds" display="Livestock Needs and Demand Schedule" xr:uid="{00000000-0004-0000-0300-000006000000}"/>
    <hyperlink ref="D24" location="ForageProduction" display="Grazing System Pasture Forage Production" xr:uid="{00000000-0004-0000-0300-000007000000}"/>
    <hyperlink ref="D25" location="AltProduction" display="Alternative Pasture Forage Production" xr:uid="{00000000-0004-0000-0300-000008000000}"/>
    <hyperlink ref="D26" location="HayProd" display="Hay Production and Inventory for Fields Hayed, Silage, Haylage Only" xr:uid="{00000000-0004-0000-0300-000009000000}"/>
    <hyperlink ref="D27" location="Summary" display="Summary of Livestock Needs and Pasture Forage Production" xr:uid="{00000000-0004-0000-0300-00000A000000}"/>
    <hyperlink ref="D28" location="SummaryFeed" display="Summary: Feed and Forage Balance" xr:uid="{00000000-0004-0000-0300-00000B000000}"/>
    <hyperlink ref="D29" location="Graph" display="Graph on Availability Versus Needs, by Month" xr:uid="{00000000-0004-0000-0300-00000C000000}"/>
    <hyperlink ref="C30:D30" location="TimeControl" display="Time Control Grazing Worksheet " xr:uid="{00000000-0004-0000-0300-00000D000000}"/>
    <hyperlink ref="C31:D31" location="Field" display="Field Worksheet" xr:uid="{00000000-0004-0000-0300-00000E000000}"/>
    <hyperlink ref="C32:D32" location="Landowner" display="Explanation Sheet for Landowner Worksheet" xr:uid="{00000000-0004-0000-0300-00000F000000}"/>
    <hyperlink ref="E35" location="Contents" display="Back to top" xr:uid="{00000000-0004-0000-0300-000010000000}"/>
    <hyperlink ref="E56" location="Contents" display="Back to top" xr:uid="{00000000-0004-0000-0300-000011000000}"/>
    <hyperlink ref="E63" location="Contents" display="Back to top" xr:uid="{00000000-0004-0000-0300-000012000000}"/>
    <hyperlink ref="E77" location="Contents" display="Back to top" xr:uid="{00000000-0004-0000-0300-000013000000}"/>
    <hyperlink ref="E82" location="Contents" display="Back to top" xr:uid="{00000000-0004-0000-0300-000014000000}"/>
    <hyperlink ref="E89" location="Contents" display="Back to top" xr:uid="{00000000-0004-0000-0300-000015000000}"/>
    <hyperlink ref="E91" location="Contents" display="Back to top" xr:uid="{00000000-0004-0000-0300-000016000000}"/>
    <hyperlink ref="E108" location="Contents" display="Back to top" xr:uid="{00000000-0004-0000-0300-000017000000}"/>
    <hyperlink ref="E131" location="Contents" display="Back to top" xr:uid="{00000000-0004-0000-0300-000018000000}"/>
    <hyperlink ref="E136" location="Contents" display="Back to top" xr:uid="{00000000-0004-0000-0300-000019000000}"/>
    <hyperlink ref="E141" location="Contents" display="Back to top" xr:uid="{00000000-0004-0000-0300-00001A000000}"/>
    <hyperlink ref="E148" location="Contents" display="Back to top" xr:uid="{00000000-0004-0000-0300-00001B000000}"/>
    <hyperlink ref="E153" location="Contents" display="Back to top" xr:uid="{00000000-0004-0000-0300-00001C000000}"/>
    <hyperlink ref="E157" location="Contents" display="Back to top" xr:uid="{00000000-0004-0000-0300-00001D000000}"/>
    <hyperlink ref="E164" location="Contents" display="Back to top" xr:uid="{00000000-0004-0000-0300-00001E000000}"/>
    <hyperlink ref="E169" location="Contents" display="Back to top" xr:uid="{00000000-0004-0000-0300-00001F000000}"/>
    <hyperlink ref="E172" location="Contents" display="Back to top" xr:uid="{00000000-0004-0000-0300-000020000000}"/>
  </hyperlinks>
  <pageMargins left="0.75" right="0.75" top="1" bottom="1" header="0.5" footer="0.5"/>
  <pageSetup scale="95" fitToHeight="11" orientation="portrait" r:id="rId1"/>
  <headerFooter alignWithMargins="0"/>
  <rowBreaks count="3" manualBreakCount="3">
    <brk id="61" min="2" max="3" man="1"/>
    <brk id="88" min="2" max="3" man="1"/>
    <brk id="136" min="2" max="3" man="1"/>
  </rowBreaks>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theme="0"/>
  </sheetPr>
  <dimension ref="A1:AB338"/>
  <sheetViews>
    <sheetView topLeftCell="A108" zoomScaleNormal="100" workbookViewId="0">
      <selection activeCell="M8" sqref="M8:N8"/>
    </sheetView>
  </sheetViews>
  <sheetFormatPr defaultRowHeight="12"/>
  <cols>
    <col min="2" max="2" width="23" customWidth="1"/>
    <col min="3" max="11" width="8.625" customWidth="1"/>
  </cols>
  <sheetData>
    <row r="1" spans="1:28" ht="14.25">
      <c r="A1" s="489"/>
      <c r="B1" s="676"/>
      <c r="C1" s="489"/>
      <c r="D1" s="489"/>
      <c r="E1" s="489"/>
      <c r="F1" s="489"/>
      <c r="G1" s="489"/>
      <c r="H1" s="489"/>
      <c r="I1" s="489"/>
      <c r="J1" s="489"/>
      <c r="K1" s="489"/>
      <c r="L1" s="489"/>
      <c r="M1" s="489"/>
      <c r="N1" s="489"/>
      <c r="O1" s="489"/>
      <c r="P1" s="489"/>
      <c r="Q1" s="489"/>
      <c r="R1" s="489"/>
      <c r="S1" s="489"/>
      <c r="T1" s="489"/>
      <c r="U1" s="489"/>
      <c r="V1" s="489"/>
      <c r="W1" s="489"/>
      <c r="X1" s="489"/>
      <c r="Y1" s="489"/>
      <c r="Z1" s="489"/>
      <c r="AA1" s="489"/>
      <c r="AB1" s="489"/>
    </row>
    <row r="2" spans="1:28" ht="15" thickBot="1">
      <c r="A2" s="489"/>
      <c r="B2" s="676"/>
      <c r="C2" s="489"/>
      <c r="D2" s="489"/>
      <c r="E2" s="489"/>
      <c r="F2" s="489"/>
      <c r="G2" s="489"/>
      <c r="H2" s="489"/>
      <c r="I2" s="489"/>
      <c r="J2" s="489"/>
      <c r="K2" s="489"/>
      <c r="L2" s="489"/>
      <c r="M2" s="489"/>
      <c r="N2" s="489"/>
      <c r="O2" s="489"/>
      <c r="P2" s="489"/>
      <c r="Q2" s="489"/>
      <c r="R2" s="489"/>
      <c r="S2" s="489"/>
      <c r="T2" s="489"/>
      <c r="U2" s="489"/>
      <c r="V2" s="489"/>
      <c r="W2" s="489"/>
      <c r="X2" s="489"/>
      <c r="Y2" s="489"/>
      <c r="Z2" s="489"/>
      <c r="AA2" s="489"/>
      <c r="AB2" s="489"/>
    </row>
    <row r="3" spans="1:28" ht="60" customHeight="1">
      <c r="A3" s="489"/>
      <c r="B3" s="1419" t="s">
        <v>674</v>
      </c>
      <c r="C3" s="1420"/>
      <c r="D3" s="1420"/>
      <c r="E3" s="1420"/>
      <c r="F3" s="1420"/>
      <c r="G3" s="1420"/>
      <c r="H3" s="1420"/>
      <c r="I3" s="1420"/>
      <c r="J3" s="1420"/>
      <c r="K3" s="1421"/>
      <c r="L3" s="489"/>
      <c r="M3" s="489"/>
      <c r="N3" s="489"/>
      <c r="O3" s="489"/>
      <c r="P3" s="489"/>
      <c r="Q3" s="489"/>
      <c r="R3" s="489"/>
      <c r="S3" s="489"/>
      <c r="T3" s="489"/>
      <c r="U3" s="489"/>
      <c r="V3" s="489"/>
      <c r="W3" s="489"/>
      <c r="X3" s="489"/>
      <c r="Y3" s="489"/>
      <c r="Z3" s="489"/>
      <c r="AA3" s="489"/>
      <c r="AB3" s="489"/>
    </row>
    <row r="4" spans="1:28" ht="14.25">
      <c r="A4" s="489"/>
      <c r="B4" s="706"/>
      <c r="C4" s="705"/>
      <c r="D4" s="705"/>
      <c r="E4" s="705"/>
      <c r="F4" s="705"/>
      <c r="G4" s="705"/>
      <c r="H4" s="705"/>
      <c r="I4" s="705"/>
      <c r="J4" s="705"/>
      <c r="K4" s="707"/>
      <c r="L4" s="489"/>
      <c r="M4" s="489"/>
      <c r="N4" s="489"/>
      <c r="O4" s="489"/>
      <c r="P4" s="489"/>
      <c r="Q4" s="489"/>
      <c r="R4" s="489"/>
      <c r="S4" s="489"/>
      <c r="T4" s="489"/>
      <c r="U4" s="489"/>
      <c r="V4" s="489"/>
      <c r="W4" s="489"/>
      <c r="X4" s="489"/>
      <c r="Y4" s="489"/>
      <c r="Z4" s="489"/>
      <c r="AA4" s="489"/>
      <c r="AB4" s="489"/>
    </row>
    <row r="5" spans="1:28" ht="18">
      <c r="A5" s="489"/>
      <c r="B5" s="708"/>
      <c r="C5" s="705"/>
      <c r="D5" s="709" t="s">
        <v>665</v>
      </c>
      <c r="E5" s="710"/>
      <c r="F5" s="705"/>
      <c r="G5" s="705"/>
      <c r="H5" s="705"/>
      <c r="I5" s="705"/>
      <c r="J5" s="705"/>
      <c r="K5" s="707"/>
      <c r="L5" s="489"/>
      <c r="M5" s="489"/>
      <c r="N5" s="489"/>
      <c r="O5" s="489"/>
      <c r="P5" s="489"/>
      <c r="Q5" s="489"/>
      <c r="R5" s="489"/>
      <c r="S5" s="489"/>
      <c r="T5" s="489"/>
      <c r="U5" s="489"/>
      <c r="V5" s="489"/>
      <c r="W5" s="489"/>
      <c r="X5" s="489"/>
      <c r="Y5" s="489"/>
      <c r="Z5" s="489"/>
      <c r="AA5" s="489"/>
      <c r="AB5" s="489"/>
    </row>
    <row r="6" spans="1:28" ht="18">
      <c r="A6" s="489"/>
      <c r="B6" s="708"/>
      <c r="C6" s="705"/>
      <c r="D6" s="709" t="s">
        <v>666</v>
      </c>
      <c r="E6" s="710"/>
      <c r="F6" s="705"/>
      <c r="G6" s="705"/>
      <c r="H6" s="705"/>
      <c r="I6" s="705"/>
      <c r="J6" s="705"/>
      <c r="K6" s="707"/>
      <c r="L6" s="489"/>
      <c r="M6" s="489"/>
      <c r="N6" s="489"/>
      <c r="O6" s="489"/>
      <c r="P6" s="489"/>
      <c r="Q6" s="489"/>
      <c r="R6" s="489"/>
      <c r="S6" s="489"/>
      <c r="T6" s="489"/>
      <c r="U6" s="489"/>
      <c r="V6" s="489"/>
      <c r="W6" s="489"/>
      <c r="X6" s="489"/>
      <c r="Y6" s="489"/>
      <c r="Z6" s="489"/>
      <c r="AA6" s="489"/>
      <c r="AB6" s="489"/>
    </row>
    <row r="7" spans="1:28" ht="18">
      <c r="A7" s="489"/>
      <c r="B7" s="708"/>
      <c r="C7" s="705"/>
      <c r="D7" s="709" t="s">
        <v>667</v>
      </c>
      <c r="E7" s="710"/>
      <c r="F7" s="705"/>
      <c r="G7" s="705"/>
      <c r="H7" s="705"/>
      <c r="I7" s="705"/>
      <c r="J7" s="705"/>
      <c r="K7" s="707"/>
      <c r="L7" s="489"/>
      <c r="M7" s="489"/>
      <c r="N7" s="489"/>
      <c r="O7" s="489"/>
      <c r="P7" s="489"/>
      <c r="Q7" s="489"/>
      <c r="R7" s="489"/>
      <c r="S7" s="489"/>
      <c r="T7" s="489"/>
      <c r="U7" s="489"/>
      <c r="V7" s="489"/>
      <c r="W7" s="489"/>
      <c r="X7" s="489"/>
      <c r="Y7" s="489"/>
      <c r="Z7" s="489"/>
      <c r="AA7" s="489"/>
      <c r="AB7" s="489"/>
    </row>
    <row r="8" spans="1:28" ht="18">
      <c r="A8" s="489"/>
      <c r="B8" s="708"/>
      <c r="C8" s="705"/>
      <c r="D8" s="709" t="s">
        <v>668</v>
      </c>
      <c r="E8" s="710"/>
      <c r="F8" s="705"/>
      <c r="G8" s="705"/>
      <c r="H8" s="705"/>
      <c r="I8" s="705"/>
      <c r="J8" s="705"/>
      <c r="K8" s="707"/>
      <c r="L8" s="489"/>
      <c r="M8" s="489"/>
      <c r="N8" s="489"/>
      <c r="O8" s="489"/>
      <c r="P8" s="489"/>
      <c r="Q8" s="489"/>
      <c r="R8" s="489"/>
      <c r="S8" s="489"/>
      <c r="T8" s="489"/>
      <c r="U8" s="489"/>
      <c r="V8" s="489"/>
      <c r="W8" s="489"/>
      <c r="X8" s="489"/>
      <c r="Y8" s="489"/>
      <c r="Z8" s="489"/>
      <c r="AA8" s="489"/>
      <c r="AB8" s="489"/>
    </row>
    <row r="9" spans="1:28" ht="18">
      <c r="A9" s="489"/>
      <c r="B9" s="708"/>
      <c r="C9" s="705"/>
      <c r="D9" s="709" t="s">
        <v>669</v>
      </c>
      <c r="E9" s="710"/>
      <c r="F9" s="705"/>
      <c r="G9" s="705"/>
      <c r="H9" s="705"/>
      <c r="I9" s="705"/>
      <c r="J9" s="705"/>
      <c r="K9" s="707"/>
      <c r="L9" s="489"/>
      <c r="M9" s="489"/>
      <c r="N9" s="489"/>
      <c r="O9" s="489"/>
      <c r="P9" s="489"/>
      <c r="Q9" s="489"/>
      <c r="R9" s="489"/>
      <c r="S9" s="489"/>
      <c r="T9" s="489"/>
      <c r="U9" s="489"/>
      <c r="V9" s="489"/>
      <c r="W9" s="489"/>
      <c r="X9" s="489"/>
      <c r="Y9" s="489"/>
      <c r="Z9" s="489"/>
      <c r="AA9" s="489"/>
      <c r="AB9" s="489"/>
    </row>
    <row r="10" spans="1:28" ht="18">
      <c r="A10" s="489"/>
      <c r="B10" s="708"/>
      <c r="C10" s="705"/>
      <c r="D10" s="709" t="s">
        <v>670</v>
      </c>
      <c r="E10" s="710"/>
      <c r="F10" s="705"/>
      <c r="G10" s="705"/>
      <c r="H10" s="705"/>
      <c r="I10" s="705"/>
      <c r="J10" s="705"/>
      <c r="K10" s="707"/>
      <c r="L10" s="489"/>
      <c r="M10" s="489"/>
      <c r="N10" s="489"/>
      <c r="O10" s="489"/>
      <c r="P10" s="489"/>
      <c r="Q10" s="489"/>
      <c r="R10" s="489"/>
      <c r="S10" s="489"/>
      <c r="T10" s="489"/>
      <c r="U10" s="489"/>
      <c r="V10" s="489"/>
      <c r="W10" s="489"/>
      <c r="X10" s="489"/>
      <c r="Y10" s="489"/>
      <c r="Z10" s="489"/>
      <c r="AA10" s="489"/>
      <c r="AB10" s="489"/>
    </row>
    <row r="11" spans="1:28" ht="18">
      <c r="A11" s="489"/>
      <c r="B11" s="708"/>
      <c r="C11" s="705"/>
      <c r="D11" s="709"/>
      <c r="E11" s="710"/>
      <c r="F11" s="705"/>
      <c r="G11" s="705"/>
      <c r="H11" s="705"/>
      <c r="I11" s="705"/>
      <c r="J11" s="705"/>
      <c r="K11" s="707"/>
      <c r="L11" s="489"/>
      <c r="M11" s="489"/>
      <c r="N11" s="489"/>
      <c r="O11" s="489"/>
      <c r="P11" s="489"/>
      <c r="Q11" s="489"/>
      <c r="R11" s="489"/>
      <c r="S11" s="489"/>
      <c r="T11" s="489"/>
      <c r="U11" s="489"/>
      <c r="V11" s="489"/>
      <c r="W11" s="489"/>
      <c r="X11" s="489"/>
      <c r="Y11" s="489"/>
      <c r="Z11" s="489"/>
      <c r="AA11" s="489"/>
      <c r="AB11" s="489"/>
    </row>
    <row r="12" spans="1:28" ht="18">
      <c r="A12" s="489"/>
      <c r="B12" s="708"/>
      <c r="C12" s="705"/>
      <c r="D12" s="711"/>
      <c r="E12" s="710"/>
      <c r="F12" s="705"/>
      <c r="G12" s="705"/>
      <c r="H12" s="705"/>
      <c r="I12" s="705"/>
      <c r="J12" s="705"/>
      <c r="K12" s="707"/>
      <c r="L12" s="489"/>
      <c r="M12" s="489"/>
      <c r="N12" s="489"/>
      <c r="O12" s="489"/>
      <c r="P12" s="489"/>
      <c r="Q12" s="489"/>
      <c r="R12" s="489"/>
      <c r="S12" s="489"/>
      <c r="T12" s="489"/>
      <c r="U12" s="489"/>
      <c r="V12" s="489"/>
      <c r="W12" s="489"/>
      <c r="X12" s="489"/>
      <c r="Y12" s="489"/>
      <c r="Z12" s="489"/>
      <c r="AA12" s="489"/>
      <c r="AB12" s="489"/>
    </row>
    <row r="13" spans="1:28" ht="18.75" thickBot="1">
      <c r="A13" s="489"/>
      <c r="B13" s="712"/>
      <c r="C13" s="713"/>
      <c r="D13" s="714"/>
      <c r="E13" s="715"/>
      <c r="F13" s="713"/>
      <c r="G13" s="713"/>
      <c r="H13" s="713"/>
      <c r="I13" s="713"/>
      <c r="J13" s="713"/>
      <c r="K13" s="716"/>
      <c r="L13" s="489"/>
      <c r="M13" s="489"/>
      <c r="N13" s="489"/>
      <c r="O13" s="489"/>
      <c r="P13" s="489"/>
      <c r="Q13" s="489"/>
      <c r="R13" s="489"/>
      <c r="S13" s="489"/>
      <c r="T13" s="489"/>
      <c r="U13" s="489"/>
      <c r="V13" s="489"/>
      <c r="W13" s="489"/>
      <c r="X13" s="489"/>
      <c r="Y13" s="489"/>
      <c r="Z13" s="489"/>
      <c r="AA13" s="489"/>
      <c r="AB13" s="489"/>
    </row>
    <row r="14" spans="1:28" ht="18">
      <c r="A14" s="489"/>
      <c r="B14" s="677"/>
      <c r="C14" s="489"/>
      <c r="D14" s="679"/>
      <c r="E14" s="678"/>
      <c r="F14" s="489"/>
      <c r="G14" s="489"/>
      <c r="H14" s="489"/>
      <c r="I14" s="489"/>
      <c r="J14" s="489"/>
      <c r="K14" s="489"/>
      <c r="L14" s="489"/>
      <c r="M14" s="489"/>
      <c r="N14" s="489"/>
      <c r="O14" s="489"/>
      <c r="P14" s="489"/>
      <c r="Q14" s="489"/>
      <c r="R14" s="489"/>
      <c r="S14" s="489"/>
      <c r="T14" s="489"/>
      <c r="U14" s="489"/>
      <c r="V14" s="489"/>
      <c r="W14" s="489"/>
      <c r="X14" s="489"/>
      <c r="Y14" s="489"/>
      <c r="Z14" s="489"/>
      <c r="AA14" s="489"/>
      <c r="AB14" s="489"/>
    </row>
    <row r="15" spans="1:28" ht="18">
      <c r="A15" s="489"/>
      <c r="B15" s="1425" t="s">
        <v>272</v>
      </c>
      <c r="C15" s="1425"/>
      <c r="D15" s="1425"/>
      <c r="E15" s="1425"/>
      <c r="F15" s="1425"/>
      <c r="G15" s="1425"/>
      <c r="H15" s="1425"/>
      <c r="I15" s="1425"/>
      <c r="J15" s="1425"/>
      <c r="K15" s="1425"/>
      <c r="L15" s="489"/>
      <c r="M15" s="489"/>
      <c r="N15" s="489"/>
      <c r="O15" s="489"/>
      <c r="P15" s="489"/>
      <c r="Q15" s="489"/>
      <c r="R15" s="489"/>
      <c r="S15" s="489"/>
      <c r="T15" s="489"/>
      <c r="U15" s="489"/>
      <c r="V15" s="489"/>
      <c r="W15" s="489"/>
      <c r="X15" s="489"/>
      <c r="Y15" s="489"/>
      <c r="Z15" s="489"/>
      <c r="AA15" s="489"/>
      <c r="AB15" s="489"/>
    </row>
    <row r="16" spans="1:28" ht="27" customHeight="1">
      <c r="A16" s="489"/>
      <c r="B16" s="680" t="s">
        <v>662</v>
      </c>
      <c r="C16" s="489"/>
      <c r="D16" s="489"/>
      <c r="E16" s="489"/>
      <c r="F16" s="644" t="s">
        <v>663</v>
      </c>
      <c r="G16" s="681"/>
      <c r="H16" s="681"/>
      <c r="I16" s="681"/>
      <c r="J16" s="489"/>
      <c r="K16" s="489"/>
      <c r="L16" s="489"/>
      <c r="M16" s="489"/>
      <c r="N16" s="489"/>
      <c r="O16" s="489"/>
      <c r="P16" s="489"/>
      <c r="Q16" s="489"/>
      <c r="R16" s="489"/>
      <c r="S16" s="489"/>
      <c r="T16" s="489"/>
      <c r="U16" s="489"/>
      <c r="V16" s="489"/>
      <c r="W16" s="489"/>
      <c r="X16" s="489"/>
      <c r="Y16" s="489"/>
      <c r="Z16" s="489"/>
      <c r="AA16" s="489"/>
      <c r="AB16" s="489"/>
    </row>
    <row r="17" spans="1:28" ht="27" customHeight="1">
      <c r="A17" s="489"/>
      <c r="B17" s="680" t="s">
        <v>664</v>
      </c>
      <c r="C17" s="489"/>
      <c r="D17" s="489"/>
      <c r="E17" s="489"/>
      <c r="F17" s="489"/>
      <c r="G17" s="644"/>
      <c r="H17" s="489"/>
      <c r="I17" s="489"/>
      <c r="J17" s="489"/>
      <c r="K17" s="489"/>
      <c r="L17" s="489"/>
      <c r="M17" s="489"/>
      <c r="N17" s="489"/>
      <c r="O17" s="489"/>
      <c r="P17" s="489"/>
      <c r="Q17" s="489"/>
      <c r="R17" s="489"/>
      <c r="S17" s="489"/>
      <c r="T17" s="489"/>
      <c r="U17" s="489"/>
      <c r="V17" s="489"/>
      <c r="W17" s="489"/>
      <c r="X17" s="489"/>
      <c r="Y17" s="489"/>
      <c r="Z17" s="489"/>
      <c r="AA17" s="489"/>
      <c r="AB17" s="489"/>
    </row>
    <row r="18" spans="1:28" ht="12.75" customHeight="1">
      <c r="A18" s="489"/>
      <c r="B18" s="680"/>
      <c r="C18" s="489"/>
      <c r="D18" s="489"/>
      <c r="E18" s="489"/>
      <c r="F18" s="489"/>
      <c r="G18" s="489"/>
      <c r="H18" s="489"/>
      <c r="I18" s="489"/>
      <c r="J18" s="489"/>
      <c r="K18" s="489"/>
      <c r="L18" s="489"/>
      <c r="M18" s="489"/>
      <c r="N18" s="489"/>
      <c r="O18" s="489"/>
      <c r="P18" s="489"/>
      <c r="Q18" s="489"/>
      <c r="R18" s="489"/>
      <c r="S18" s="489"/>
      <c r="T18" s="489"/>
      <c r="U18" s="489"/>
      <c r="V18" s="489"/>
      <c r="W18" s="489"/>
      <c r="X18" s="489"/>
      <c r="Y18" s="489"/>
      <c r="Z18" s="489"/>
      <c r="AA18" s="489"/>
      <c r="AB18" s="489"/>
    </row>
    <row r="19" spans="1:28" ht="13.5" customHeight="1">
      <c r="A19" s="489"/>
      <c r="B19" s="1422" t="s">
        <v>624</v>
      </c>
      <c r="C19" s="1422"/>
      <c r="D19" s="1422"/>
      <c r="E19" s="1422"/>
      <c r="F19" s="1422"/>
      <c r="G19" s="1422"/>
      <c r="H19" s="1422"/>
      <c r="I19" s="1422"/>
      <c r="J19" s="1422"/>
      <c r="K19" s="1422"/>
      <c r="L19" s="489"/>
      <c r="M19" s="489"/>
      <c r="N19" s="489"/>
      <c r="O19" s="489"/>
      <c r="P19" s="489"/>
      <c r="Q19" s="489"/>
      <c r="R19" s="489"/>
      <c r="S19" s="489"/>
      <c r="T19" s="489"/>
      <c r="U19" s="489"/>
      <c r="V19" s="489"/>
      <c r="W19" s="489"/>
      <c r="X19" s="489"/>
      <c r="Y19" s="489"/>
      <c r="Z19" s="489"/>
      <c r="AA19" s="489"/>
      <c r="AB19" s="489"/>
    </row>
    <row r="20" spans="1:28" ht="13.5" customHeight="1">
      <c r="A20" s="489"/>
      <c r="B20" s="1400" t="s">
        <v>631</v>
      </c>
      <c r="C20" s="1399" t="s">
        <v>269</v>
      </c>
      <c r="D20" s="1399" t="s">
        <v>270</v>
      </c>
      <c r="E20" s="1399" t="s">
        <v>623</v>
      </c>
      <c r="F20" s="1399" t="s">
        <v>651</v>
      </c>
      <c r="G20" s="1394" t="s">
        <v>625</v>
      </c>
      <c r="H20" s="1395"/>
      <c r="I20" s="1395"/>
      <c r="J20" s="1395"/>
      <c r="K20" s="1396"/>
      <c r="L20" s="489"/>
      <c r="M20" s="489"/>
      <c r="N20" s="489"/>
      <c r="O20" s="489"/>
      <c r="P20" s="489"/>
      <c r="Q20" s="489"/>
      <c r="R20" s="489"/>
      <c r="S20" s="489"/>
      <c r="T20" s="489"/>
      <c r="U20" s="489"/>
      <c r="V20" s="489"/>
      <c r="W20" s="489"/>
      <c r="X20" s="489"/>
      <c r="Y20" s="489"/>
      <c r="Z20" s="489"/>
      <c r="AA20" s="489"/>
      <c r="AB20" s="489"/>
    </row>
    <row r="21" spans="1:28" ht="13.5" customHeight="1">
      <c r="A21" s="489"/>
      <c r="B21" s="1400"/>
      <c r="C21" s="1399"/>
      <c r="D21" s="1399"/>
      <c r="E21" s="1399"/>
      <c r="F21" s="1399"/>
      <c r="G21" s="1397" t="s">
        <v>647</v>
      </c>
      <c r="H21" s="1394" t="s">
        <v>400</v>
      </c>
      <c r="I21" s="1396"/>
      <c r="J21" s="1394" t="s">
        <v>629</v>
      </c>
      <c r="K21" s="1396"/>
      <c r="L21" s="489"/>
      <c r="M21" s="489"/>
      <c r="N21" s="489"/>
      <c r="O21" s="489"/>
      <c r="P21" s="489"/>
      <c r="Q21" s="489"/>
      <c r="R21" s="489"/>
      <c r="S21" s="489"/>
      <c r="T21" s="489"/>
      <c r="U21" s="489"/>
      <c r="V21" s="489"/>
      <c r="W21" s="489"/>
      <c r="X21" s="489"/>
      <c r="Y21" s="489"/>
      <c r="Z21" s="489"/>
      <c r="AA21" s="489"/>
      <c r="AB21" s="489"/>
    </row>
    <row r="22" spans="1:28" ht="26.25" customHeight="1">
      <c r="A22" s="489"/>
      <c r="B22" s="1400"/>
      <c r="C22" s="1399"/>
      <c r="D22" s="1399"/>
      <c r="E22" s="1399"/>
      <c r="F22" s="1399"/>
      <c r="G22" s="1398"/>
      <c r="H22" s="682" t="s">
        <v>627</v>
      </c>
      <c r="I22" s="683" t="s">
        <v>628</v>
      </c>
      <c r="J22" s="683" t="s">
        <v>627</v>
      </c>
      <c r="K22" s="683" t="s">
        <v>628</v>
      </c>
      <c r="L22" s="642"/>
      <c r="M22" s="684"/>
      <c r="N22" s="489"/>
      <c r="O22" s="489"/>
      <c r="P22" s="489"/>
      <c r="Q22" s="489"/>
      <c r="R22" s="489"/>
      <c r="S22" s="489"/>
      <c r="T22" s="489"/>
      <c r="U22" s="489"/>
      <c r="V22" s="489"/>
      <c r="W22" s="489"/>
      <c r="X22" s="489"/>
      <c r="Y22" s="489"/>
      <c r="Z22" s="489"/>
      <c r="AA22" s="489"/>
      <c r="AB22" s="489"/>
    </row>
    <row r="23" spans="1:28" ht="14.1" customHeight="1">
      <c r="A23" s="489"/>
      <c r="B23" s="685"/>
      <c r="C23" s="320"/>
      <c r="D23" s="320"/>
      <c r="E23" s="320"/>
      <c r="F23" s="320"/>
      <c r="G23" s="320"/>
      <c r="H23" s="320"/>
      <c r="I23" s="320"/>
      <c r="J23" s="320"/>
      <c r="K23" s="320"/>
      <c r="L23" s="489"/>
      <c r="M23" s="489"/>
      <c r="N23" s="489"/>
      <c r="O23" s="489"/>
      <c r="P23" s="489"/>
      <c r="Q23" s="489"/>
      <c r="R23" s="489"/>
      <c r="S23" s="489"/>
      <c r="T23" s="489"/>
      <c r="U23" s="489"/>
      <c r="V23" s="489"/>
      <c r="W23" s="489"/>
      <c r="X23" s="489"/>
      <c r="Y23" s="489"/>
      <c r="Z23" s="489"/>
      <c r="AA23" s="489"/>
      <c r="AB23" s="489"/>
    </row>
    <row r="24" spans="1:28" ht="14.1" customHeight="1">
      <c r="A24" s="489"/>
      <c r="B24" s="685"/>
      <c r="C24" s="320"/>
      <c r="D24" s="320"/>
      <c r="E24" s="320"/>
      <c r="F24" s="320"/>
      <c r="G24" s="320"/>
      <c r="H24" s="320"/>
      <c r="I24" s="320"/>
      <c r="J24" s="320"/>
      <c r="K24" s="320"/>
      <c r="L24" s="489"/>
      <c r="M24" s="686"/>
      <c r="N24" s="489"/>
      <c r="O24" s="489"/>
      <c r="P24" s="489"/>
      <c r="Q24" s="489"/>
      <c r="R24" s="489"/>
      <c r="S24" s="489"/>
      <c r="T24" s="489"/>
      <c r="U24" s="489"/>
      <c r="V24" s="489"/>
      <c r="W24" s="489"/>
      <c r="X24" s="489"/>
      <c r="Y24" s="489"/>
      <c r="Z24" s="489"/>
      <c r="AA24" s="489"/>
      <c r="AB24" s="489"/>
    </row>
    <row r="25" spans="1:28" ht="14.1" customHeight="1">
      <c r="A25" s="489"/>
      <c r="B25" s="685"/>
      <c r="C25" s="320"/>
      <c r="D25" s="320"/>
      <c r="E25" s="320"/>
      <c r="F25" s="320"/>
      <c r="G25" s="320"/>
      <c r="H25" s="320"/>
      <c r="I25" s="320"/>
      <c r="J25" s="320"/>
      <c r="K25" s="320"/>
      <c r="L25" s="489"/>
      <c r="M25" s="489"/>
      <c r="N25" s="489"/>
      <c r="O25" s="489"/>
      <c r="P25" s="489"/>
      <c r="Q25" s="489"/>
      <c r="R25" s="489"/>
      <c r="S25" s="489"/>
      <c r="T25" s="489"/>
      <c r="U25" s="489"/>
      <c r="V25" s="489"/>
      <c r="W25" s="489"/>
      <c r="X25" s="489"/>
      <c r="Y25" s="489"/>
      <c r="Z25" s="489"/>
      <c r="AA25" s="489"/>
      <c r="AB25" s="489"/>
    </row>
    <row r="26" spans="1:28" ht="14.1" customHeight="1">
      <c r="A26" s="489"/>
      <c r="B26" s="685"/>
      <c r="C26" s="320"/>
      <c r="D26" s="320"/>
      <c r="E26" s="320"/>
      <c r="F26" s="320"/>
      <c r="G26" s="320"/>
      <c r="H26" s="320"/>
      <c r="I26" s="320"/>
      <c r="J26" s="320"/>
      <c r="K26" s="320"/>
      <c r="L26" s="489"/>
      <c r="M26" s="686"/>
      <c r="N26" s="489"/>
      <c r="O26" s="489"/>
      <c r="P26" s="489"/>
      <c r="Q26" s="489"/>
      <c r="R26" s="489"/>
      <c r="S26" s="489"/>
      <c r="T26" s="489"/>
      <c r="U26" s="489"/>
      <c r="V26" s="489"/>
      <c r="W26" s="489"/>
      <c r="X26" s="489"/>
      <c r="Y26" s="489"/>
      <c r="Z26" s="489"/>
      <c r="AA26" s="489"/>
      <c r="AB26" s="489"/>
    </row>
    <row r="27" spans="1:28" ht="14.1" customHeight="1">
      <c r="A27" s="489"/>
      <c r="B27" s="685"/>
      <c r="C27" s="320"/>
      <c r="D27" s="320"/>
      <c r="E27" s="320"/>
      <c r="F27" s="320"/>
      <c r="G27" s="320"/>
      <c r="H27" s="320"/>
      <c r="I27" s="320"/>
      <c r="J27" s="320"/>
      <c r="K27" s="320"/>
      <c r="L27" s="489"/>
      <c r="M27" s="489"/>
      <c r="N27" s="489"/>
      <c r="O27" s="489"/>
      <c r="P27" s="489"/>
      <c r="Q27" s="489"/>
      <c r="R27" s="489"/>
      <c r="S27" s="489"/>
      <c r="T27" s="489"/>
      <c r="U27" s="489"/>
      <c r="V27" s="489"/>
      <c r="W27" s="489"/>
      <c r="X27" s="489"/>
      <c r="Y27" s="489"/>
      <c r="Z27" s="489"/>
      <c r="AA27" s="489"/>
      <c r="AB27" s="489"/>
    </row>
    <row r="28" spans="1:28" ht="12.75">
      <c r="A28" s="489"/>
      <c r="B28" s="687"/>
      <c r="C28" s="270"/>
      <c r="D28" s="270"/>
      <c r="E28" s="270"/>
      <c r="F28" s="270"/>
      <c r="G28" s="270"/>
      <c r="H28" s="270"/>
      <c r="I28" s="270"/>
      <c r="J28" s="489"/>
      <c r="K28" s="489"/>
      <c r="L28" s="489"/>
      <c r="M28" s="489"/>
      <c r="N28" s="489"/>
      <c r="O28" s="489"/>
      <c r="P28" s="489"/>
      <c r="Q28" s="489"/>
      <c r="R28" s="489"/>
      <c r="S28" s="489"/>
      <c r="T28" s="489"/>
      <c r="U28" s="489"/>
      <c r="V28" s="489"/>
      <c r="W28" s="489"/>
      <c r="X28" s="489"/>
      <c r="Y28" s="489"/>
      <c r="Z28" s="489"/>
      <c r="AA28" s="489"/>
      <c r="AB28" s="489"/>
    </row>
    <row r="29" spans="1:28" ht="13.5" hidden="1" customHeight="1">
      <c r="A29" s="489"/>
      <c r="B29" s="1422" t="s">
        <v>666</v>
      </c>
      <c r="C29" s="1422"/>
      <c r="D29" s="1422"/>
      <c r="E29" s="1422"/>
      <c r="F29" s="1422"/>
      <c r="G29" s="1422"/>
      <c r="H29" s="1422"/>
      <c r="I29" s="1422"/>
      <c r="J29" s="489"/>
      <c r="K29" s="489"/>
      <c r="L29" s="489"/>
      <c r="M29" s="489"/>
      <c r="N29" s="489"/>
      <c r="O29" s="489"/>
      <c r="P29" s="489"/>
      <c r="Q29" s="489"/>
      <c r="R29" s="489"/>
      <c r="S29" s="489"/>
      <c r="T29" s="489"/>
      <c r="U29" s="489"/>
      <c r="V29" s="489"/>
      <c r="W29" s="489"/>
      <c r="X29" s="489"/>
      <c r="Y29" s="489"/>
      <c r="Z29" s="489"/>
      <c r="AA29" s="489"/>
      <c r="AB29" s="489"/>
    </row>
    <row r="30" spans="1:28" ht="31.5" hidden="1" customHeight="1">
      <c r="A30" s="489"/>
      <c r="B30" s="688" t="s">
        <v>630</v>
      </c>
      <c r="C30" s="683" t="s">
        <v>269</v>
      </c>
      <c r="D30" s="683" t="s">
        <v>270</v>
      </c>
      <c r="E30" s="683" t="s">
        <v>623</v>
      </c>
      <c r="F30" s="683" t="s">
        <v>659</v>
      </c>
      <c r="G30" s="683" t="s">
        <v>649</v>
      </c>
      <c r="H30" s="683" t="s">
        <v>650</v>
      </c>
      <c r="I30" s="683" t="s">
        <v>652</v>
      </c>
      <c r="J30" s="489"/>
      <c r="K30" s="489"/>
      <c r="L30" s="489"/>
      <c r="M30" s="489"/>
      <c r="N30" s="489"/>
      <c r="O30" s="489"/>
      <c r="P30" s="489"/>
      <c r="Q30" s="489"/>
      <c r="R30" s="489"/>
      <c r="S30" s="489"/>
      <c r="T30" s="489"/>
      <c r="U30" s="489"/>
      <c r="V30" s="489"/>
      <c r="W30" s="489"/>
      <c r="X30" s="489"/>
      <c r="Y30" s="489"/>
      <c r="Z30" s="489"/>
      <c r="AA30" s="489"/>
      <c r="AB30" s="489"/>
    </row>
    <row r="31" spans="1:28" ht="13.5" hidden="1" customHeight="1">
      <c r="A31" s="489"/>
      <c r="B31" s="685"/>
      <c r="C31" s="320"/>
      <c r="D31" s="320"/>
      <c r="E31" s="320"/>
      <c r="F31" s="320"/>
      <c r="G31" s="320"/>
      <c r="H31" s="320"/>
      <c r="I31" s="320"/>
      <c r="J31" s="270"/>
      <c r="K31" s="489"/>
      <c r="L31" s="489"/>
      <c r="M31" s="489"/>
      <c r="N31" s="489"/>
      <c r="O31" s="489"/>
      <c r="P31" s="489"/>
      <c r="Q31" s="489"/>
      <c r="R31" s="489"/>
      <c r="S31" s="489"/>
      <c r="T31" s="489"/>
      <c r="U31" s="489"/>
      <c r="V31" s="489"/>
      <c r="W31" s="489"/>
      <c r="X31" s="489"/>
      <c r="Y31" s="489"/>
      <c r="Z31" s="489"/>
      <c r="AA31" s="489"/>
      <c r="AB31" s="489"/>
    </row>
    <row r="32" spans="1:28" ht="13.5" hidden="1" customHeight="1">
      <c r="A32" s="489"/>
      <c r="B32" s="685"/>
      <c r="C32" s="320"/>
      <c r="D32" s="320"/>
      <c r="E32" s="320"/>
      <c r="F32" s="320"/>
      <c r="G32" s="320"/>
      <c r="H32" s="320"/>
      <c r="I32" s="320"/>
      <c r="J32" s="270"/>
      <c r="K32" s="489"/>
      <c r="L32" s="489"/>
      <c r="M32" s="489"/>
      <c r="N32" s="489"/>
      <c r="O32" s="489"/>
      <c r="P32" s="489"/>
      <c r="Q32" s="489"/>
      <c r="R32" s="489"/>
      <c r="S32" s="489"/>
      <c r="T32" s="489"/>
      <c r="U32" s="489"/>
      <c r="V32" s="489"/>
      <c r="W32" s="489"/>
      <c r="X32" s="489"/>
      <c r="Y32" s="489"/>
      <c r="Z32" s="489"/>
      <c r="AA32" s="489"/>
      <c r="AB32" s="489"/>
    </row>
    <row r="33" spans="1:28" ht="13.5" hidden="1" customHeight="1">
      <c r="A33" s="489"/>
      <c r="B33" s="685"/>
      <c r="C33" s="320"/>
      <c r="D33" s="320"/>
      <c r="E33" s="320"/>
      <c r="F33" s="320"/>
      <c r="G33" s="320"/>
      <c r="H33" s="320"/>
      <c r="I33" s="320"/>
      <c r="J33" s="270"/>
      <c r="K33" s="489"/>
      <c r="L33" s="489"/>
      <c r="M33" s="489"/>
      <c r="N33" s="489"/>
      <c r="O33" s="489"/>
      <c r="P33" s="489"/>
      <c r="Q33" s="489"/>
      <c r="R33" s="489"/>
      <c r="S33" s="489"/>
      <c r="T33" s="489"/>
      <c r="U33" s="489"/>
      <c r="V33" s="489"/>
      <c r="W33" s="489"/>
      <c r="X33" s="489"/>
      <c r="Y33" s="489"/>
      <c r="Z33" s="489"/>
      <c r="AA33" s="489"/>
      <c r="AB33" s="489"/>
    </row>
    <row r="34" spans="1:28" ht="13.5" hidden="1" customHeight="1">
      <c r="A34" s="489"/>
      <c r="B34" s="685"/>
      <c r="C34" s="320"/>
      <c r="D34" s="320"/>
      <c r="E34" s="320"/>
      <c r="F34" s="320"/>
      <c r="G34" s="320"/>
      <c r="H34" s="320"/>
      <c r="I34" s="320"/>
      <c r="J34" s="270"/>
      <c r="K34" s="489"/>
      <c r="L34" s="489"/>
      <c r="M34" s="489"/>
      <c r="N34" s="489"/>
      <c r="O34" s="489"/>
      <c r="P34" s="489"/>
      <c r="Q34" s="489"/>
      <c r="R34" s="489"/>
      <c r="S34" s="489"/>
      <c r="T34" s="489"/>
      <c r="U34" s="489"/>
      <c r="V34" s="489"/>
      <c r="W34" s="489"/>
      <c r="X34" s="489"/>
      <c r="Y34" s="489"/>
      <c r="Z34" s="489"/>
      <c r="AA34" s="489"/>
      <c r="AB34" s="489"/>
    </row>
    <row r="35" spans="1:28" ht="13.5" hidden="1" customHeight="1">
      <c r="A35" s="489"/>
      <c r="B35" s="685"/>
      <c r="C35" s="320"/>
      <c r="D35" s="320"/>
      <c r="E35" s="320"/>
      <c r="F35" s="320"/>
      <c r="G35" s="320"/>
      <c r="H35" s="320"/>
      <c r="I35" s="320"/>
      <c r="J35" s="270"/>
      <c r="K35" s="489"/>
      <c r="L35" s="489"/>
      <c r="M35" s="489"/>
      <c r="N35" s="489"/>
      <c r="O35" s="489"/>
      <c r="P35" s="489"/>
      <c r="Q35" s="489"/>
      <c r="R35" s="489"/>
      <c r="S35" s="489"/>
      <c r="T35" s="489"/>
      <c r="U35" s="489"/>
      <c r="V35" s="489"/>
      <c r="W35" s="489"/>
      <c r="X35" s="489"/>
      <c r="Y35" s="489"/>
      <c r="Z35" s="489"/>
      <c r="AA35" s="489"/>
      <c r="AB35" s="489"/>
    </row>
    <row r="36" spans="1:28" ht="12" hidden="1" customHeight="1">
      <c r="A36" s="489"/>
      <c r="B36" s="687"/>
      <c r="C36" s="270"/>
      <c r="D36" s="270"/>
      <c r="E36" s="270"/>
      <c r="F36" s="270"/>
      <c r="G36" s="270"/>
      <c r="H36" s="270"/>
      <c r="I36" s="270"/>
      <c r="J36" s="489"/>
      <c r="K36" s="489"/>
      <c r="L36" s="489"/>
      <c r="M36" s="489"/>
      <c r="N36" s="489"/>
      <c r="O36" s="489"/>
      <c r="P36" s="489"/>
      <c r="Q36" s="489"/>
      <c r="R36" s="489"/>
      <c r="S36" s="489"/>
      <c r="T36" s="489"/>
      <c r="U36" s="489"/>
      <c r="V36" s="489"/>
      <c r="W36" s="489"/>
      <c r="X36" s="489"/>
      <c r="Y36" s="489"/>
      <c r="Z36" s="489"/>
      <c r="AA36" s="489"/>
      <c r="AB36" s="489"/>
    </row>
    <row r="37" spans="1:28" ht="13.5" hidden="1" customHeight="1">
      <c r="A37" s="489"/>
      <c r="B37" s="1423" t="s">
        <v>667</v>
      </c>
      <c r="C37" s="1423"/>
      <c r="D37" s="1423"/>
      <c r="E37" s="1423"/>
      <c r="F37" s="1423"/>
      <c r="G37" s="1423"/>
      <c r="H37" s="1423"/>
      <c r="I37" s="1423"/>
      <c r="J37" s="1423"/>
      <c r="K37" s="1423"/>
      <c r="L37" s="489"/>
      <c r="M37" s="489"/>
      <c r="N37" s="489"/>
      <c r="O37" s="489"/>
      <c r="P37" s="489"/>
      <c r="Q37" s="489"/>
      <c r="R37" s="489"/>
      <c r="S37" s="489"/>
      <c r="T37" s="489"/>
      <c r="U37" s="489"/>
      <c r="V37" s="489"/>
      <c r="W37" s="489"/>
      <c r="X37" s="489"/>
      <c r="Y37" s="489"/>
      <c r="Z37" s="489"/>
      <c r="AA37" s="489"/>
      <c r="AB37" s="489"/>
    </row>
    <row r="38" spans="1:28" ht="14.25" hidden="1" customHeight="1">
      <c r="A38" s="489"/>
      <c r="B38" s="1400" t="s">
        <v>630</v>
      </c>
      <c r="C38" s="1399" t="s">
        <v>269</v>
      </c>
      <c r="D38" s="1399" t="s">
        <v>270</v>
      </c>
      <c r="E38" s="1399" t="s">
        <v>632</v>
      </c>
      <c r="F38" s="1399" t="s">
        <v>633</v>
      </c>
      <c r="G38" s="1399" t="s">
        <v>634</v>
      </c>
      <c r="H38" s="1399" t="s">
        <v>635</v>
      </c>
      <c r="I38" s="1393" t="s">
        <v>625</v>
      </c>
      <c r="J38" s="1393"/>
      <c r="K38" s="1393"/>
      <c r="L38" s="489"/>
      <c r="M38" s="489"/>
      <c r="N38" s="489"/>
      <c r="O38" s="489"/>
      <c r="P38" s="489"/>
      <c r="Q38" s="489"/>
      <c r="R38" s="489"/>
      <c r="S38" s="489"/>
      <c r="T38" s="489"/>
      <c r="U38" s="489"/>
      <c r="V38" s="489"/>
      <c r="W38" s="489"/>
      <c r="X38" s="489"/>
      <c r="Y38" s="489"/>
      <c r="Z38" s="489"/>
      <c r="AA38" s="489"/>
      <c r="AB38" s="489"/>
    </row>
    <row r="39" spans="1:28" ht="38.25" hidden="1" customHeight="1">
      <c r="A39" s="489"/>
      <c r="B39" s="1400"/>
      <c r="C39" s="1399"/>
      <c r="D39" s="1399"/>
      <c r="E39" s="1399"/>
      <c r="F39" s="1399"/>
      <c r="G39" s="1399"/>
      <c r="H39" s="1399"/>
      <c r="I39" s="683" t="s">
        <v>626</v>
      </c>
      <c r="J39" s="683" t="s">
        <v>636</v>
      </c>
      <c r="K39" s="683" t="s">
        <v>637</v>
      </c>
      <c r="L39" s="489"/>
      <c r="M39" s="489"/>
      <c r="N39" s="489"/>
      <c r="O39" s="489"/>
      <c r="P39" s="489"/>
      <c r="Q39" s="489"/>
      <c r="R39" s="489"/>
      <c r="S39" s="489"/>
      <c r="T39" s="489"/>
      <c r="U39" s="489"/>
      <c r="V39" s="489"/>
      <c r="W39" s="489"/>
      <c r="X39" s="489"/>
      <c r="Y39" s="489"/>
      <c r="Z39" s="489"/>
      <c r="AA39" s="489"/>
      <c r="AB39" s="489"/>
    </row>
    <row r="40" spans="1:28" ht="13.5" hidden="1" customHeight="1">
      <c r="A40" s="489"/>
      <c r="B40" s="685"/>
      <c r="C40" s="320"/>
      <c r="D40" s="320"/>
      <c r="E40" s="320"/>
      <c r="F40" s="320"/>
      <c r="G40" s="320"/>
      <c r="H40" s="320"/>
      <c r="I40" s="320"/>
      <c r="J40" s="320"/>
      <c r="K40" s="320"/>
      <c r="L40" s="489"/>
      <c r="M40" s="489"/>
      <c r="N40" s="489"/>
      <c r="O40" s="489"/>
      <c r="P40" s="489"/>
      <c r="Q40" s="489"/>
      <c r="R40" s="489"/>
      <c r="S40" s="489"/>
      <c r="T40" s="489"/>
      <c r="U40" s="489"/>
      <c r="V40" s="489"/>
      <c r="W40" s="489"/>
      <c r="X40" s="489"/>
      <c r="Y40" s="489"/>
      <c r="Z40" s="489"/>
      <c r="AA40" s="489"/>
      <c r="AB40" s="489"/>
    </row>
    <row r="41" spans="1:28" ht="13.5" hidden="1" customHeight="1">
      <c r="A41" s="489"/>
      <c r="B41" s="685"/>
      <c r="C41" s="320"/>
      <c r="D41" s="320"/>
      <c r="E41" s="320"/>
      <c r="F41" s="320"/>
      <c r="G41" s="320"/>
      <c r="H41" s="320"/>
      <c r="I41" s="320"/>
      <c r="J41" s="320"/>
      <c r="K41" s="320"/>
      <c r="L41" s="489"/>
      <c r="M41" s="489"/>
      <c r="N41" s="489"/>
      <c r="O41" s="489"/>
      <c r="P41" s="489"/>
      <c r="Q41" s="489"/>
      <c r="R41" s="489"/>
      <c r="S41" s="489"/>
      <c r="T41" s="489"/>
      <c r="U41" s="489"/>
      <c r="V41" s="489"/>
      <c r="W41" s="489"/>
      <c r="X41" s="489"/>
      <c r="Y41" s="489"/>
      <c r="Z41" s="489"/>
      <c r="AA41" s="489"/>
      <c r="AB41" s="489"/>
    </row>
    <row r="42" spans="1:28" ht="13.5" hidden="1" customHeight="1">
      <c r="A42" s="489"/>
      <c r="B42" s="685"/>
      <c r="C42" s="320"/>
      <c r="D42" s="320"/>
      <c r="E42" s="320"/>
      <c r="F42" s="320"/>
      <c r="G42" s="320"/>
      <c r="H42" s="320"/>
      <c r="I42" s="320"/>
      <c r="J42" s="320"/>
      <c r="K42" s="320"/>
      <c r="L42" s="489"/>
      <c r="M42" s="489"/>
      <c r="N42" s="489"/>
      <c r="O42" s="489"/>
      <c r="P42" s="489"/>
      <c r="Q42" s="489"/>
      <c r="R42" s="489"/>
      <c r="S42" s="489"/>
      <c r="T42" s="489"/>
      <c r="U42" s="489"/>
      <c r="V42" s="489"/>
      <c r="W42" s="489"/>
      <c r="X42" s="489"/>
      <c r="Y42" s="489"/>
      <c r="Z42" s="489"/>
      <c r="AA42" s="489"/>
      <c r="AB42" s="489"/>
    </row>
    <row r="43" spans="1:28" ht="12" hidden="1" customHeight="1">
      <c r="A43" s="489"/>
      <c r="B43" s="659"/>
      <c r="C43" s="270"/>
      <c r="D43" s="270"/>
      <c r="E43" s="270"/>
      <c r="F43" s="270"/>
      <c r="G43" s="270"/>
      <c r="H43" s="270"/>
      <c r="I43" s="270"/>
      <c r="J43" s="489"/>
      <c r="K43" s="489"/>
      <c r="L43" s="489"/>
      <c r="M43" s="489"/>
      <c r="N43" s="489"/>
      <c r="O43" s="489"/>
      <c r="P43" s="489"/>
      <c r="Q43" s="489"/>
      <c r="R43" s="489"/>
      <c r="S43" s="489"/>
      <c r="T43" s="489"/>
      <c r="U43" s="489"/>
      <c r="V43" s="489"/>
      <c r="W43" s="489"/>
      <c r="X43" s="489"/>
      <c r="Y43" s="489"/>
      <c r="Z43" s="489"/>
      <c r="AA43" s="489"/>
      <c r="AB43" s="489"/>
    </row>
    <row r="44" spans="1:28" ht="13.5" hidden="1" customHeight="1">
      <c r="A44" s="489"/>
      <c r="B44" s="1423" t="s">
        <v>672</v>
      </c>
      <c r="C44" s="1423"/>
      <c r="D44" s="1423"/>
      <c r="E44" s="1423"/>
      <c r="F44" s="1423"/>
      <c r="G44" s="1423"/>
      <c r="H44" s="1423"/>
      <c r="I44" s="1423"/>
      <c r="J44" s="1423"/>
      <c r="K44" s="489"/>
      <c r="L44" s="489"/>
      <c r="M44" s="489"/>
      <c r="N44" s="489"/>
      <c r="O44" s="489"/>
      <c r="P44" s="489"/>
      <c r="Q44" s="489"/>
      <c r="R44" s="489"/>
      <c r="S44" s="489"/>
      <c r="T44" s="489"/>
      <c r="U44" s="489"/>
      <c r="V44" s="489"/>
      <c r="W44" s="489"/>
      <c r="X44" s="489"/>
      <c r="Y44" s="489"/>
      <c r="Z44" s="489"/>
      <c r="AA44" s="489"/>
      <c r="AB44" s="489"/>
    </row>
    <row r="45" spans="1:28" ht="12" hidden="1" customHeight="1">
      <c r="A45" s="489"/>
      <c r="B45" s="1400" t="s">
        <v>638</v>
      </c>
      <c r="C45" s="1399" t="s">
        <v>269</v>
      </c>
      <c r="D45" s="1399" t="s">
        <v>270</v>
      </c>
      <c r="E45" s="1399" t="s">
        <v>623</v>
      </c>
      <c r="F45" s="1393" t="s">
        <v>625</v>
      </c>
      <c r="G45" s="1393"/>
      <c r="H45" s="1393"/>
      <c r="I45" s="1393"/>
      <c r="J45" s="1393"/>
      <c r="K45" s="489"/>
      <c r="L45" s="489"/>
      <c r="M45" s="489"/>
      <c r="N45" s="489"/>
      <c r="O45" s="489"/>
      <c r="P45" s="489"/>
      <c r="Q45" s="489"/>
      <c r="R45" s="489"/>
      <c r="S45" s="489"/>
      <c r="T45" s="489"/>
      <c r="U45" s="489"/>
      <c r="V45" s="489"/>
      <c r="W45" s="489"/>
      <c r="X45" s="489"/>
      <c r="Y45" s="489"/>
      <c r="Z45" s="489"/>
      <c r="AA45" s="489"/>
      <c r="AB45" s="489"/>
    </row>
    <row r="46" spans="1:28" ht="12" hidden="1" customHeight="1">
      <c r="A46" s="489"/>
      <c r="B46" s="1400"/>
      <c r="C46" s="1399"/>
      <c r="D46" s="1399"/>
      <c r="E46" s="1399"/>
      <c r="F46" s="1399" t="s">
        <v>648</v>
      </c>
      <c r="G46" s="1393" t="s">
        <v>400</v>
      </c>
      <c r="H46" s="1393"/>
      <c r="I46" s="1393" t="s">
        <v>629</v>
      </c>
      <c r="J46" s="1393"/>
      <c r="K46" s="489"/>
      <c r="L46" s="489"/>
      <c r="M46" s="489"/>
      <c r="N46" s="489"/>
      <c r="O46" s="489"/>
      <c r="P46" s="489"/>
      <c r="Q46" s="489"/>
      <c r="R46" s="489"/>
      <c r="S46" s="489"/>
      <c r="T46" s="489"/>
      <c r="U46" s="489"/>
      <c r="V46" s="489"/>
      <c r="W46" s="489"/>
      <c r="X46" s="489"/>
      <c r="Y46" s="489"/>
      <c r="Z46" s="489"/>
      <c r="AA46" s="489"/>
      <c r="AB46" s="489"/>
    </row>
    <row r="47" spans="1:28" ht="26.25" hidden="1" customHeight="1">
      <c r="A47" s="489"/>
      <c r="B47" s="1400"/>
      <c r="C47" s="1399"/>
      <c r="D47" s="1399"/>
      <c r="E47" s="1399"/>
      <c r="F47" s="1399"/>
      <c r="G47" s="683" t="s">
        <v>627</v>
      </c>
      <c r="H47" s="683" t="s">
        <v>628</v>
      </c>
      <c r="I47" s="683" t="s">
        <v>627</v>
      </c>
      <c r="J47" s="683" t="s">
        <v>628</v>
      </c>
      <c r="K47" s="489"/>
      <c r="L47" s="489"/>
      <c r="M47" s="489"/>
      <c r="N47" s="489"/>
      <c r="O47" s="489"/>
      <c r="P47" s="489"/>
      <c r="Q47" s="489"/>
      <c r="R47" s="489"/>
      <c r="S47" s="489"/>
      <c r="T47" s="489"/>
      <c r="U47" s="489"/>
      <c r="V47" s="489"/>
      <c r="W47" s="489"/>
      <c r="X47" s="489"/>
      <c r="Y47" s="489"/>
      <c r="Z47" s="489"/>
      <c r="AA47" s="489"/>
      <c r="AB47" s="489"/>
    </row>
    <row r="48" spans="1:28" ht="13.5" hidden="1" customHeight="1">
      <c r="A48" s="489"/>
      <c r="B48" s="685"/>
      <c r="C48" s="320"/>
      <c r="D48" s="320"/>
      <c r="E48" s="320"/>
      <c r="F48" s="320"/>
      <c r="G48" s="320"/>
      <c r="H48" s="320"/>
      <c r="I48" s="320"/>
      <c r="J48" s="320"/>
      <c r="K48" s="270"/>
      <c r="L48" s="270"/>
      <c r="M48" s="489"/>
      <c r="N48" s="489"/>
      <c r="O48" s="489"/>
      <c r="P48" s="489"/>
      <c r="Q48" s="489"/>
      <c r="R48" s="489"/>
      <c r="S48" s="489"/>
      <c r="T48" s="489"/>
      <c r="U48" s="489"/>
      <c r="V48" s="489"/>
      <c r="W48" s="489"/>
      <c r="X48" s="489"/>
      <c r="Y48" s="489"/>
      <c r="Z48" s="489"/>
      <c r="AA48" s="489"/>
      <c r="AB48" s="489"/>
    </row>
    <row r="49" spans="1:28" ht="13.5" hidden="1" customHeight="1">
      <c r="A49" s="489"/>
      <c r="B49" s="685"/>
      <c r="C49" s="320"/>
      <c r="D49" s="320"/>
      <c r="E49" s="320"/>
      <c r="F49" s="320"/>
      <c r="G49" s="320"/>
      <c r="H49" s="320"/>
      <c r="I49" s="320"/>
      <c r="J49" s="320"/>
      <c r="K49" s="270"/>
      <c r="L49" s="270"/>
      <c r="M49" s="489"/>
      <c r="N49" s="489"/>
      <c r="O49" s="489"/>
      <c r="P49" s="489"/>
      <c r="Q49" s="489"/>
      <c r="R49" s="489"/>
      <c r="S49" s="489"/>
      <c r="T49" s="489"/>
      <c r="U49" s="489"/>
      <c r="V49" s="489"/>
      <c r="W49" s="489"/>
      <c r="X49" s="489"/>
      <c r="Y49" s="489"/>
      <c r="Z49" s="489"/>
      <c r="AA49" s="489"/>
      <c r="AB49" s="489"/>
    </row>
    <row r="50" spans="1:28" ht="13.5" hidden="1" customHeight="1">
      <c r="A50" s="489"/>
      <c r="B50" s="685"/>
      <c r="C50" s="320"/>
      <c r="D50" s="320"/>
      <c r="E50" s="320"/>
      <c r="F50" s="320"/>
      <c r="G50" s="320"/>
      <c r="H50" s="320"/>
      <c r="I50" s="320"/>
      <c r="J50" s="320"/>
      <c r="K50" s="270"/>
      <c r="L50" s="270"/>
      <c r="M50" s="489"/>
      <c r="N50" s="489"/>
      <c r="O50" s="489"/>
      <c r="P50" s="489"/>
      <c r="Q50" s="489"/>
      <c r="R50" s="489"/>
      <c r="S50" s="489"/>
      <c r="T50" s="489"/>
      <c r="U50" s="489"/>
      <c r="V50" s="489"/>
      <c r="W50" s="489"/>
      <c r="X50" s="489"/>
      <c r="Y50" s="489"/>
      <c r="Z50" s="489"/>
      <c r="AA50" s="489"/>
      <c r="AB50" s="489"/>
    </row>
    <row r="51" spans="1:28" ht="12" hidden="1" customHeight="1">
      <c r="A51" s="489"/>
      <c r="B51" s="689"/>
      <c r="C51" s="690"/>
      <c r="D51" s="690"/>
      <c r="E51" s="691"/>
      <c r="F51" s="690"/>
      <c r="G51" s="690"/>
      <c r="H51" s="690"/>
      <c r="I51" s="690"/>
      <c r="J51" s="270"/>
      <c r="K51" s="270"/>
      <c r="L51" s="270"/>
      <c r="M51" s="489"/>
      <c r="N51" s="489"/>
      <c r="O51" s="489"/>
      <c r="P51" s="489"/>
      <c r="Q51" s="489"/>
      <c r="R51" s="489"/>
      <c r="S51" s="489"/>
      <c r="T51" s="489"/>
      <c r="U51" s="489"/>
      <c r="V51" s="489"/>
      <c r="W51" s="489"/>
      <c r="X51" s="489"/>
      <c r="Y51" s="489"/>
      <c r="Z51" s="489"/>
      <c r="AA51" s="489"/>
      <c r="AB51" s="489"/>
    </row>
    <row r="52" spans="1:28" ht="12" hidden="1" customHeight="1">
      <c r="A52" s="489"/>
      <c r="B52" s="1405" t="s">
        <v>639</v>
      </c>
      <c r="C52" s="1397" t="s">
        <v>269</v>
      </c>
      <c r="D52" s="1397" t="s">
        <v>270</v>
      </c>
      <c r="E52" s="1397" t="s">
        <v>623</v>
      </c>
      <c r="F52" s="1394" t="s">
        <v>625</v>
      </c>
      <c r="G52" s="1395"/>
      <c r="H52" s="1395"/>
      <c r="I52" s="1396"/>
      <c r="J52" s="661"/>
      <c r="K52" s="270"/>
      <c r="L52" s="270"/>
      <c r="M52" s="489"/>
      <c r="N52" s="489"/>
      <c r="O52" s="489"/>
      <c r="P52" s="489"/>
      <c r="Q52" s="489"/>
      <c r="R52" s="489"/>
      <c r="S52" s="489"/>
      <c r="T52" s="489"/>
      <c r="U52" s="489"/>
      <c r="V52" s="489"/>
      <c r="W52" s="489"/>
      <c r="X52" s="489"/>
      <c r="Y52" s="489"/>
      <c r="Z52" s="489"/>
      <c r="AA52" s="489"/>
      <c r="AB52" s="489"/>
    </row>
    <row r="53" spans="1:28" ht="25.5" hidden="1" customHeight="1">
      <c r="A53" s="489"/>
      <c r="B53" s="1406"/>
      <c r="C53" s="1404"/>
      <c r="D53" s="1404"/>
      <c r="E53" s="1404"/>
      <c r="F53" s="1394" t="s">
        <v>400</v>
      </c>
      <c r="G53" s="1396"/>
      <c r="H53" s="1394" t="s">
        <v>629</v>
      </c>
      <c r="I53" s="1396"/>
      <c r="J53" s="270"/>
      <c r="K53" s="270"/>
      <c r="L53" s="270"/>
      <c r="M53" s="489"/>
      <c r="N53" s="489"/>
      <c r="O53" s="489"/>
      <c r="P53" s="489"/>
      <c r="Q53" s="489"/>
      <c r="R53" s="489"/>
      <c r="S53" s="489"/>
      <c r="T53" s="489"/>
      <c r="U53" s="489"/>
      <c r="V53" s="489"/>
      <c r="W53" s="489"/>
      <c r="X53" s="489"/>
      <c r="Y53" s="489"/>
      <c r="Z53" s="489"/>
      <c r="AA53" s="489"/>
      <c r="AB53" s="489"/>
    </row>
    <row r="54" spans="1:28" ht="12" hidden="1" customHeight="1">
      <c r="A54" s="489"/>
      <c r="B54" s="1407"/>
      <c r="C54" s="1398"/>
      <c r="D54" s="1398"/>
      <c r="E54" s="1398"/>
      <c r="F54" s="683" t="s">
        <v>627</v>
      </c>
      <c r="G54" s="683" t="s">
        <v>628</v>
      </c>
      <c r="H54" s="683" t="s">
        <v>627</v>
      </c>
      <c r="I54" s="683" t="s">
        <v>628</v>
      </c>
      <c r="J54" s="270"/>
      <c r="K54" s="270"/>
      <c r="L54" s="270"/>
      <c r="M54" s="489"/>
      <c r="N54" s="489"/>
      <c r="O54" s="489"/>
      <c r="P54" s="489"/>
      <c r="Q54" s="489"/>
      <c r="R54" s="489"/>
      <c r="S54" s="489"/>
      <c r="T54" s="489"/>
      <c r="U54" s="489"/>
      <c r="V54" s="489"/>
      <c r="W54" s="489"/>
      <c r="X54" s="489"/>
      <c r="Y54" s="489"/>
      <c r="Z54" s="489"/>
      <c r="AA54" s="489"/>
      <c r="AB54" s="489"/>
    </row>
    <row r="55" spans="1:28" ht="13.5" hidden="1" customHeight="1">
      <c r="A55" s="489"/>
      <c r="B55" s="685"/>
      <c r="C55" s="320"/>
      <c r="D55" s="320"/>
      <c r="E55" s="320"/>
      <c r="F55" s="320"/>
      <c r="G55" s="320"/>
      <c r="H55" s="320"/>
      <c r="I55" s="320"/>
      <c r="J55" s="270"/>
      <c r="K55" s="270"/>
      <c r="L55" s="270"/>
      <c r="M55" s="489"/>
      <c r="N55" s="489"/>
      <c r="O55" s="489"/>
      <c r="P55" s="489"/>
      <c r="Q55" s="489"/>
      <c r="R55" s="489"/>
      <c r="S55" s="489"/>
      <c r="T55" s="489"/>
      <c r="U55" s="489"/>
      <c r="V55" s="489"/>
      <c r="W55" s="489"/>
      <c r="X55" s="489"/>
      <c r="Y55" s="489"/>
      <c r="Z55" s="489"/>
      <c r="AA55" s="489"/>
      <c r="AB55" s="489"/>
    </row>
    <row r="56" spans="1:28" ht="13.5" hidden="1" customHeight="1">
      <c r="A56" s="489"/>
      <c r="B56" s="685"/>
      <c r="C56" s="320"/>
      <c r="D56" s="320"/>
      <c r="E56" s="320"/>
      <c r="F56" s="320"/>
      <c r="G56" s="320"/>
      <c r="H56" s="320"/>
      <c r="I56" s="320"/>
      <c r="J56" s="270"/>
      <c r="K56" s="270"/>
      <c r="L56" s="270"/>
      <c r="M56" s="489"/>
      <c r="N56" s="489"/>
      <c r="O56" s="489"/>
      <c r="P56" s="489"/>
      <c r="Q56" s="489"/>
      <c r="R56" s="489"/>
      <c r="S56" s="489"/>
      <c r="T56" s="489"/>
      <c r="U56" s="489"/>
      <c r="V56" s="489"/>
      <c r="W56" s="489"/>
      <c r="X56" s="489"/>
      <c r="Y56" s="489"/>
      <c r="Z56" s="489"/>
      <c r="AA56" s="489"/>
      <c r="AB56" s="489"/>
    </row>
    <row r="57" spans="1:28" ht="13.5" hidden="1" customHeight="1">
      <c r="A57" s="489"/>
      <c r="B57" s="685"/>
      <c r="C57" s="320"/>
      <c r="D57" s="320"/>
      <c r="E57" s="320"/>
      <c r="F57" s="320"/>
      <c r="G57" s="320"/>
      <c r="H57" s="320"/>
      <c r="I57" s="320"/>
      <c r="J57" s="270"/>
      <c r="K57" s="270"/>
      <c r="L57" s="270"/>
      <c r="M57" s="489"/>
      <c r="N57" s="489"/>
      <c r="O57" s="489"/>
      <c r="P57" s="489"/>
      <c r="Q57" s="489"/>
      <c r="R57" s="489"/>
      <c r="S57" s="489"/>
      <c r="T57" s="489"/>
      <c r="U57" s="489"/>
      <c r="V57" s="489"/>
      <c r="W57" s="489"/>
      <c r="X57" s="489"/>
      <c r="Y57" s="489"/>
      <c r="Z57" s="489"/>
      <c r="AA57" s="489"/>
      <c r="AB57" s="489"/>
    </row>
    <row r="58" spans="1:28" ht="14.25" hidden="1" customHeight="1">
      <c r="A58" s="489"/>
      <c r="B58" s="1409" t="s">
        <v>660</v>
      </c>
      <c r="C58" s="1409"/>
      <c r="D58" s="1409"/>
      <c r="E58" s="1409"/>
      <c r="F58" s="1409"/>
      <c r="G58" s="1409"/>
      <c r="H58" s="1409"/>
      <c r="I58" s="1409"/>
      <c r="J58" s="1409"/>
      <c r="K58" s="489"/>
      <c r="L58" s="489"/>
      <c r="M58" s="489"/>
      <c r="N58" s="489"/>
      <c r="O58" s="489"/>
      <c r="P58" s="489"/>
      <c r="Q58" s="489"/>
      <c r="R58" s="489"/>
      <c r="S58" s="489"/>
      <c r="T58" s="489"/>
      <c r="U58" s="489"/>
      <c r="V58" s="489"/>
      <c r="W58" s="489"/>
      <c r="X58" s="489"/>
      <c r="Y58" s="489"/>
      <c r="Z58" s="489"/>
      <c r="AA58" s="489"/>
      <c r="AB58" s="489"/>
    </row>
    <row r="59" spans="1:28" hidden="1">
      <c r="A59" s="489"/>
      <c r="B59" s="1409"/>
      <c r="C59" s="1409"/>
      <c r="D59" s="1409"/>
      <c r="E59" s="1409"/>
      <c r="F59" s="1409"/>
      <c r="G59" s="1409"/>
      <c r="H59" s="1409"/>
      <c r="I59" s="1409"/>
      <c r="J59" s="1409"/>
      <c r="K59" s="489"/>
      <c r="L59" s="489"/>
      <c r="M59" s="489"/>
      <c r="N59" s="489"/>
      <c r="O59" s="489"/>
      <c r="P59" s="489"/>
      <c r="Q59" s="489"/>
      <c r="R59" s="489"/>
      <c r="S59" s="489"/>
      <c r="T59" s="489"/>
      <c r="U59" s="489"/>
      <c r="V59" s="489"/>
      <c r="W59" s="489"/>
      <c r="X59" s="489"/>
      <c r="Y59" s="489"/>
      <c r="Z59" s="489"/>
      <c r="AA59" s="489"/>
      <c r="AB59" s="489"/>
    </row>
    <row r="60" spans="1:28" ht="14.25" hidden="1" customHeight="1">
      <c r="A60" s="489"/>
      <c r="B60" s="659"/>
      <c r="C60" s="270"/>
      <c r="D60" s="270"/>
      <c r="E60" s="270"/>
      <c r="F60" s="270"/>
      <c r="G60" s="270"/>
      <c r="H60" s="270"/>
      <c r="I60" s="270"/>
      <c r="J60" s="489"/>
      <c r="K60" s="489"/>
      <c r="L60" s="489"/>
      <c r="M60" s="489"/>
      <c r="N60" s="489"/>
      <c r="O60" s="489"/>
      <c r="P60" s="489"/>
      <c r="Q60" s="489"/>
      <c r="R60" s="489"/>
      <c r="S60" s="489"/>
      <c r="T60" s="489"/>
      <c r="U60" s="489"/>
      <c r="V60" s="489"/>
      <c r="W60" s="489"/>
      <c r="X60" s="489"/>
      <c r="Y60" s="489"/>
      <c r="Z60" s="489"/>
      <c r="AA60" s="489"/>
      <c r="AB60" s="489"/>
    </row>
    <row r="61" spans="1:28" ht="13.5" hidden="1" customHeight="1">
      <c r="A61" s="489"/>
      <c r="B61" s="1423" t="s">
        <v>669</v>
      </c>
      <c r="C61" s="1423"/>
      <c r="D61" s="1423"/>
      <c r="E61" s="1423"/>
      <c r="F61" s="1423"/>
      <c r="G61" s="1423"/>
      <c r="H61" s="1423"/>
      <c r="I61" s="1423"/>
      <c r="J61" s="1423"/>
      <c r="K61" s="489"/>
      <c r="L61" s="489"/>
      <c r="M61" s="489"/>
      <c r="N61" s="489"/>
      <c r="O61" s="489"/>
      <c r="P61" s="489"/>
      <c r="Q61" s="489"/>
      <c r="R61" s="489"/>
      <c r="S61" s="489"/>
      <c r="T61" s="489"/>
      <c r="U61" s="489"/>
      <c r="V61" s="489"/>
      <c r="W61" s="489"/>
      <c r="X61" s="489"/>
      <c r="Y61" s="489"/>
      <c r="Z61" s="489"/>
      <c r="AA61" s="489"/>
      <c r="AB61" s="489"/>
    </row>
    <row r="62" spans="1:28" ht="12" hidden="1" customHeight="1">
      <c r="A62" s="489"/>
      <c r="B62" s="1400" t="s">
        <v>630</v>
      </c>
      <c r="C62" s="1399" t="s">
        <v>269</v>
      </c>
      <c r="D62" s="1399" t="s">
        <v>270</v>
      </c>
      <c r="E62" s="1399" t="s">
        <v>623</v>
      </c>
      <c r="F62" s="1393" t="s">
        <v>625</v>
      </c>
      <c r="G62" s="1393"/>
      <c r="H62" s="1393"/>
      <c r="I62" s="1393"/>
      <c r="J62" s="1393"/>
      <c r="K62" s="489"/>
      <c r="L62" s="489"/>
      <c r="M62" s="489"/>
      <c r="N62" s="489"/>
      <c r="O62" s="489"/>
      <c r="P62" s="489"/>
      <c r="Q62" s="489"/>
      <c r="R62" s="489"/>
      <c r="S62" s="489"/>
      <c r="T62" s="489"/>
      <c r="U62" s="489"/>
      <c r="V62" s="489"/>
      <c r="W62" s="489"/>
      <c r="X62" s="489"/>
      <c r="Y62" s="489"/>
      <c r="Z62" s="489"/>
      <c r="AA62" s="489"/>
      <c r="AB62" s="489"/>
    </row>
    <row r="63" spans="1:28" ht="12" hidden="1" customHeight="1">
      <c r="A63" s="489"/>
      <c r="B63" s="1400"/>
      <c r="C63" s="1399"/>
      <c r="D63" s="1399"/>
      <c r="E63" s="1399"/>
      <c r="F63" s="1399" t="s">
        <v>626</v>
      </c>
      <c r="G63" s="1393" t="s">
        <v>400</v>
      </c>
      <c r="H63" s="1393"/>
      <c r="I63" s="1393" t="s">
        <v>629</v>
      </c>
      <c r="J63" s="1393"/>
      <c r="K63" s="489"/>
      <c r="L63" s="489"/>
      <c r="M63" s="489"/>
      <c r="N63" s="489"/>
      <c r="O63" s="489"/>
      <c r="P63" s="489"/>
      <c r="Q63" s="489"/>
      <c r="R63" s="489"/>
      <c r="S63" s="489"/>
      <c r="T63" s="489"/>
      <c r="U63" s="489"/>
      <c r="V63" s="489"/>
      <c r="W63" s="489"/>
      <c r="X63" s="489"/>
      <c r="Y63" s="489"/>
      <c r="Z63" s="489"/>
      <c r="AA63" s="489"/>
      <c r="AB63" s="489"/>
    </row>
    <row r="64" spans="1:28" ht="12.75" hidden="1">
      <c r="A64" s="489"/>
      <c r="B64" s="1400"/>
      <c r="C64" s="1399"/>
      <c r="D64" s="1399"/>
      <c r="E64" s="1399"/>
      <c r="F64" s="1399"/>
      <c r="G64" s="683" t="s">
        <v>627</v>
      </c>
      <c r="H64" s="683" t="s">
        <v>628</v>
      </c>
      <c r="I64" s="683" t="s">
        <v>627</v>
      </c>
      <c r="J64" s="683" t="s">
        <v>628</v>
      </c>
      <c r="K64" s="489"/>
      <c r="L64" s="489"/>
      <c r="M64" s="489"/>
      <c r="N64" s="489"/>
      <c r="O64" s="489"/>
      <c r="P64" s="489"/>
      <c r="Q64" s="489"/>
      <c r="R64" s="489"/>
      <c r="S64" s="489"/>
      <c r="T64" s="489"/>
      <c r="U64" s="489"/>
      <c r="V64" s="489"/>
      <c r="W64" s="489"/>
      <c r="X64" s="489"/>
      <c r="Y64" s="489"/>
      <c r="Z64" s="489"/>
      <c r="AA64" s="489"/>
      <c r="AB64" s="489"/>
    </row>
    <row r="65" spans="1:28" ht="13.5" hidden="1" customHeight="1">
      <c r="A65" s="489"/>
      <c r="B65" s="685"/>
      <c r="C65" s="320"/>
      <c r="D65" s="320"/>
      <c r="E65" s="320"/>
      <c r="F65" s="320"/>
      <c r="G65" s="320"/>
      <c r="H65" s="320"/>
      <c r="I65" s="320"/>
      <c r="J65" s="320"/>
      <c r="K65" s="489"/>
      <c r="L65" s="489"/>
      <c r="M65" s="489"/>
      <c r="N65" s="489"/>
      <c r="O65" s="489"/>
      <c r="P65" s="489"/>
      <c r="Q65" s="489"/>
      <c r="R65" s="489"/>
      <c r="S65" s="489"/>
      <c r="T65" s="489"/>
      <c r="U65" s="489"/>
      <c r="V65" s="489"/>
      <c r="W65" s="489"/>
      <c r="X65" s="489"/>
      <c r="Y65" s="489"/>
      <c r="Z65" s="489"/>
      <c r="AA65" s="489"/>
      <c r="AB65" s="489"/>
    </row>
    <row r="66" spans="1:28" ht="13.5" hidden="1" customHeight="1">
      <c r="A66" s="489"/>
      <c r="B66" s="685"/>
      <c r="C66" s="320"/>
      <c r="D66" s="320"/>
      <c r="E66" s="320"/>
      <c r="F66" s="320"/>
      <c r="G66" s="320"/>
      <c r="H66" s="320"/>
      <c r="I66" s="320"/>
      <c r="J66" s="320"/>
      <c r="K66" s="489"/>
      <c r="L66" s="489"/>
      <c r="M66" s="489"/>
      <c r="N66" s="489"/>
      <c r="O66" s="489"/>
      <c r="P66" s="489"/>
      <c r="Q66" s="489"/>
      <c r="R66" s="489"/>
      <c r="S66" s="489"/>
      <c r="T66" s="489"/>
      <c r="U66" s="489"/>
      <c r="V66" s="489"/>
      <c r="W66" s="489"/>
      <c r="X66" s="489"/>
      <c r="Y66" s="489"/>
      <c r="Z66" s="489"/>
      <c r="AA66" s="489"/>
      <c r="AB66" s="489"/>
    </row>
    <row r="67" spans="1:28" ht="13.5" hidden="1" customHeight="1">
      <c r="A67" s="489"/>
      <c r="B67" s="685"/>
      <c r="C67" s="320"/>
      <c r="D67" s="320"/>
      <c r="E67" s="320"/>
      <c r="F67" s="320"/>
      <c r="G67" s="320"/>
      <c r="H67" s="320"/>
      <c r="I67" s="320"/>
      <c r="J67" s="320"/>
      <c r="K67" s="489"/>
      <c r="L67" s="489"/>
      <c r="M67" s="489"/>
      <c r="N67" s="489"/>
      <c r="O67" s="489"/>
      <c r="P67" s="489"/>
      <c r="Q67" s="489"/>
      <c r="R67" s="489"/>
      <c r="S67" s="489"/>
      <c r="T67" s="489"/>
      <c r="U67" s="489"/>
      <c r="V67" s="489"/>
      <c r="W67" s="489"/>
      <c r="X67" s="489"/>
      <c r="Y67" s="489"/>
      <c r="Z67" s="489"/>
      <c r="AA67" s="489"/>
      <c r="AB67" s="489"/>
    </row>
    <row r="68" spans="1:28" ht="13.5" hidden="1" customHeight="1">
      <c r="A68" s="489"/>
      <c r="B68" s="685"/>
      <c r="C68" s="320"/>
      <c r="D68" s="320"/>
      <c r="E68" s="320"/>
      <c r="F68" s="320"/>
      <c r="G68" s="320"/>
      <c r="H68" s="320"/>
      <c r="I68" s="320"/>
      <c r="J68" s="320"/>
      <c r="K68" s="489"/>
      <c r="L68" s="489"/>
      <c r="M68" s="489"/>
      <c r="N68" s="489"/>
      <c r="O68" s="489"/>
      <c r="P68" s="489"/>
      <c r="Q68" s="489"/>
      <c r="R68" s="489"/>
      <c r="S68" s="489"/>
      <c r="T68" s="489"/>
      <c r="U68" s="489"/>
      <c r="V68" s="489"/>
      <c r="W68" s="489"/>
      <c r="X68" s="489"/>
      <c r="Y68" s="489"/>
      <c r="Z68" s="489"/>
      <c r="AA68" s="489"/>
      <c r="AB68" s="489"/>
    </row>
    <row r="69" spans="1:28" ht="13.5" hidden="1" customHeight="1">
      <c r="A69" s="489"/>
      <c r="B69" s="685"/>
      <c r="C69" s="320"/>
      <c r="D69" s="320"/>
      <c r="E69" s="320"/>
      <c r="F69" s="320"/>
      <c r="G69" s="320"/>
      <c r="H69" s="320"/>
      <c r="I69" s="320"/>
      <c r="J69" s="320"/>
      <c r="K69" s="489"/>
      <c r="L69" s="489"/>
      <c r="M69" s="489"/>
      <c r="N69" s="489"/>
      <c r="O69" s="489"/>
      <c r="P69" s="489"/>
      <c r="Q69" s="489"/>
      <c r="R69" s="489"/>
      <c r="S69" s="489"/>
      <c r="T69" s="489"/>
      <c r="U69" s="489"/>
      <c r="V69" s="489"/>
      <c r="W69" s="489"/>
      <c r="X69" s="489"/>
      <c r="Y69" s="489"/>
      <c r="Z69" s="489"/>
      <c r="AA69" s="489"/>
      <c r="AB69" s="489"/>
    </row>
    <row r="70" spans="1:28" ht="12" hidden="1" customHeight="1">
      <c r="A70" s="489"/>
      <c r="B70" s="659"/>
      <c r="C70" s="270"/>
      <c r="D70" s="270"/>
      <c r="E70" s="270"/>
      <c r="F70" s="270"/>
      <c r="G70" s="270"/>
      <c r="H70" s="270"/>
      <c r="I70" s="270"/>
      <c r="J70" s="489"/>
      <c r="K70" s="489"/>
      <c r="L70" s="489"/>
      <c r="M70" s="489"/>
      <c r="N70" s="489"/>
      <c r="O70" s="489"/>
      <c r="P70" s="489"/>
      <c r="Q70" s="489"/>
      <c r="R70" s="489"/>
      <c r="S70" s="489"/>
      <c r="T70" s="489"/>
      <c r="U70" s="489"/>
      <c r="V70" s="489"/>
      <c r="W70" s="489"/>
      <c r="X70" s="489"/>
      <c r="Y70" s="489"/>
      <c r="Z70" s="489"/>
      <c r="AA70" s="489"/>
      <c r="AB70" s="489"/>
    </row>
    <row r="71" spans="1:28" ht="13.5" hidden="1" customHeight="1">
      <c r="A71" s="489"/>
      <c r="B71" s="1423" t="s">
        <v>673</v>
      </c>
      <c r="C71" s="1423"/>
      <c r="D71" s="1423"/>
      <c r="E71" s="1423"/>
      <c r="F71" s="270"/>
      <c r="G71" s="270"/>
      <c r="H71" s="270"/>
      <c r="I71" s="270"/>
      <c r="J71" s="489"/>
      <c r="K71" s="489"/>
      <c r="L71" s="489"/>
      <c r="M71" s="489"/>
      <c r="N71" s="489"/>
      <c r="O71" s="489"/>
      <c r="P71" s="489"/>
      <c r="Q71" s="489"/>
      <c r="R71" s="489"/>
      <c r="S71" s="489"/>
      <c r="T71" s="489"/>
      <c r="U71" s="489"/>
      <c r="V71" s="489"/>
      <c r="W71" s="489"/>
      <c r="X71" s="489"/>
      <c r="Y71" s="489"/>
      <c r="Z71" s="489"/>
      <c r="AA71" s="489"/>
      <c r="AB71" s="489"/>
    </row>
    <row r="72" spans="1:28" ht="12" hidden="1" customHeight="1">
      <c r="A72" s="489"/>
      <c r="B72" s="1400" t="s">
        <v>630</v>
      </c>
      <c r="C72" s="1399" t="s">
        <v>269</v>
      </c>
      <c r="D72" s="1399" t="s">
        <v>270</v>
      </c>
      <c r="E72" s="1399" t="s">
        <v>623</v>
      </c>
      <c r="F72" s="270"/>
      <c r="G72" s="270"/>
      <c r="H72" s="270"/>
      <c r="I72" s="270"/>
      <c r="J72" s="489"/>
      <c r="K72" s="489"/>
      <c r="L72" s="489"/>
      <c r="M72" s="489"/>
      <c r="N72" s="489"/>
      <c r="O72" s="489"/>
      <c r="P72" s="489"/>
      <c r="Q72" s="489"/>
      <c r="R72" s="489"/>
      <c r="S72" s="489"/>
      <c r="T72" s="489"/>
      <c r="U72" s="489"/>
      <c r="V72" s="489"/>
      <c r="W72" s="489"/>
      <c r="X72" s="489"/>
      <c r="Y72" s="489"/>
      <c r="Z72" s="489"/>
      <c r="AA72" s="489"/>
      <c r="AB72" s="489"/>
    </row>
    <row r="73" spans="1:28" ht="12" hidden="1" customHeight="1">
      <c r="A73" s="489"/>
      <c r="B73" s="1400"/>
      <c r="C73" s="1399"/>
      <c r="D73" s="1399"/>
      <c r="E73" s="1399"/>
      <c r="F73" s="270"/>
      <c r="G73" s="270"/>
      <c r="H73" s="270"/>
      <c r="I73" s="270"/>
      <c r="J73" s="489"/>
      <c r="K73" s="489"/>
      <c r="L73" s="489"/>
      <c r="M73" s="489"/>
      <c r="N73" s="489"/>
      <c r="O73" s="489"/>
      <c r="P73" s="489"/>
      <c r="Q73" s="489"/>
      <c r="R73" s="489"/>
      <c r="S73" s="489"/>
      <c r="T73" s="489"/>
      <c r="U73" s="489"/>
      <c r="V73" s="489"/>
      <c r="W73" s="489"/>
      <c r="X73" s="489"/>
      <c r="Y73" s="489"/>
      <c r="Z73" s="489"/>
      <c r="AA73" s="489"/>
      <c r="AB73" s="489"/>
    </row>
    <row r="74" spans="1:28" ht="12" hidden="1" customHeight="1">
      <c r="A74" s="489"/>
      <c r="B74" s="1400"/>
      <c r="C74" s="1399"/>
      <c r="D74" s="1399"/>
      <c r="E74" s="1399"/>
      <c r="F74" s="270"/>
      <c r="G74" s="270"/>
      <c r="H74" s="270"/>
      <c r="I74" s="270"/>
      <c r="J74" s="489"/>
      <c r="K74" s="489"/>
      <c r="L74" s="489"/>
      <c r="M74" s="489"/>
      <c r="N74" s="489"/>
      <c r="O74" s="489"/>
      <c r="P74" s="489"/>
      <c r="Q74" s="489"/>
      <c r="R74" s="489"/>
      <c r="S74" s="489"/>
      <c r="T74" s="489"/>
      <c r="U74" s="489"/>
      <c r="V74" s="489"/>
      <c r="W74" s="489"/>
      <c r="X74" s="489"/>
      <c r="Y74" s="489"/>
      <c r="Z74" s="489"/>
      <c r="AA74" s="489"/>
      <c r="AB74" s="489"/>
    </row>
    <row r="75" spans="1:28" ht="13.5" hidden="1" customHeight="1">
      <c r="A75" s="489"/>
      <c r="B75" s="685"/>
      <c r="C75" s="320"/>
      <c r="D75" s="320"/>
      <c r="E75" s="320"/>
      <c r="F75" s="270"/>
      <c r="G75" s="270"/>
      <c r="H75" s="270"/>
      <c r="I75" s="270"/>
      <c r="J75" s="489"/>
      <c r="K75" s="489"/>
      <c r="L75" s="489"/>
      <c r="M75" s="489"/>
      <c r="N75" s="489"/>
      <c r="O75" s="489"/>
      <c r="P75" s="489"/>
      <c r="Q75" s="489"/>
      <c r="R75" s="489"/>
      <c r="S75" s="489"/>
      <c r="T75" s="489"/>
      <c r="U75" s="489"/>
      <c r="V75" s="489"/>
      <c r="W75" s="489"/>
      <c r="X75" s="489"/>
      <c r="Y75" s="489"/>
      <c r="Z75" s="489"/>
      <c r="AA75" s="489"/>
      <c r="AB75" s="489"/>
    </row>
    <row r="76" spans="1:28" ht="13.5" hidden="1" customHeight="1">
      <c r="A76" s="489"/>
      <c r="B76" s="685"/>
      <c r="C76" s="320"/>
      <c r="D76" s="320"/>
      <c r="E76" s="320"/>
      <c r="F76" s="270"/>
      <c r="G76" s="270"/>
      <c r="H76" s="270"/>
      <c r="I76" s="270"/>
      <c r="J76" s="489"/>
      <c r="K76" s="489"/>
      <c r="L76" s="489"/>
      <c r="M76" s="489"/>
      <c r="N76" s="489"/>
      <c r="O76" s="489"/>
      <c r="P76" s="489"/>
      <c r="Q76" s="489"/>
      <c r="R76" s="489"/>
      <c r="S76" s="489"/>
      <c r="T76" s="489"/>
      <c r="U76" s="489"/>
      <c r="V76" s="489"/>
      <c r="W76" s="489"/>
      <c r="X76" s="489"/>
      <c r="Y76" s="489"/>
      <c r="Z76" s="489"/>
      <c r="AA76" s="489"/>
      <c r="AB76" s="489"/>
    </row>
    <row r="77" spans="1:28" ht="13.5" hidden="1" customHeight="1">
      <c r="A77" s="489"/>
      <c r="B77" s="685"/>
      <c r="C77" s="320"/>
      <c r="D77" s="320"/>
      <c r="E77" s="320"/>
      <c r="F77" s="270"/>
      <c r="G77" s="270"/>
      <c r="H77" s="270"/>
      <c r="I77" s="270"/>
      <c r="J77" s="489"/>
      <c r="K77" s="489"/>
      <c r="L77" s="489"/>
      <c r="M77" s="489"/>
      <c r="N77" s="489"/>
      <c r="O77" s="489"/>
      <c r="P77" s="489"/>
      <c r="Q77" s="489"/>
      <c r="R77" s="489"/>
      <c r="S77" s="489"/>
      <c r="T77" s="489"/>
      <c r="U77" s="489"/>
      <c r="V77" s="489"/>
      <c r="W77" s="489"/>
      <c r="X77" s="489"/>
      <c r="Y77" s="489"/>
      <c r="Z77" s="489"/>
      <c r="AA77" s="489"/>
      <c r="AB77" s="489"/>
    </row>
    <row r="78" spans="1:28" ht="13.5" hidden="1" customHeight="1">
      <c r="A78" s="489"/>
      <c r="B78" s="685"/>
      <c r="C78" s="320"/>
      <c r="D78" s="320"/>
      <c r="E78" s="320"/>
      <c r="F78" s="270"/>
      <c r="G78" s="270"/>
      <c r="H78" s="270"/>
      <c r="I78" s="270"/>
      <c r="J78" s="489"/>
      <c r="K78" s="489"/>
      <c r="L78" s="489"/>
      <c r="M78" s="489"/>
      <c r="N78" s="489"/>
      <c r="O78" s="489"/>
      <c r="P78" s="489"/>
      <c r="Q78" s="489"/>
      <c r="R78" s="489"/>
      <c r="S78" s="489"/>
      <c r="T78" s="489"/>
      <c r="U78" s="489"/>
      <c r="V78" s="489"/>
      <c r="W78" s="489"/>
      <c r="X78" s="489"/>
      <c r="Y78" s="489"/>
      <c r="Z78" s="489"/>
      <c r="AA78" s="489"/>
      <c r="AB78" s="489"/>
    </row>
    <row r="79" spans="1:28" ht="13.5" hidden="1" customHeight="1">
      <c r="A79" s="489"/>
      <c r="B79" s="685"/>
      <c r="C79" s="320"/>
      <c r="D79" s="320"/>
      <c r="E79" s="320"/>
      <c r="F79" s="270"/>
      <c r="G79" s="270"/>
      <c r="H79" s="270"/>
      <c r="I79" s="270"/>
      <c r="J79" s="489"/>
      <c r="K79" s="489"/>
      <c r="L79" s="489"/>
      <c r="M79" s="489"/>
      <c r="N79" s="489"/>
      <c r="O79" s="489"/>
      <c r="P79" s="489"/>
      <c r="Q79" s="489"/>
      <c r="R79" s="489"/>
      <c r="S79" s="489"/>
      <c r="T79" s="489"/>
      <c r="U79" s="489"/>
      <c r="V79" s="489"/>
      <c r="W79" s="489"/>
      <c r="X79" s="489"/>
      <c r="Y79" s="489"/>
      <c r="Z79" s="489"/>
      <c r="AA79" s="489"/>
      <c r="AB79" s="489"/>
    </row>
    <row r="80" spans="1:28" ht="14.1" hidden="1" customHeight="1">
      <c r="A80" s="489"/>
      <c r="B80" s="659"/>
      <c r="C80" s="270"/>
      <c r="D80" s="270"/>
      <c r="E80" s="270"/>
      <c r="F80" s="270"/>
      <c r="G80" s="270"/>
      <c r="H80" s="270"/>
      <c r="I80" s="270"/>
      <c r="J80" s="489"/>
      <c r="K80" s="489"/>
      <c r="L80" s="489"/>
      <c r="M80" s="489"/>
      <c r="N80" s="489"/>
      <c r="O80" s="489"/>
      <c r="P80" s="489"/>
      <c r="Q80" s="489"/>
      <c r="R80" s="489"/>
      <c r="S80" s="489"/>
      <c r="T80" s="489"/>
      <c r="U80" s="489"/>
      <c r="V80" s="489"/>
      <c r="W80" s="489"/>
      <c r="X80" s="489"/>
      <c r="Y80" s="489"/>
      <c r="Z80" s="489"/>
      <c r="AA80" s="489"/>
      <c r="AB80" s="489"/>
    </row>
    <row r="81" spans="1:28" ht="14.1" customHeight="1">
      <c r="A81" s="489"/>
      <c r="B81" s="1408" t="s">
        <v>641</v>
      </c>
      <c r="C81" s="1408"/>
      <c r="D81" s="1408"/>
      <c r="E81" s="1408"/>
      <c r="F81" s="1408"/>
      <c r="G81" s="1408"/>
      <c r="H81" s="1408"/>
      <c r="I81" s="1408"/>
      <c r="J81" s="1408"/>
      <c r="K81" s="489"/>
      <c r="L81" s="489"/>
      <c r="M81" s="489"/>
      <c r="N81" s="489"/>
      <c r="O81" s="489"/>
      <c r="P81" s="489"/>
      <c r="Q81" s="489"/>
      <c r="R81" s="489"/>
      <c r="S81" s="489"/>
      <c r="T81" s="489"/>
      <c r="U81" s="489"/>
      <c r="V81" s="489"/>
      <c r="W81" s="489"/>
      <c r="X81" s="489"/>
      <c r="Y81" s="489"/>
      <c r="Z81" s="489"/>
      <c r="AA81" s="489"/>
      <c r="AB81" s="489"/>
    </row>
    <row r="82" spans="1:28" ht="38.25">
      <c r="A82" s="489"/>
      <c r="B82" s="683" t="s">
        <v>22</v>
      </c>
      <c r="C82" s="683" t="s">
        <v>273</v>
      </c>
      <c r="D82" s="692" t="s">
        <v>653</v>
      </c>
      <c r="E82" s="683" t="s">
        <v>654</v>
      </c>
      <c r="F82" s="683" t="s">
        <v>274</v>
      </c>
      <c r="G82" s="683" t="s">
        <v>277</v>
      </c>
      <c r="H82" s="693" t="s">
        <v>275</v>
      </c>
      <c r="I82" s="693" t="s">
        <v>640</v>
      </c>
      <c r="J82" s="683" t="s">
        <v>400</v>
      </c>
      <c r="K82" s="489"/>
      <c r="L82" s="489"/>
      <c r="M82" s="489"/>
      <c r="N82" s="489"/>
      <c r="O82" s="489"/>
      <c r="P82" s="489"/>
      <c r="Q82" s="489"/>
      <c r="R82" s="489"/>
      <c r="S82" s="489"/>
      <c r="T82" s="489"/>
      <c r="U82" s="489"/>
      <c r="V82" s="489"/>
      <c r="W82" s="489"/>
      <c r="X82" s="489"/>
      <c r="Y82" s="489"/>
      <c r="Z82" s="489"/>
      <c r="AA82" s="489"/>
      <c r="AB82" s="489"/>
    </row>
    <row r="83" spans="1:28" ht="14.1" customHeight="1">
      <c r="A83" s="489"/>
      <c r="B83" s="685"/>
      <c r="C83" s="320"/>
      <c r="D83" s="320"/>
      <c r="E83" s="320"/>
      <c r="F83" s="320"/>
      <c r="G83" s="320"/>
      <c r="H83" s="694"/>
      <c r="I83" s="694"/>
      <c r="J83" s="320"/>
      <c r="K83" s="489"/>
      <c r="L83" s="489"/>
      <c r="M83" s="489"/>
      <c r="N83" s="489"/>
      <c r="O83" s="489"/>
      <c r="P83" s="489"/>
      <c r="Q83" s="489"/>
      <c r="R83" s="489"/>
      <c r="S83" s="489"/>
      <c r="T83" s="489"/>
      <c r="U83" s="489"/>
      <c r="V83" s="489"/>
      <c r="W83" s="489"/>
      <c r="X83" s="489"/>
      <c r="Y83" s="489"/>
      <c r="Z83" s="489"/>
      <c r="AA83" s="489"/>
      <c r="AB83" s="489"/>
    </row>
    <row r="84" spans="1:28" ht="14.1" customHeight="1">
      <c r="A84" s="489"/>
      <c r="B84" s="685"/>
      <c r="C84" s="320"/>
      <c r="D84" s="320"/>
      <c r="E84" s="320"/>
      <c r="F84" s="320"/>
      <c r="G84" s="320"/>
      <c r="H84" s="694"/>
      <c r="I84" s="694"/>
      <c r="J84" s="320"/>
      <c r="K84" s="489"/>
      <c r="L84" s="489"/>
      <c r="M84" s="489"/>
      <c r="N84" s="489"/>
      <c r="O84" s="489"/>
      <c r="P84" s="489"/>
      <c r="Q84" s="489"/>
      <c r="R84" s="489"/>
      <c r="S84" s="489"/>
      <c r="T84" s="489"/>
      <c r="U84" s="489"/>
      <c r="V84" s="489"/>
      <c r="W84" s="489"/>
      <c r="X84" s="489"/>
      <c r="Y84" s="489"/>
      <c r="Z84" s="489"/>
      <c r="AA84" s="489"/>
      <c r="AB84" s="489"/>
    </row>
    <row r="85" spans="1:28" ht="14.1" customHeight="1">
      <c r="A85" s="489"/>
      <c r="B85" s="695"/>
      <c r="C85" s="320"/>
      <c r="D85" s="320"/>
      <c r="E85" s="320"/>
      <c r="F85" s="320"/>
      <c r="G85" s="320"/>
      <c r="H85" s="694"/>
      <c r="I85" s="694"/>
      <c r="J85" s="320"/>
      <c r="K85" s="489"/>
      <c r="L85" s="489"/>
      <c r="M85" s="489"/>
      <c r="N85" s="489"/>
      <c r="O85" s="489"/>
      <c r="P85" s="489"/>
      <c r="Q85" s="489"/>
      <c r="R85" s="489"/>
      <c r="S85" s="489"/>
      <c r="T85" s="489"/>
      <c r="U85" s="489"/>
      <c r="V85" s="489"/>
      <c r="W85" s="489"/>
      <c r="X85" s="489"/>
      <c r="Y85" s="489"/>
      <c r="Z85" s="489"/>
      <c r="AA85" s="489"/>
      <c r="AB85" s="489"/>
    </row>
    <row r="86" spans="1:28" ht="14.1" customHeight="1">
      <c r="A86" s="489"/>
      <c r="B86" s="695"/>
      <c r="C86" s="320"/>
      <c r="D86" s="320"/>
      <c r="E86" s="320"/>
      <c r="F86" s="320"/>
      <c r="G86" s="320"/>
      <c r="H86" s="694"/>
      <c r="I86" s="694"/>
      <c r="J86" s="320"/>
      <c r="K86" s="489"/>
      <c r="L86" s="489"/>
      <c r="M86" s="489"/>
      <c r="N86" s="489"/>
      <c r="O86" s="489"/>
      <c r="P86" s="489"/>
      <c r="Q86" s="489"/>
      <c r="R86" s="489"/>
      <c r="S86" s="489"/>
      <c r="T86" s="489"/>
      <c r="U86" s="489"/>
      <c r="V86" s="489"/>
      <c r="W86" s="489"/>
      <c r="X86" s="489"/>
      <c r="Y86" s="489"/>
      <c r="Z86" s="489"/>
      <c r="AA86" s="489"/>
      <c r="AB86" s="489"/>
    </row>
    <row r="87" spans="1:28" ht="14.1" customHeight="1">
      <c r="A87" s="489"/>
      <c r="B87" s="695"/>
      <c r="C87" s="320"/>
      <c r="D87" s="320"/>
      <c r="E87" s="320"/>
      <c r="F87" s="320"/>
      <c r="G87" s="320"/>
      <c r="H87" s="694"/>
      <c r="I87" s="694"/>
      <c r="J87" s="320"/>
      <c r="K87" s="489"/>
      <c r="L87" s="489"/>
      <c r="M87" s="489"/>
      <c r="N87" s="489"/>
      <c r="O87" s="489"/>
      <c r="P87" s="489"/>
      <c r="Q87" s="489"/>
      <c r="R87" s="489"/>
      <c r="S87" s="489"/>
      <c r="T87" s="489"/>
      <c r="U87" s="489"/>
      <c r="V87" s="489"/>
      <c r="W87" s="489"/>
      <c r="X87" s="489"/>
      <c r="Y87" s="489"/>
      <c r="Z87" s="489"/>
      <c r="AA87" s="489"/>
      <c r="AB87" s="489"/>
    </row>
    <row r="88" spans="1:28" ht="14.1" customHeight="1">
      <c r="A88" s="489"/>
      <c r="B88" s="695"/>
      <c r="C88" s="320"/>
      <c r="D88" s="320"/>
      <c r="E88" s="320"/>
      <c r="F88" s="320"/>
      <c r="G88" s="320"/>
      <c r="H88" s="694"/>
      <c r="I88" s="694"/>
      <c r="J88" s="320"/>
      <c r="K88" s="489"/>
      <c r="L88" s="489"/>
      <c r="M88" s="489"/>
      <c r="N88" s="489"/>
      <c r="O88" s="489"/>
      <c r="P88" s="489"/>
      <c r="Q88" s="489"/>
      <c r="R88" s="489"/>
      <c r="S88" s="489"/>
      <c r="T88" s="489"/>
      <c r="U88" s="489"/>
      <c r="V88" s="489"/>
      <c r="W88" s="489"/>
      <c r="X88" s="489"/>
      <c r="Y88" s="489"/>
      <c r="Z88" s="489"/>
      <c r="AA88" s="489"/>
      <c r="AB88" s="489"/>
    </row>
    <row r="89" spans="1:28" ht="14.1" customHeight="1">
      <c r="A89" s="489"/>
      <c r="B89" s="695"/>
      <c r="C89" s="320"/>
      <c r="D89" s="320"/>
      <c r="E89" s="320"/>
      <c r="F89" s="320"/>
      <c r="G89" s="320"/>
      <c r="H89" s="694"/>
      <c r="I89" s="694"/>
      <c r="J89" s="320"/>
      <c r="K89" s="489"/>
      <c r="L89" s="489"/>
      <c r="M89" s="489"/>
      <c r="N89" s="489"/>
      <c r="O89" s="489"/>
      <c r="P89" s="489"/>
      <c r="Q89" s="489"/>
      <c r="R89" s="489"/>
      <c r="S89" s="489"/>
      <c r="T89" s="489"/>
      <c r="U89" s="489"/>
      <c r="V89" s="489"/>
      <c r="W89" s="489"/>
      <c r="X89" s="489"/>
      <c r="Y89" s="489"/>
      <c r="Z89" s="489"/>
      <c r="AA89" s="489"/>
      <c r="AB89" s="489"/>
    </row>
    <row r="90" spans="1:28" ht="14.1" customHeight="1">
      <c r="A90" s="489"/>
      <c r="B90" s="695"/>
      <c r="C90" s="320"/>
      <c r="D90" s="320"/>
      <c r="E90" s="320"/>
      <c r="F90" s="320"/>
      <c r="G90" s="320"/>
      <c r="H90" s="694"/>
      <c r="I90" s="694"/>
      <c r="J90" s="320"/>
      <c r="K90" s="489"/>
      <c r="L90" s="489"/>
      <c r="M90" s="489"/>
      <c r="N90" s="489"/>
      <c r="O90" s="489"/>
      <c r="P90" s="489"/>
      <c r="Q90" s="489"/>
      <c r="R90" s="489"/>
      <c r="S90" s="489"/>
      <c r="T90" s="489"/>
      <c r="U90" s="489"/>
      <c r="V90" s="489"/>
      <c r="W90" s="489"/>
      <c r="X90" s="489"/>
      <c r="Y90" s="489"/>
      <c r="Z90" s="489"/>
      <c r="AA90" s="489"/>
      <c r="AB90" s="489"/>
    </row>
    <row r="91" spans="1:28" ht="14.1" customHeight="1">
      <c r="A91" s="489"/>
      <c r="B91" s="695"/>
      <c r="C91" s="320"/>
      <c r="D91" s="320"/>
      <c r="E91" s="320"/>
      <c r="F91" s="320"/>
      <c r="G91" s="320"/>
      <c r="H91" s="694"/>
      <c r="I91" s="694"/>
      <c r="J91" s="320"/>
      <c r="K91" s="489"/>
      <c r="L91" s="489"/>
      <c r="M91" s="489"/>
      <c r="N91" s="489"/>
      <c r="O91" s="489"/>
      <c r="P91" s="489"/>
      <c r="Q91" s="489"/>
      <c r="R91" s="489"/>
      <c r="S91" s="489"/>
      <c r="T91" s="489"/>
      <c r="U91" s="489"/>
      <c r="V91" s="489"/>
      <c r="W91" s="489"/>
      <c r="X91" s="489"/>
      <c r="Y91" s="489"/>
      <c r="Z91" s="489"/>
      <c r="AA91" s="489"/>
      <c r="AB91" s="489"/>
    </row>
    <row r="92" spans="1:28" ht="14.1" customHeight="1">
      <c r="A92" s="489"/>
      <c r="B92" s="695"/>
      <c r="C92" s="320"/>
      <c r="D92" s="320"/>
      <c r="E92" s="320"/>
      <c r="F92" s="320"/>
      <c r="G92" s="320"/>
      <c r="H92" s="694"/>
      <c r="I92" s="694"/>
      <c r="J92" s="320"/>
      <c r="K92" s="489"/>
      <c r="L92" s="489"/>
      <c r="M92" s="489"/>
      <c r="N92" s="489"/>
      <c r="O92" s="489"/>
      <c r="P92" s="489"/>
      <c r="Q92" s="489"/>
      <c r="R92" s="489"/>
      <c r="S92" s="489"/>
      <c r="T92" s="489"/>
      <c r="U92" s="489"/>
      <c r="V92" s="489"/>
      <c r="W92" s="489"/>
      <c r="X92" s="489"/>
      <c r="Y92" s="489"/>
      <c r="Z92" s="489"/>
      <c r="AA92" s="489"/>
      <c r="AB92" s="489"/>
    </row>
    <row r="93" spans="1:28" ht="14.1" customHeight="1">
      <c r="A93" s="489"/>
      <c r="B93" s="695"/>
      <c r="C93" s="320"/>
      <c r="D93" s="320"/>
      <c r="E93" s="320"/>
      <c r="F93" s="320"/>
      <c r="G93" s="320"/>
      <c r="H93" s="694"/>
      <c r="I93" s="694"/>
      <c r="J93" s="320"/>
      <c r="K93" s="489"/>
      <c r="L93" s="489"/>
      <c r="M93" s="489"/>
      <c r="N93" s="489"/>
      <c r="O93" s="489"/>
      <c r="P93" s="489"/>
      <c r="Q93" s="489"/>
      <c r="R93" s="489"/>
      <c r="S93" s="489"/>
      <c r="T93" s="489"/>
      <c r="U93" s="489"/>
      <c r="V93" s="489"/>
      <c r="W93" s="489"/>
      <c r="X93" s="489"/>
      <c r="Y93" s="489"/>
      <c r="Z93" s="489"/>
      <c r="AA93" s="489"/>
      <c r="AB93" s="489"/>
    </row>
    <row r="94" spans="1:28" ht="14.1" customHeight="1">
      <c r="A94" s="489"/>
      <c r="B94" s="695"/>
      <c r="C94" s="320"/>
      <c r="D94" s="320"/>
      <c r="E94" s="320"/>
      <c r="F94" s="320"/>
      <c r="G94" s="320"/>
      <c r="H94" s="694"/>
      <c r="I94" s="694"/>
      <c r="J94" s="320"/>
      <c r="K94" s="489"/>
      <c r="L94" s="489"/>
      <c r="M94" s="489"/>
      <c r="N94" s="489"/>
      <c r="O94" s="489"/>
      <c r="P94" s="489"/>
      <c r="Q94" s="489"/>
      <c r="R94" s="489"/>
      <c r="S94" s="489"/>
      <c r="T94" s="489"/>
      <c r="U94" s="489"/>
      <c r="V94" s="489"/>
      <c r="W94" s="489"/>
      <c r="X94" s="489"/>
      <c r="Y94" s="489"/>
      <c r="Z94" s="489"/>
      <c r="AA94" s="489"/>
      <c r="AB94" s="489"/>
    </row>
    <row r="95" spans="1:28" ht="14.1" customHeight="1">
      <c r="A95" s="489"/>
      <c r="B95" s="695"/>
      <c r="C95" s="320"/>
      <c r="D95" s="320"/>
      <c r="E95" s="320"/>
      <c r="F95" s="320"/>
      <c r="G95" s="320"/>
      <c r="H95" s="694"/>
      <c r="I95" s="694"/>
      <c r="J95" s="320"/>
      <c r="K95" s="489"/>
      <c r="L95" s="489"/>
      <c r="M95" s="489"/>
      <c r="N95" s="489"/>
      <c r="O95" s="489"/>
      <c r="P95" s="489"/>
      <c r="Q95" s="489"/>
      <c r="R95" s="489"/>
      <c r="S95" s="489"/>
      <c r="T95" s="489"/>
      <c r="U95" s="489"/>
      <c r="V95" s="489"/>
      <c r="W95" s="489"/>
      <c r="X95" s="489"/>
      <c r="Y95" s="489"/>
      <c r="Z95" s="489"/>
      <c r="AA95" s="489"/>
      <c r="AB95" s="489"/>
    </row>
    <row r="96" spans="1:28" ht="14.1" customHeight="1">
      <c r="A96" s="489"/>
      <c r="B96" s="695"/>
      <c r="C96" s="320"/>
      <c r="D96" s="320"/>
      <c r="E96" s="320"/>
      <c r="F96" s="320"/>
      <c r="G96" s="320"/>
      <c r="H96" s="694"/>
      <c r="I96" s="694"/>
      <c r="J96" s="320"/>
      <c r="K96" s="489"/>
      <c r="L96" s="489"/>
      <c r="M96" s="489"/>
      <c r="N96" s="489"/>
      <c r="O96" s="489"/>
      <c r="P96" s="489"/>
      <c r="Q96" s="489"/>
      <c r="R96" s="489"/>
      <c r="S96" s="489"/>
      <c r="T96" s="489"/>
      <c r="U96" s="489"/>
      <c r="V96" s="489"/>
      <c r="W96" s="489"/>
      <c r="X96" s="489"/>
      <c r="Y96" s="489"/>
      <c r="Z96" s="489"/>
      <c r="AA96" s="489"/>
      <c r="AB96" s="489"/>
    </row>
    <row r="97" spans="1:28" ht="14.1" customHeight="1">
      <c r="A97" s="489"/>
      <c r="B97" s="695"/>
      <c r="C97" s="320"/>
      <c r="D97" s="320"/>
      <c r="E97" s="320"/>
      <c r="F97" s="320"/>
      <c r="G97" s="320"/>
      <c r="H97" s="694"/>
      <c r="I97" s="694"/>
      <c r="J97" s="320"/>
      <c r="K97" s="489"/>
      <c r="L97" s="489"/>
      <c r="M97" s="489"/>
      <c r="N97" s="489"/>
      <c r="O97" s="489"/>
      <c r="P97" s="489"/>
      <c r="Q97" s="489"/>
      <c r="R97" s="489"/>
      <c r="S97" s="489"/>
      <c r="T97" s="489"/>
      <c r="U97" s="489"/>
      <c r="V97" s="489"/>
      <c r="W97" s="489"/>
      <c r="X97" s="489"/>
      <c r="Y97" s="489"/>
      <c r="Z97" s="489"/>
      <c r="AA97" s="489"/>
      <c r="AB97" s="489"/>
    </row>
    <row r="98" spans="1:28" ht="14.1" customHeight="1">
      <c r="A98" s="489"/>
      <c r="B98" s="695"/>
      <c r="C98" s="320"/>
      <c r="D98" s="320"/>
      <c r="E98" s="320"/>
      <c r="F98" s="320"/>
      <c r="G98" s="320"/>
      <c r="H98" s="694"/>
      <c r="I98" s="694"/>
      <c r="J98" s="320"/>
      <c r="K98" s="489"/>
      <c r="L98" s="489"/>
      <c r="M98" s="489"/>
      <c r="N98" s="489"/>
      <c r="O98" s="489"/>
      <c r="P98" s="489"/>
      <c r="Q98" s="489"/>
      <c r="R98" s="489"/>
      <c r="S98" s="489"/>
      <c r="T98" s="489"/>
      <c r="U98" s="489"/>
      <c r="V98" s="489"/>
      <c r="W98" s="489"/>
      <c r="X98" s="489"/>
      <c r="Y98" s="489"/>
      <c r="Z98" s="489"/>
      <c r="AA98" s="489"/>
      <c r="AB98" s="489"/>
    </row>
    <row r="99" spans="1:28" ht="14.25">
      <c r="A99" s="489"/>
      <c r="B99" s="695"/>
      <c r="C99" s="320"/>
      <c r="D99" s="320"/>
      <c r="E99" s="320"/>
      <c r="F99" s="320"/>
      <c r="G99" s="320"/>
      <c r="H99" s="694"/>
      <c r="I99" s="694"/>
      <c r="J99" s="320"/>
      <c r="K99" s="489"/>
      <c r="L99" s="489"/>
      <c r="M99" s="489"/>
      <c r="N99" s="489"/>
      <c r="O99" s="489"/>
      <c r="P99" s="489"/>
      <c r="Q99" s="489"/>
      <c r="R99" s="489"/>
      <c r="S99" s="489"/>
      <c r="T99" s="489"/>
      <c r="U99" s="489"/>
      <c r="V99" s="489"/>
      <c r="W99" s="489"/>
      <c r="X99" s="489"/>
      <c r="Y99" s="489"/>
      <c r="Z99" s="489"/>
      <c r="AA99" s="489"/>
      <c r="AB99" s="489"/>
    </row>
    <row r="100" spans="1:28" ht="14.25">
      <c r="A100" s="489"/>
      <c r="B100" s="695"/>
      <c r="C100" s="320"/>
      <c r="D100" s="320"/>
      <c r="E100" s="320"/>
      <c r="F100" s="320"/>
      <c r="G100" s="320"/>
      <c r="H100" s="694"/>
      <c r="I100" s="694"/>
      <c r="J100" s="320"/>
      <c r="K100" s="489"/>
      <c r="L100" s="489"/>
      <c r="M100" s="489"/>
      <c r="N100" s="489"/>
      <c r="O100" s="489"/>
      <c r="P100" s="489"/>
      <c r="Q100" s="489"/>
      <c r="R100" s="489"/>
      <c r="S100" s="489"/>
      <c r="T100" s="489"/>
      <c r="U100" s="489"/>
      <c r="V100" s="489"/>
      <c r="W100" s="489"/>
      <c r="X100" s="489"/>
      <c r="Y100" s="489"/>
      <c r="Z100" s="489"/>
      <c r="AA100" s="489"/>
      <c r="AB100" s="489"/>
    </row>
    <row r="101" spans="1:28" ht="14.25">
      <c r="A101" s="489"/>
      <c r="B101" s="695"/>
      <c r="C101" s="320"/>
      <c r="D101" s="320"/>
      <c r="E101" s="320"/>
      <c r="F101" s="320"/>
      <c r="G101" s="320"/>
      <c r="H101" s="694"/>
      <c r="I101" s="694"/>
      <c r="J101" s="320"/>
      <c r="K101" s="489"/>
      <c r="L101" s="489"/>
      <c r="M101" s="489"/>
      <c r="N101" s="489"/>
      <c r="O101" s="489"/>
      <c r="P101" s="489"/>
      <c r="Q101" s="489"/>
      <c r="R101" s="489"/>
      <c r="S101" s="489"/>
      <c r="T101" s="489"/>
      <c r="U101" s="489"/>
      <c r="V101" s="489"/>
      <c r="W101" s="489"/>
      <c r="X101" s="489"/>
      <c r="Y101" s="489"/>
      <c r="Z101" s="489"/>
      <c r="AA101" s="489"/>
      <c r="AB101" s="489"/>
    </row>
    <row r="102" spans="1:28" ht="14.25">
      <c r="A102" s="489"/>
      <c r="B102" s="695"/>
      <c r="C102" s="320"/>
      <c r="D102" s="320"/>
      <c r="E102" s="320"/>
      <c r="F102" s="320"/>
      <c r="G102" s="320"/>
      <c r="H102" s="694"/>
      <c r="I102" s="694"/>
      <c r="J102" s="320"/>
      <c r="K102" s="489"/>
      <c r="L102" s="489"/>
      <c r="M102" s="489"/>
      <c r="N102" s="489"/>
      <c r="O102" s="489"/>
      <c r="P102" s="489"/>
      <c r="Q102" s="489"/>
      <c r="R102" s="489"/>
      <c r="S102" s="489"/>
      <c r="T102" s="489"/>
      <c r="U102" s="489"/>
      <c r="V102" s="489"/>
      <c r="W102" s="489"/>
      <c r="X102" s="489"/>
      <c r="Y102" s="489"/>
      <c r="Z102" s="489"/>
      <c r="AA102" s="489"/>
      <c r="AB102" s="489"/>
    </row>
    <row r="103" spans="1:28" ht="14.25">
      <c r="A103" s="489"/>
      <c r="B103" s="695"/>
      <c r="C103" s="320"/>
      <c r="D103" s="320"/>
      <c r="E103" s="320"/>
      <c r="F103" s="320"/>
      <c r="G103" s="320"/>
      <c r="H103" s="694"/>
      <c r="I103" s="694"/>
      <c r="J103" s="320"/>
      <c r="K103" s="489"/>
      <c r="L103" s="489"/>
      <c r="M103" s="489"/>
      <c r="N103" s="489"/>
      <c r="O103" s="489"/>
      <c r="P103" s="489"/>
      <c r="Q103" s="489"/>
      <c r="R103" s="489"/>
      <c r="S103" s="489"/>
      <c r="T103" s="489"/>
      <c r="U103" s="489"/>
      <c r="V103" s="489"/>
      <c r="W103" s="489"/>
      <c r="X103" s="489"/>
      <c r="Y103" s="489"/>
      <c r="Z103" s="489"/>
      <c r="AA103" s="489"/>
      <c r="AB103" s="489"/>
    </row>
    <row r="104" spans="1:28" ht="14.25">
      <c r="A104" s="489"/>
      <c r="B104" s="695"/>
      <c r="C104" s="320"/>
      <c r="D104" s="320"/>
      <c r="E104" s="320"/>
      <c r="F104" s="320"/>
      <c r="G104" s="320"/>
      <c r="H104" s="694"/>
      <c r="I104" s="694"/>
      <c r="J104" s="320"/>
      <c r="K104" s="489"/>
      <c r="L104" s="489"/>
      <c r="M104" s="489"/>
      <c r="N104" s="489"/>
      <c r="O104" s="489"/>
      <c r="P104" s="489"/>
      <c r="Q104" s="489"/>
      <c r="R104" s="489"/>
      <c r="S104" s="489"/>
      <c r="T104" s="489"/>
      <c r="U104" s="489"/>
      <c r="V104" s="489"/>
      <c r="W104" s="489"/>
      <c r="X104" s="489"/>
      <c r="Y104" s="489"/>
      <c r="Z104" s="489"/>
      <c r="AA104" s="489"/>
      <c r="AB104" s="489"/>
    </row>
    <row r="105" spans="1:28" ht="14.25">
      <c r="A105" s="489"/>
      <c r="B105" s="695"/>
      <c r="C105" s="320"/>
      <c r="D105" s="320"/>
      <c r="E105" s="320"/>
      <c r="F105" s="320"/>
      <c r="G105" s="320"/>
      <c r="H105" s="694"/>
      <c r="I105" s="694"/>
      <c r="J105" s="320"/>
      <c r="K105" s="489"/>
      <c r="L105" s="489"/>
      <c r="M105" s="489"/>
      <c r="N105" s="489"/>
      <c r="O105" s="489"/>
      <c r="P105" s="489"/>
      <c r="Q105" s="489"/>
      <c r="R105" s="489"/>
      <c r="S105" s="489"/>
      <c r="T105" s="489"/>
      <c r="U105" s="489"/>
      <c r="V105" s="489"/>
      <c r="W105" s="489"/>
      <c r="X105" s="489"/>
      <c r="Y105" s="489"/>
      <c r="Z105" s="489"/>
      <c r="AA105" s="489"/>
      <c r="AB105" s="489"/>
    </row>
    <row r="106" spans="1:28" ht="14.25">
      <c r="A106" s="489"/>
      <c r="B106" s="695"/>
      <c r="C106" s="320"/>
      <c r="D106" s="320"/>
      <c r="E106" s="320"/>
      <c r="F106" s="320"/>
      <c r="G106" s="320"/>
      <c r="H106" s="694"/>
      <c r="I106" s="694"/>
      <c r="J106" s="320"/>
      <c r="K106" s="489"/>
      <c r="L106" s="489"/>
      <c r="M106" s="489"/>
      <c r="N106" s="489"/>
      <c r="O106" s="489"/>
      <c r="P106" s="489"/>
      <c r="Q106" s="489"/>
      <c r="R106" s="489"/>
      <c r="S106" s="489"/>
      <c r="T106" s="489"/>
      <c r="U106" s="489"/>
      <c r="V106" s="489"/>
      <c r="W106" s="489"/>
      <c r="X106" s="489"/>
      <c r="Y106" s="489"/>
      <c r="Z106" s="489"/>
      <c r="AA106" s="489"/>
      <c r="AB106" s="489"/>
    </row>
    <row r="107" spans="1:28" ht="12.75">
      <c r="A107" s="489"/>
      <c r="B107" s="696" t="s">
        <v>655</v>
      </c>
      <c r="C107" s="489"/>
      <c r="D107" s="489"/>
      <c r="E107" s="489"/>
      <c r="F107" s="489"/>
      <c r="G107" s="489"/>
      <c r="H107" s="489"/>
      <c r="I107" s="489"/>
      <c r="J107" s="489"/>
      <c r="K107" s="489"/>
      <c r="L107" s="489"/>
      <c r="M107" s="489"/>
      <c r="N107" s="489"/>
      <c r="O107" s="489"/>
      <c r="P107" s="489"/>
      <c r="Q107" s="489"/>
      <c r="R107" s="489"/>
      <c r="S107" s="489"/>
      <c r="T107" s="489"/>
      <c r="U107" s="489"/>
      <c r="V107" s="489"/>
      <c r="W107" s="489"/>
      <c r="X107" s="489"/>
      <c r="Y107" s="489"/>
      <c r="Z107" s="489"/>
      <c r="AA107" s="489"/>
      <c r="AB107" s="489"/>
    </row>
    <row r="108" spans="1:28" ht="12.75">
      <c r="A108" s="489"/>
      <c r="B108" s="696" t="s">
        <v>656</v>
      </c>
      <c r="C108" s="489"/>
      <c r="D108" s="489"/>
      <c r="E108" s="489"/>
      <c r="F108" s="489"/>
      <c r="G108" s="489"/>
      <c r="H108" s="489"/>
      <c r="I108" s="489"/>
      <c r="J108" s="489"/>
      <c r="K108" s="489"/>
      <c r="L108" s="489"/>
      <c r="M108" s="489"/>
      <c r="N108" s="489"/>
      <c r="O108" s="489"/>
      <c r="P108" s="489"/>
      <c r="Q108" s="489"/>
      <c r="R108" s="489"/>
      <c r="S108" s="489"/>
      <c r="T108" s="489"/>
      <c r="U108" s="489"/>
      <c r="V108" s="489"/>
      <c r="W108" s="489"/>
      <c r="X108" s="489"/>
      <c r="Y108" s="489"/>
      <c r="Z108" s="489"/>
      <c r="AA108" s="489"/>
      <c r="AB108" s="489"/>
    </row>
    <row r="109" spans="1:28" ht="12.75">
      <c r="A109" s="489"/>
      <c r="B109" s="696"/>
      <c r="C109" s="489"/>
      <c r="D109" s="489"/>
      <c r="E109" s="489"/>
      <c r="F109" s="489"/>
      <c r="G109" s="489"/>
      <c r="H109" s="489"/>
      <c r="I109" s="489"/>
      <c r="J109" s="489"/>
      <c r="K109" s="489"/>
      <c r="L109" s="489"/>
      <c r="M109" s="489"/>
      <c r="N109" s="489"/>
      <c r="O109" s="489"/>
      <c r="P109" s="489"/>
      <c r="Q109" s="489"/>
      <c r="R109" s="489"/>
      <c r="S109" s="489"/>
      <c r="T109" s="489"/>
      <c r="U109" s="489"/>
      <c r="V109" s="489"/>
      <c r="W109" s="489"/>
      <c r="X109" s="489"/>
      <c r="Y109" s="489"/>
      <c r="Z109" s="489"/>
      <c r="AA109" s="489"/>
      <c r="AB109" s="489"/>
    </row>
    <row r="110" spans="1:28" ht="15">
      <c r="A110" s="489"/>
      <c r="B110" s="1424" t="s">
        <v>642</v>
      </c>
      <c r="C110" s="1424"/>
      <c r="D110" s="1424"/>
      <c r="E110" s="1424"/>
      <c r="F110" s="1424"/>
      <c r="G110" s="489"/>
      <c r="H110" s="489"/>
      <c r="I110" s="489"/>
      <c r="J110" s="489"/>
      <c r="K110" s="489"/>
      <c r="L110" s="489"/>
      <c r="M110" s="489"/>
      <c r="N110" s="489"/>
      <c r="O110" s="489"/>
      <c r="P110" s="489"/>
      <c r="Q110" s="489"/>
      <c r="R110" s="489"/>
      <c r="S110" s="489"/>
      <c r="T110" s="489"/>
      <c r="U110" s="489"/>
      <c r="V110" s="489"/>
      <c r="W110" s="489"/>
      <c r="X110" s="489"/>
      <c r="Y110" s="489"/>
      <c r="Z110" s="489"/>
      <c r="AA110" s="489"/>
      <c r="AB110" s="489"/>
    </row>
    <row r="111" spans="1:28" ht="25.5">
      <c r="A111" s="489"/>
      <c r="B111" s="683" t="s">
        <v>22</v>
      </c>
      <c r="C111" s="683" t="s">
        <v>273</v>
      </c>
      <c r="D111" s="692" t="s">
        <v>653</v>
      </c>
      <c r="E111" s="683" t="s">
        <v>657</v>
      </c>
      <c r="F111" s="683" t="s">
        <v>640</v>
      </c>
      <c r="G111" s="489"/>
      <c r="H111" s="489"/>
      <c r="I111" s="489"/>
      <c r="J111" s="489"/>
      <c r="K111" s="489"/>
      <c r="L111" s="489"/>
      <c r="M111" s="489"/>
      <c r="N111" s="489"/>
      <c r="O111" s="489"/>
      <c r="P111" s="489"/>
      <c r="Q111" s="489"/>
      <c r="R111" s="489"/>
      <c r="S111" s="489"/>
      <c r="T111" s="489"/>
      <c r="U111" s="489"/>
      <c r="V111" s="489"/>
      <c r="W111" s="489"/>
      <c r="X111" s="489"/>
      <c r="Y111" s="489"/>
      <c r="Z111" s="489"/>
      <c r="AA111" s="489"/>
      <c r="AB111" s="489"/>
    </row>
    <row r="112" spans="1:28" ht="12.75">
      <c r="A112" s="489"/>
      <c r="B112" s="697"/>
      <c r="C112" s="320"/>
      <c r="D112" s="320"/>
      <c r="E112" s="320"/>
      <c r="F112" s="320"/>
      <c r="G112" s="489"/>
      <c r="H112" s="489"/>
      <c r="I112" s="489"/>
      <c r="J112" s="489"/>
      <c r="K112" s="489"/>
      <c r="L112" s="489"/>
      <c r="M112" s="489"/>
      <c r="N112" s="489"/>
      <c r="O112" s="489"/>
      <c r="P112" s="489"/>
      <c r="Q112" s="489"/>
      <c r="R112" s="489"/>
      <c r="S112" s="489"/>
      <c r="T112" s="489"/>
      <c r="U112" s="489"/>
      <c r="V112" s="489"/>
      <c r="W112" s="489"/>
      <c r="X112" s="489"/>
      <c r="Y112" s="489"/>
      <c r="Z112" s="489"/>
      <c r="AA112" s="489"/>
      <c r="AB112" s="489"/>
    </row>
    <row r="113" spans="1:28" ht="12.75">
      <c r="A113" s="489"/>
      <c r="B113" s="697"/>
      <c r="C113" s="320"/>
      <c r="D113" s="320"/>
      <c r="E113" s="320"/>
      <c r="F113" s="320"/>
      <c r="G113" s="489"/>
      <c r="H113" s="489"/>
      <c r="I113" s="489"/>
      <c r="J113" s="489"/>
      <c r="K113" s="489"/>
      <c r="L113" s="489"/>
      <c r="M113" s="489"/>
      <c r="N113" s="489"/>
      <c r="O113" s="489"/>
      <c r="P113" s="489"/>
      <c r="Q113" s="489"/>
      <c r="R113" s="489"/>
      <c r="S113" s="489"/>
      <c r="T113" s="489"/>
      <c r="U113" s="489"/>
      <c r="V113" s="489"/>
      <c r="W113" s="489"/>
      <c r="X113" s="489"/>
      <c r="Y113" s="489"/>
      <c r="Z113" s="489"/>
      <c r="AA113" s="489"/>
      <c r="AB113" s="489"/>
    </row>
    <row r="114" spans="1:28" ht="12.75">
      <c r="A114" s="489"/>
      <c r="B114" s="697"/>
      <c r="C114" s="320"/>
      <c r="D114" s="320"/>
      <c r="E114" s="320"/>
      <c r="F114" s="320"/>
      <c r="G114" s="489"/>
      <c r="H114" s="489"/>
      <c r="I114" s="489"/>
      <c r="J114" s="489"/>
      <c r="K114" s="489"/>
      <c r="L114" s="489"/>
      <c r="M114" s="489"/>
      <c r="N114" s="489"/>
      <c r="O114" s="489"/>
      <c r="P114" s="489"/>
      <c r="Q114" s="489"/>
      <c r="R114" s="489"/>
      <c r="S114" s="489"/>
      <c r="T114" s="489"/>
      <c r="U114" s="489"/>
      <c r="V114" s="489"/>
      <c r="W114" s="489"/>
      <c r="X114" s="489"/>
      <c r="Y114" s="489"/>
      <c r="Z114" s="489"/>
      <c r="AA114" s="489"/>
      <c r="AB114" s="489"/>
    </row>
    <row r="115" spans="1:28" ht="12.75">
      <c r="A115" s="489"/>
      <c r="B115" s="697"/>
      <c r="C115" s="320"/>
      <c r="D115" s="320"/>
      <c r="E115" s="320"/>
      <c r="F115" s="320"/>
      <c r="G115" s="489"/>
      <c r="H115" s="489"/>
      <c r="I115" s="489"/>
      <c r="J115" s="489"/>
      <c r="K115" s="489"/>
      <c r="L115" s="489"/>
      <c r="M115" s="489"/>
      <c r="N115" s="489"/>
      <c r="O115" s="489"/>
      <c r="P115" s="489"/>
      <c r="Q115" s="489"/>
      <c r="R115" s="489"/>
      <c r="S115" s="489"/>
      <c r="T115" s="489"/>
      <c r="U115" s="489"/>
      <c r="V115" s="489"/>
      <c r="W115" s="489"/>
      <c r="X115" s="489"/>
      <c r="Y115" s="489"/>
      <c r="Z115" s="489"/>
      <c r="AA115" s="489"/>
      <c r="AB115" s="489"/>
    </row>
    <row r="116" spans="1:28" ht="12.75">
      <c r="A116" s="489"/>
      <c r="B116" s="697"/>
      <c r="C116" s="320"/>
      <c r="D116" s="320"/>
      <c r="E116" s="320"/>
      <c r="F116" s="320"/>
      <c r="G116" s="489"/>
      <c r="H116" s="489"/>
      <c r="I116" s="489"/>
      <c r="J116" s="489"/>
      <c r="K116" s="489"/>
      <c r="L116" s="489"/>
      <c r="M116" s="489"/>
      <c r="N116" s="489"/>
      <c r="O116" s="489"/>
      <c r="P116" s="489"/>
      <c r="Q116" s="489"/>
      <c r="R116" s="489"/>
      <c r="S116" s="489"/>
      <c r="T116" s="489"/>
      <c r="U116" s="489"/>
      <c r="V116" s="489"/>
      <c r="W116" s="489"/>
      <c r="X116" s="489"/>
      <c r="Y116" s="489"/>
      <c r="Z116" s="489"/>
      <c r="AA116" s="489"/>
      <c r="AB116" s="489"/>
    </row>
    <row r="117" spans="1:28" ht="12.75">
      <c r="A117" s="489"/>
      <c r="B117" s="697"/>
      <c r="C117" s="320"/>
      <c r="D117" s="320"/>
      <c r="E117" s="320"/>
      <c r="F117" s="320"/>
      <c r="G117" s="489"/>
      <c r="H117" s="489"/>
      <c r="I117" s="489"/>
      <c r="J117" s="489"/>
      <c r="K117" s="489"/>
      <c r="L117" s="489"/>
      <c r="M117" s="489"/>
      <c r="N117" s="489"/>
      <c r="O117" s="489"/>
      <c r="P117" s="489"/>
      <c r="Q117" s="489"/>
      <c r="R117" s="489"/>
      <c r="S117" s="489"/>
      <c r="T117" s="489"/>
      <c r="U117" s="489"/>
      <c r="V117" s="489"/>
      <c r="W117" s="489"/>
      <c r="X117" s="489"/>
      <c r="Y117" s="489"/>
      <c r="Z117" s="489"/>
      <c r="AA117" s="489"/>
      <c r="AB117" s="489"/>
    </row>
    <row r="118" spans="1:28" ht="12.75">
      <c r="A118" s="489"/>
      <c r="B118" s="697"/>
      <c r="C118" s="320"/>
      <c r="D118" s="320"/>
      <c r="E118" s="320"/>
      <c r="F118" s="320"/>
      <c r="G118" s="489"/>
      <c r="H118" s="489"/>
      <c r="I118" s="489"/>
      <c r="J118" s="489"/>
      <c r="K118" s="489"/>
      <c r="L118" s="489"/>
      <c r="M118" s="489"/>
      <c r="N118" s="489"/>
      <c r="O118" s="489"/>
      <c r="P118" s="489"/>
      <c r="Q118" s="489"/>
      <c r="R118" s="489"/>
      <c r="S118" s="489"/>
      <c r="T118" s="489"/>
      <c r="U118" s="489"/>
      <c r="V118" s="489"/>
      <c r="W118" s="489"/>
      <c r="X118" s="489"/>
      <c r="Y118" s="489"/>
      <c r="Z118" s="489"/>
      <c r="AA118" s="489"/>
      <c r="AB118" s="489"/>
    </row>
    <row r="119" spans="1:28" ht="12.75">
      <c r="A119" s="489"/>
      <c r="B119" s="696" t="s">
        <v>658</v>
      </c>
      <c r="C119" s="489"/>
      <c r="D119" s="489"/>
      <c r="E119" s="489"/>
      <c r="F119" s="489"/>
      <c r="G119" s="489"/>
      <c r="H119" s="489"/>
      <c r="I119" s="489"/>
      <c r="J119" s="489"/>
      <c r="K119" s="489"/>
      <c r="L119" s="489"/>
      <c r="M119" s="489"/>
      <c r="N119" s="489"/>
      <c r="O119" s="489"/>
      <c r="P119" s="489"/>
      <c r="Q119" s="489"/>
      <c r="R119" s="489"/>
      <c r="S119" s="489"/>
      <c r="T119" s="489"/>
      <c r="U119" s="489"/>
      <c r="V119" s="489"/>
      <c r="W119" s="489"/>
      <c r="X119" s="489"/>
      <c r="Y119" s="489"/>
      <c r="Z119" s="489"/>
      <c r="AA119" s="489"/>
      <c r="AB119" s="489"/>
    </row>
    <row r="120" spans="1:28" ht="12.75">
      <c r="A120" s="489"/>
      <c r="B120" s="696" t="s">
        <v>656</v>
      </c>
      <c r="C120" s="489"/>
      <c r="D120" s="489"/>
      <c r="E120" s="489"/>
      <c r="F120" s="489"/>
      <c r="G120" s="489"/>
      <c r="H120" s="489"/>
      <c r="I120" s="489"/>
      <c r="J120" s="489"/>
      <c r="K120" s="489"/>
      <c r="L120" s="489"/>
      <c r="M120" s="489"/>
      <c r="N120" s="489"/>
      <c r="O120" s="489"/>
      <c r="P120" s="489"/>
      <c r="Q120" s="489"/>
      <c r="R120" s="489"/>
      <c r="S120" s="489"/>
      <c r="T120" s="489"/>
      <c r="U120" s="489"/>
      <c r="V120" s="489"/>
      <c r="W120" s="489"/>
      <c r="X120" s="489"/>
      <c r="Y120" s="489"/>
      <c r="Z120" s="489"/>
      <c r="AA120" s="489"/>
      <c r="AB120" s="489"/>
    </row>
    <row r="121" spans="1:28" ht="12.75">
      <c r="A121" s="489"/>
      <c r="B121" s="696"/>
      <c r="C121" s="489"/>
      <c r="D121" s="489"/>
      <c r="E121" s="489"/>
      <c r="F121" s="489"/>
      <c r="G121" s="489"/>
      <c r="H121" s="489"/>
      <c r="I121" s="489"/>
      <c r="J121" s="489"/>
      <c r="K121" s="489"/>
      <c r="L121" s="489"/>
      <c r="M121" s="489"/>
      <c r="N121" s="489"/>
      <c r="O121" s="489"/>
      <c r="P121" s="489"/>
      <c r="Q121" s="489"/>
      <c r="R121" s="489"/>
      <c r="S121" s="489"/>
      <c r="T121" s="489"/>
      <c r="U121" s="489"/>
      <c r="V121" s="489"/>
      <c r="W121" s="489"/>
      <c r="X121" s="489"/>
      <c r="Y121" s="489"/>
      <c r="Z121" s="489"/>
      <c r="AA121" s="489"/>
      <c r="AB121" s="489"/>
    </row>
    <row r="122" spans="1:28" ht="15">
      <c r="A122" s="489"/>
      <c r="B122" s="1424" t="s">
        <v>661</v>
      </c>
      <c r="C122" s="1424"/>
      <c r="D122" s="1424"/>
      <c r="E122" s="1424"/>
      <c r="F122" s="1424"/>
      <c r="G122" s="1424"/>
      <c r="H122" s="1424"/>
      <c r="I122" s="1424"/>
      <c r="J122" s="1424"/>
      <c r="K122" s="489"/>
      <c r="L122" s="489"/>
      <c r="M122" s="489"/>
      <c r="N122" s="489"/>
      <c r="O122" s="489"/>
      <c r="P122" s="489"/>
      <c r="Q122" s="489"/>
      <c r="R122" s="489"/>
      <c r="S122" s="489"/>
      <c r="T122" s="489"/>
      <c r="U122" s="489"/>
      <c r="V122" s="489"/>
      <c r="W122" s="489"/>
      <c r="X122" s="489"/>
      <c r="Y122" s="489"/>
      <c r="Z122" s="489"/>
      <c r="AA122" s="489"/>
      <c r="AB122" s="489"/>
    </row>
    <row r="123" spans="1:28" ht="12.75">
      <c r="A123" s="489"/>
      <c r="B123" s="703" t="s">
        <v>671</v>
      </c>
      <c r="C123" s="692" t="s">
        <v>493</v>
      </c>
      <c r="D123" s="1426" t="s">
        <v>645</v>
      </c>
      <c r="E123" s="1427"/>
      <c r="F123" s="1427"/>
      <c r="G123" s="1427"/>
      <c r="H123" s="1427"/>
      <c r="I123" s="1427"/>
      <c r="J123" s="1428"/>
      <c r="K123" s="489"/>
      <c r="L123" s="489"/>
      <c r="M123" s="489"/>
      <c r="N123" s="489"/>
      <c r="O123" s="489"/>
      <c r="P123" s="489"/>
      <c r="Q123" s="489"/>
      <c r="R123" s="489"/>
      <c r="S123" s="489"/>
      <c r="T123" s="489"/>
      <c r="U123" s="489"/>
      <c r="V123" s="489"/>
      <c r="W123" s="489"/>
      <c r="X123" s="489"/>
      <c r="Y123" s="489"/>
      <c r="Z123" s="489"/>
      <c r="AA123" s="489"/>
      <c r="AB123" s="489"/>
    </row>
    <row r="124" spans="1:28" ht="12.75">
      <c r="A124" s="489"/>
      <c r="B124" s="703" t="s">
        <v>643</v>
      </c>
      <c r="C124" s="699"/>
      <c r="D124" s="1401"/>
      <c r="E124" s="1402"/>
      <c r="F124" s="1402"/>
      <c r="G124" s="1402"/>
      <c r="H124" s="1402"/>
      <c r="I124" s="1402"/>
      <c r="J124" s="1403"/>
      <c r="K124" s="489"/>
      <c r="L124" s="489"/>
      <c r="M124" s="489"/>
      <c r="N124" s="489"/>
      <c r="O124" s="489"/>
      <c r="P124" s="489"/>
      <c r="Q124" s="489"/>
      <c r="R124" s="489"/>
      <c r="S124" s="489"/>
      <c r="T124" s="489"/>
      <c r="U124" s="489"/>
      <c r="V124" s="489"/>
      <c r="W124" s="489"/>
      <c r="X124" s="489"/>
      <c r="Y124" s="489"/>
      <c r="Z124" s="489"/>
      <c r="AA124" s="489"/>
      <c r="AB124" s="489"/>
    </row>
    <row r="125" spans="1:28" ht="12.75">
      <c r="A125" s="489"/>
      <c r="B125" s="703" t="s">
        <v>644</v>
      </c>
      <c r="C125" s="320"/>
      <c r="D125" s="1401"/>
      <c r="E125" s="1402"/>
      <c r="F125" s="1402"/>
      <c r="G125" s="1402"/>
      <c r="H125" s="1402"/>
      <c r="I125" s="1402"/>
      <c r="J125" s="1403"/>
      <c r="K125" s="489"/>
      <c r="L125" s="489"/>
      <c r="M125" s="489"/>
      <c r="N125" s="489"/>
      <c r="O125" s="489"/>
      <c r="P125" s="489"/>
      <c r="Q125" s="489"/>
      <c r="R125" s="489"/>
      <c r="S125" s="489"/>
      <c r="T125" s="489"/>
      <c r="U125" s="489"/>
      <c r="V125" s="489"/>
      <c r="W125" s="489"/>
      <c r="X125" s="489"/>
      <c r="Y125" s="489"/>
      <c r="Z125" s="489"/>
      <c r="AA125" s="489"/>
      <c r="AB125" s="489"/>
    </row>
    <row r="126" spans="1:28" ht="12.75">
      <c r="A126" s="489"/>
      <c r="B126" s="702"/>
      <c r="C126" s="320"/>
      <c r="D126" s="1401"/>
      <c r="E126" s="1402"/>
      <c r="F126" s="1402"/>
      <c r="G126" s="1402"/>
      <c r="H126" s="1402"/>
      <c r="I126" s="1402"/>
      <c r="J126" s="1403"/>
      <c r="K126" s="489"/>
      <c r="L126" s="489"/>
      <c r="M126" s="489"/>
      <c r="N126" s="489"/>
      <c r="O126" s="489"/>
      <c r="P126" s="489"/>
      <c r="Q126" s="489"/>
      <c r="R126" s="489"/>
      <c r="S126" s="489"/>
      <c r="T126" s="489"/>
      <c r="U126" s="489"/>
      <c r="V126" s="489"/>
      <c r="W126" s="489"/>
      <c r="X126" s="489"/>
      <c r="Y126" s="489"/>
      <c r="Z126" s="489"/>
      <c r="AA126" s="489"/>
      <c r="AB126" s="489"/>
    </row>
    <row r="127" spans="1:28" ht="12.75">
      <c r="A127" s="489"/>
      <c r="B127" s="698"/>
      <c r="C127" s="489"/>
      <c r="D127" s="489"/>
      <c r="E127" s="489"/>
      <c r="F127" s="489"/>
      <c r="G127" s="489"/>
      <c r="H127" s="489"/>
      <c r="I127" s="489"/>
      <c r="J127" s="489"/>
      <c r="K127" s="489"/>
      <c r="L127" s="489"/>
      <c r="M127" s="489"/>
      <c r="N127" s="489"/>
      <c r="O127" s="489"/>
      <c r="P127" s="489"/>
      <c r="Q127" s="489"/>
      <c r="R127" s="489"/>
      <c r="S127" s="489"/>
      <c r="T127" s="489"/>
      <c r="U127" s="489"/>
      <c r="V127" s="489"/>
      <c r="W127" s="489"/>
      <c r="X127" s="489"/>
      <c r="Y127" s="489"/>
      <c r="Z127" s="489"/>
      <c r="AA127" s="489"/>
      <c r="AB127" s="489"/>
    </row>
    <row r="128" spans="1:28" ht="12.75">
      <c r="A128" s="489"/>
      <c r="B128" s="698"/>
      <c r="C128" s="489"/>
      <c r="D128" s="489"/>
      <c r="E128" s="489"/>
      <c r="F128" s="489"/>
      <c r="G128" s="489"/>
      <c r="H128" s="489"/>
      <c r="I128" s="489"/>
      <c r="J128" s="489"/>
      <c r="K128" s="489"/>
      <c r="L128" s="489"/>
      <c r="M128" s="489"/>
      <c r="N128" s="489"/>
      <c r="O128" s="489"/>
      <c r="P128" s="489"/>
      <c r="Q128" s="489"/>
      <c r="R128" s="489"/>
      <c r="S128" s="489"/>
      <c r="T128" s="489"/>
      <c r="U128" s="489"/>
      <c r="V128" s="489"/>
      <c r="W128" s="489"/>
      <c r="X128" s="489"/>
      <c r="Y128" s="489"/>
      <c r="Z128" s="489"/>
      <c r="AA128" s="489"/>
      <c r="AB128" s="489"/>
    </row>
    <row r="129" spans="1:28" ht="15">
      <c r="A129" s="489"/>
      <c r="B129" s="704" t="s">
        <v>646</v>
      </c>
      <c r="C129" s="700"/>
      <c r="D129" s="700"/>
      <c r="E129" s="700"/>
      <c r="F129" s="700"/>
      <c r="G129" s="700"/>
      <c r="H129" s="700"/>
      <c r="I129" s="700"/>
      <c r="J129" s="700"/>
      <c r="K129" s="489"/>
      <c r="L129" s="489"/>
      <c r="M129" s="489"/>
      <c r="N129" s="489"/>
      <c r="O129" s="489"/>
      <c r="P129" s="489"/>
      <c r="Q129" s="489"/>
      <c r="R129" s="489"/>
      <c r="S129" s="489"/>
      <c r="T129" s="489"/>
      <c r="U129" s="489"/>
      <c r="V129" s="489"/>
      <c r="W129" s="489"/>
      <c r="X129" s="489"/>
      <c r="Y129" s="489"/>
      <c r="Z129" s="489"/>
      <c r="AA129" s="489"/>
      <c r="AB129" s="489"/>
    </row>
    <row r="130" spans="1:28" ht="14.25" customHeight="1">
      <c r="A130" s="489"/>
      <c r="B130" s="1410"/>
      <c r="C130" s="1411"/>
      <c r="D130" s="1411"/>
      <c r="E130" s="1411"/>
      <c r="F130" s="1411"/>
      <c r="G130" s="1411"/>
      <c r="H130" s="1411"/>
      <c r="I130" s="1411"/>
      <c r="J130" s="1412"/>
      <c r="K130" s="489"/>
      <c r="L130" s="489"/>
      <c r="M130" s="489"/>
      <c r="N130" s="489"/>
      <c r="O130" s="489"/>
      <c r="P130" s="489"/>
      <c r="Q130" s="489"/>
      <c r="R130" s="489"/>
      <c r="S130" s="489"/>
      <c r="T130" s="489"/>
      <c r="U130" s="489"/>
      <c r="V130" s="489"/>
      <c r="W130" s="489"/>
      <c r="X130" s="489"/>
      <c r="Y130" s="489"/>
      <c r="Z130" s="489"/>
      <c r="AA130" s="489"/>
      <c r="AB130" s="489"/>
    </row>
    <row r="131" spans="1:28" ht="14.25" customHeight="1">
      <c r="A131" s="489"/>
      <c r="B131" s="1413"/>
      <c r="C131" s="1414"/>
      <c r="D131" s="1414"/>
      <c r="E131" s="1414"/>
      <c r="F131" s="1414"/>
      <c r="G131" s="1414"/>
      <c r="H131" s="1414"/>
      <c r="I131" s="1414"/>
      <c r="J131" s="1415"/>
      <c r="K131" s="489"/>
      <c r="L131" s="489"/>
      <c r="M131" s="489"/>
      <c r="N131" s="489"/>
      <c r="O131" s="489"/>
      <c r="P131" s="489"/>
      <c r="Q131" s="489"/>
      <c r="R131" s="489"/>
      <c r="S131" s="489"/>
      <c r="T131" s="489"/>
      <c r="U131" s="489"/>
      <c r="V131" s="489"/>
      <c r="W131" s="489"/>
      <c r="X131" s="489"/>
      <c r="Y131" s="489"/>
      <c r="Z131" s="489"/>
      <c r="AA131" s="489"/>
      <c r="AB131" s="489"/>
    </row>
    <row r="132" spans="1:28" ht="14.25" customHeight="1">
      <c r="A132" s="489"/>
      <c r="B132" s="1413"/>
      <c r="C132" s="1414"/>
      <c r="D132" s="1414"/>
      <c r="E132" s="1414"/>
      <c r="F132" s="1414"/>
      <c r="G132" s="1414"/>
      <c r="H132" s="1414"/>
      <c r="I132" s="1414"/>
      <c r="J132" s="1415"/>
      <c r="K132" s="489"/>
      <c r="L132" s="489"/>
      <c r="M132" s="489"/>
      <c r="N132" s="489"/>
      <c r="O132" s="489"/>
      <c r="P132" s="489"/>
      <c r="Q132" s="489"/>
      <c r="R132" s="489"/>
      <c r="S132" s="489"/>
      <c r="T132" s="489"/>
      <c r="U132" s="489"/>
      <c r="V132" s="489"/>
      <c r="W132" s="489"/>
      <c r="X132" s="489"/>
      <c r="Y132" s="489"/>
      <c r="Z132" s="489"/>
      <c r="AA132" s="489"/>
      <c r="AB132" s="489"/>
    </row>
    <row r="133" spans="1:28" ht="14.25" customHeight="1">
      <c r="A133" s="489"/>
      <c r="B133" s="1413"/>
      <c r="C133" s="1414"/>
      <c r="D133" s="1414"/>
      <c r="E133" s="1414"/>
      <c r="F133" s="1414"/>
      <c r="G133" s="1414"/>
      <c r="H133" s="1414"/>
      <c r="I133" s="1414"/>
      <c r="J133" s="1415"/>
      <c r="K133" s="489"/>
      <c r="L133" s="489"/>
      <c r="M133" s="489"/>
      <c r="N133" s="489"/>
      <c r="O133" s="489"/>
      <c r="P133" s="489"/>
      <c r="Q133" s="489"/>
      <c r="R133" s="489"/>
      <c r="S133" s="489"/>
      <c r="T133" s="489"/>
      <c r="U133" s="489"/>
      <c r="V133" s="489"/>
      <c r="W133" s="489"/>
      <c r="X133" s="489"/>
      <c r="Y133" s="489"/>
      <c r="Z133" s="489"/>
      <c r="AA133" s="489"/>
      <c r="AB133" s="489"/>
    </row>
    <row r="134" spans="1:28" ht="14.25" customHeight="1">
      <c r="A134" s="489"/>
      <c r="B134" s="1413"/>
      <c r="C134" s="1414"/>
      <c r="D134" s="1414"/>
      <c r="E134" s="1414"/>
      <c r="F134" s="1414"/>
      <c r="G134" s="1414"/>
      <c r="H134" s="1414"/>
      <c r="I134" s="1414"/>
      <c r="J134" s="1415"/>
      <c r="K134" s="489"/>
      <c r="L134" s="489"/>
      <c r="M134" s="489"/>
      <c r="N134" s="489"/>
      <c r="O134" s="489"/>
      <c r="P134" s="489"/>
      <c r="Q134" s="489"/>
      <c r="R134" s="489"/>
      <c r="S134" s="489"/>
      <c r="T134" s="489"/>
      <c r="U134" s="489"/>
      <c r="V134" s="489"/>
      <c r="W134" s="489"/>
      <c r="X134" s="489"/>
      <c r="Y134" s="489"/>
      <c r="Z134" s="489"/>
      <c r="AA134" s="489"/>
      <c r="AB134" s="489"/>
    </row>
    <row r="135" spans="1:28" ht="14.25" customHeight="1">
      <c r="A135" s="489"/>
      <c r="B135" s="1413"/>
      <c r="C135" s="1414"/>
      <c r="D135" s="1414"/>
      <c r="E135" s="1414"/>
      <c r="F135" s="1414"/>
      <c r="G135" s="1414"/>
      <c r="H135" s="1414"/>
      <c r="I135" s="1414"/>
      <c r="J135" s="1415"/>
      <c r="K135" s="489"/>
      <c r="L135" s="489"/>
      <c r="M135" s="489"/>
      <c r="N135" s="489"/>
      <c r="O135" s="489"/>
      <c r="P135" s="489"/>
      <c r="Q135" s="489"/>
      <c r="R135" s="489"/>
      <c r="S135" s="489"/>
      <c r="T135" s="489"/>
      <c r="U135" s="489"/>
      <c r="V135" s="489"/>
      <c r="W135" s="489"/>
      <c r="X135" s="489"/>
      <c r="Y135" s="489"/>
      <c r="Z135" s="489"/>
      <c r="AA135" s="489"/>
      <c r="AB135" s="489"/>
    </row>
    <row r="136" spans="1:28" ht="14.25" customHeight="1">
      <c r="A136" s="489"/>
      <c r="B136" s="1416"/>
      <c r="C136" s="1417"/>
      <c r="D136" s="1417"/>
      <c r="E136" s="1417"/>
      <c r="F136" s="1417"/>
      <c r="G136" s="1417"/>
      <c r="H136" s="1417"/>
      <c r="I136" s="1417"/>
      <c r="J136" s="1418"/>
      <c r="K136" s="489"/>
      <c r="L136" s="489"/>
      <c r="M136" s="489"/>
      <c r="N136" s="489"/>
      <c r="O136" s="489"/>
      <c r="P136" s="489"/>
      <c r="Q136" s="489"/>
      <c r="R136" s="489"/>
      <c r="S136" s="489"/>
      <c r="T136" s="489"/>
      <c r="U136" s="489"/>
      <c r="V136" s="489"/>
      <c r="W136" s="489"/>
      <c r="X136" s="489"/>
      <c r="Y136" s="489"/>
      <c r="Z136" s="489"/>
      <c r="AA136" s="489"/>
      <c r="AB136" s="489"/>
    </row>
    <row r="137" spans="1:28" ht="14.25">
      <c r="A137" s="489"/>
      <c r="B137" s="676"/>
      <c r="C137" s="489"/>
      <c r="D137" s="489"/>
      <c r="E137" s="489"/>
      <c r="F137" s="489"/>
      <c r="G137" s="489"/>
      <c r="H137" s="489"/>
      <c r="I137" s="489"/>
      <c r="J137" s="489"/>
      <c r="K137" s="489"/>
      <c r="L137" s="489"/>
      <c r="M137" s="489"/>
      <c r="N137" s="489"/>
      <c r="O137" s="489"/>
      <c r="P137" s="489"/>
      <c r="Q137" s="489"/>
      <c r="R137" s="489"/>
      <c r="S137" s="489"/>
      <c r="T137" s="489"/>
      <c r="U137" s="489"/>
      <c r="V137" s="489"/>
      <c r="W137" s="489"/>
      <c r="X137" s="489"/>
      <c r="Y137" s="489"/>
      <c r="Z137" s="489"/>
      <c r="AA137" s="489"/>
      <c r="AB137" s="489"/>
    </row>
    <row r="138" spans="1:28" ht="14.25">
      <c r="A138" s="489"/>
      <c r="B138" s="676"/>
      <c r="C138" s="489"/>
      <c r="D138" s="489"/>
      <c r="E138" s="489"/>
      <c r="F138" s="489"/>
      <c r="G138" s="489"/>
      <c r="H138" s="489"/>
      <c r="I138" s="489"/>
      <c r="J138" s="489"/>
      <c r="K138" s="489"/>
      <c r="L138" s="489"/>
      <c r="M138" s="489"/>
      <c r="N138" s="489"/>
      <c r="O138" s="489"/>
      <c r="P138" s="489"/>
      <c r="Q138" s="489"/>
      <c r="R138" s="489"/>
      <c r="S138" s="489"/>
      <c r="T138" s="489"/>
      <c r="U138" s="489"/>
      <c r="V138" s="489"/>
      <c r="W138" s="489"/>
      <c r="X138" s="489"/>
      <c r="Y138" s="489"/>
      <c r="Z138" s="489"/>
      <c r="AA138" s="489"/>
      <c r="AB138" s="489"/>
    </row>
    <row r="139" spans="1:28" ht="14.25">
      <c r="A139" s="489"/>
      <c r="B139" s="676"/>
      <c r="C139" s="489"/>
      <c r="D139" s="489"/>
      <c r="E139" s="489"/>
      <c r="F139" s="489"/>
      <c r="G139" s="489"/>
      <c r="H139" s="489"/>
      <c r="I139" s="489"/>
      <c r="J139" s="489"/>
      <c r="K139" s="489"/>
      <c r="L139" s="489"/>
      <c r="M139" s="489"/>
      <c r="N139" s="489"/>
      <c r="O139" s="489"/>
      <c r="P139" s="489"/>
      <c r="Q139" s="489"/>
      <c r="R139" s="489"/>
      <c r="S139" s="489"/>
      <c r="T139" s="489"/>
      <c r="U139" s="489"/>
      <c r="V139" s="489"/>
      <c r="W139" s="489"/>
      <c r="X139" s="489"/>
      <c r="Y139" s="489"/>
      <c r="Z139" s="489"/>
      <c r="AA139" s="489"/>
      <c r="AB139" s="489"/>
    </row>
    <row r="140" spans="1:28" ht="14.25">
      <c r="A140" s="489"/>
      <c r="B140" s="676"/>
      <c r="C140" s="489"/>
      <c r="D140" s="489"/>
      <c r="E140" s="489"/>
      <c r="F140" s="489"/>
      <c r="G140" s="489"/>
      <c r="H140" s="489"/>
      <c r="I140" s="489"/>
      <c r="J140" s="489"/>
      <c r="K140" s="489"/>
      <c r="L140" s="489"/>
      <c r="M140" s="489"/>
      <c r="N140" s="489"/>
      <c r="O140" s="489"/>
      <c r="P140" s="489"/>
      <c r="Q140" s="489"/>
      <c r="R140" s="489"/>
      <c r="S140" s="489"/>
      <c r="T140" s="489"/>
      <c r="U140" s="489"/>
      <c r="V140" s="489"/>
      <c r="W140" s="489"/>
      <c r="X140" s="489"/>
      <c r="Y140" s="489"/>
      <c r="Z140" s="489"/>
      <c r="AA140" s="489"/>
      <c r="AB140" s="489"/>
    </row>
    <row r="141" spans="1:28" ht="14.25">
      <c r="A141" s="489"/>
      <c r="B141" s="676"/>
      <c r="C141" s="489"/>
      <c r="D141" s="489"/>
      <c r="E141" s="489"/>
      <c r="F141" s="489"/>
      <c r="G141" s="489"/>
      <c r="H141" s="489"/>
      <c r="I141" s="489"/>
      <c r="J141" s="489"/>
      <c r="K141" s="489"/>
      <c r="L141" s="489"/>
      <c r="M141" s="489"/>
      <c r="N141" s="489"/>
      <c r="O141" s="489"/>
      <c r="P141" s="489"/>
      <c r="Q141" s="489"/>
      <c r="R141" s="489"/>
      <c r="S141" s="489"/>
      <c r="T141" s="489"/>
      <c r="U141" s="489"/>
      <c r="V141" s="489"/>
      <c r="W141" s="489"/>
      <c r="X141" s="489"/>
      <c r="Y141" s="489"/>
      <c r="Z141" s="489"/>
      <c r="AA141" s="489"/>
      <c r="AB141" s="489"/>
    </row>
    <row r="142" spans="1:28" ht="14.25">
      <c r="A142" s="489"/>
      <c r="B142" s="676"/>
      <c r="C142" s="489"/>
      <c r="D142" s="489"/>
      <c r="E142" s="489"/>
      <c r="F142" s="489"/>
      <c r="G142" s="489"/>
      <c r="H142" s="489"/>
      <c r="I142" s="489"/>
      <c r="J142" s="489"/>
      <c r="K142" s="489"/>
      <c r="L142" s="489"/>
      <c r="M142" s="489"/>
      <c r="N142" s="489"/>
      <c r="O142" s="489"/>
      <c r="P142" s="489"/>
      <c r="Q142" s="489"/>
      <c r="R142" s="489"/>
      <c r="S142" s="489"/>
      <c r="T142" s="489"/>
      <c r="U142" s="489"/>
      <c r="V142" s="489"/>
      <c r="W142" s="489"/>
      <c r="X142" s="489"/>
      <c r="Y142" s="489"/>
      <c r="Z142" s="489"/>
      <c r="AA142" s="489"/>
      <c r="AB142" s="489"/>
    </row>
    <row r="143" spans="1:28" ht="14.25">
      <c r="A143" s="489"/>
      <c r="B143" s="676"/>
      <c r="C143" s="489"/>
      <c r="D143" s="489"/>
      <c r="E143" s="489"/>
      <c r="F143" s="489"/>
      <c r="G143" s="489"/>
      <c r="H143" s="489"/>
      <c r="I143" s="489"/>
      <c r="J143" s="489"/>
      <c r="K143" s="489"/>
      <c r="L143" s="489"/>
      <c r="M143" s="489"/>
      <c r="N143" s="489"/>
      <c r="O143" s="489"/>
      <c r="P143" s="489"/>
      <c r="Q143" s="489"/>
      <c r="R143" s="489"/>
      <c r="S143" s="489"/>
      <c r="T143" s="489"/>
      <c r="U143" s="489"/>
      <c r="V143" s="489"/>
      <c r="W143" s="489"/>
      <c r="X143" s="489"/>
      <c r="Y143" s="489"/>
      <c r="Z143" s="489"/>
      <c r="AA143" s="489"/>
      <c r="AB143" s="489"/>
    </row>
    <row r="144" spans="1:28" ht="14.25">
      <c r="A144" s="489"/>
      <c r="B144" s="676"/>
      <c r="C144" s="489"/>
      <c r="D144" s="489"/>
      <c r="E144" s="489"/>
      <c r="F144" s="489"/>
      <c r="G144" s="489"/>
      <c r="H144" s="489"/>
      <c r="I144" s="489"/>
      <c r="J144" s="489"/>
      <c r="K144" s="489"/>
      <c r="L144" s="489"/>
      <c r="M144" s="489"/>
      <c r="N144" s="489"/>
      <c r="O144" s="489"/>
      <c r="P144" s="489"/>
      <c r="Q144" s="489"/>
      <c r="R144" s="489"/>
      <c r="S144" s="489"/>
      <c r="T144" s="489"/>
      <c r="U144" s="489"/>
      <c r="V144" s="489"/>
      <c r="W144" s="489"/>
      <c r="X144" s="489"/>
      <c r="Y144" s="489"/>
      <c r="Z144" s="489"/>
      <c r="AA144" s="489"/>
      <c r="AB144" s="489"/>
    </row>
    <row r="145" spans="1:28" ht="14.25">
      <c r="A145" s="489"/>
      <c r="B145" s="676"/>
      <c r="C145" s="489"/>
      <c r="D145" s="489"/>
      <c r="E145" s="489"/>
      <c r="F145" s="489"/>
      <c r="G145" s="489"/>
      <c r="H145" s="489"/>
      <c r="I145" s="489"/>
      <c r="J145" s="489"/>
      <c r="K145" s="489"/>
      <c r="L145" s="489"/>
      <c r="M145" s="489"/>
      <c r="N145" s="489"/>
      <c r="O145" s="489"/>
      <c r="P145" s="489"/>
      <c r="Q145" s="489"/>
      <c r="R145" s="489"/>
      <c r="S145" s="489"/>
      <c r="T145" s="489"/>
      <c r="U145" s="489"/>
      <c r="V145" s="489"/>
      <c r="W145" s="489"/>
      <c r="X145" s="489"/>
      <c r="Y145" s="489"/>
      <c r="Z145" s="489"/>
      <c r="AA145" s="489"/>
      <c r="AB145" s="489"/>
    </row>
    <row r="146" spans="1:28" ht="14.25">
      <c r="A146" s="489"/>
      <c r="B146" s="676"/>
      <c r="C146" s="489"/>
      <c r="D146" s="489"/>
      <c r="E146" s="489"/>
      <c r="F146" s="489"/>
      <c r="G146" s="489"/>
      <c r="H146" s="489"/>
      <c r="I146" s="489"/>
      <c r="J146" s="489"/>
      <c r="K146" s="489"/>
      <c r="L146" s="489"/>
      <c r="M146" s="489"/>
      <c r="N146" s="489"/>
      <c r="O146" s="489"/>
      <c r="P146" s="489"/>
      <c r="Q146" s="489"/>
      <c r="R146" s="489"/>
      <c r="S146" s="489"/>
      <c r="T146" s="489"/>
      <c r="U146" s="489"/>
      <c r="V146" s="489"/>
      <c r="W146" s="489"/>
      <c r="X146" s="489"/>
      <c r="Y146" s="489"/>
      <c r="Z146" s="489"/>
      <c r="AA146" s="489"/>
      <c r="AB146" s="489"/>
    </row>
    <row r="147" spans="1:28" ht="14.25">
      <c r="A147" s="489"/>
      <c r="B147" s="676"/>
      <c r="C147" s="489"/>
      <c r="D147" s="489"/>
      <c r="E147" s="489"/>
      <c r="F147" s="489"/>
      <c r="G147" s="489"/>
      <c r="H147" s="489"/>
      <c r="I147" s="489"/>
      <c r="J147" s="489"/>
      <c r="K147" s="489"/>
      <c r="L147" s="489"/>
      <c r="M147" s="489"/>
      <c r="N147" s="489"/>
      <c r="O147" s="489"/>
      <c r="P147" s="489"/>
      <c r="Q147" s="489"/>
      <c r="R147" s="489"/>
      <c r="S147" s="489"/>
      <c r="T147" s="489"/>
      <c r="U147" s="489"/>
      <c r="V147" s="489"/>
      <c r="W147" s="489"/>
      <c r="X147" s="489"/>
      <c r="Y147" s="489"/>
      <c r="Z147" s="489"/>
      <c r="AA147" s="489"/>
      <c r="AB147" s="489"/>
    </row>
    <row r="148" spans="1:28">
      <c r="A148" s="489"/>
      <c r="B148" s="701"/>
      <c r="C148" s="489"/>
      <c r="D148" s="489"/>
      <c r="E148" s="489"/>
      <c r="F148" s="489"/>
      <c r="G148" s="489"/>
      <c r="H148" s="489"/>
      <c r="I148" s="489"/>
      <c r="J148" s="489"/>
      <c r="K148" s="489"/>
      <c r="L148" s="489"/>
      <c r="M148" s="489"/>
      <c r="N148" s="489"/>
      <c r="O148" s="489"/>
      <c r="P148" s="489"/>
      <c r="Q148" s="489"/>
      <c r="R148" s="489"/>
      <c r="S148" s="489"/>
      <c r="T148" s="489"/>
      <c r="U148" s="489"/>
      <c r="V148" s="489"/>
      <c r="W148" s="489"/>
      <c r="X148" s="489"/>
      <c r="Y148" s="489"/>
      <c r="Z148" s="489"/>
      <c r="AA148" s="489"/>
      <c r="AB148" s="489"/>
    </row>
    <row r="149" spans="1:28">
      <c r="A149" s="489"/>
      <c r="B149" s="701"/>
      <c r="C149" s="489"/>
      <c r="D149" s="489"/>
      <c r="E149" s="489"/>
      <c r="F149" s="489"/>
      <c r="G149" s="489"/>
      <c r="H149" s="489"/>
      <c r="I149" s="489"/>
      <c r="J149" s="489"/>
      <c r="K149" s="489"/>
      <c r="L149" s="489"/>
      <c r="M149" s="489"/>
      <c r="N149" s="489"/>
      <c r="O149" s="489"/>
      <c r="P149" s="489"/>
      <c r="Q149" s="489"/>
      <c r="R149" s="489"/>
      <c r="S149" s="489"/>
      <c r="T149" s="489"/>
      <c r="U149" s="489"/>
      <c r="V149" s="489"/>
      <c r="W149" s="489"/>
      <c r="X149" s="489"/>
      <c r="Y149" s="489"/>
      <c r="Z149" s="489"/>
      <c r="AA149" s="489"/>
      <c r="AB149" s="489"/>
    </row>
    <row r="150" spans="1:28">
      <c r="A150" s="489"/>
      <c r="B150" s="701"/>
      <c r="C150" s="489"/>
      <c r="D150" s="489"/>
      <c r="E150" s="489"/>
      <c r="F150" s="489"/>
      <c r="G150" s="489"/>
      <c r="H150" s="489"/>
      <c r="I150" s="489"/>
      <c r="J150" s="489"/>
      <c r="K150" s="489"/>
      <c r="L150" s="489"/>
      <c r="M150" s="489"/>
      <c r="N150" s="489"/>
      <c r="O150" s="489"/>
      <c r="P150" s="489"/>
      <c r="Q150" s="489"/>
      <c r="R150" s="489"/>
      <c r="S150" s="489"/>
      <c r="T150" s="489"/>
      <c r="U150" s="489"/>
      <c r="V150" s="489"/>
      <c r="W150" s="489"/>
      <c r="X150" s="489"/>
      <c r="Y150" s="489"/>
      <c r="Z150" s="489"/>
      <c r="AA150" s="489"/>
      <c r="AB150" s="489"/>
    </row>
    <row r="151" spans="1:28">
      <c r="A151" s="489"/>
      <c r="B151" s="701"/>
      <c r="C151" s="489"/>
      <c r="D151" s="489"/>
      <c r="E151" s="489"/>
      <c r="F151" s="489"/>
      <c r="G151" s="489"/>
      <c r="H151" s="489"/>
      <c r="I151" s="489"/>
      <c r="J151" s="489"/>
      <c r="K151" s="489"/>
      <c r="L151" s="489"/>
      <c r="M151" s="489"/>
      <c r="N151" s="489"/>
      <c r="O151" s="489"/>
      <c r="P151" s="489"/>
      <c r="Q151" s="489"/>
      <c r="R151" s="489"/>
      <c r="S151" s="489"/>
      <c r="T151" s="489"/>
      <c r="U151" s="489"/>
      <c r="V151" s="489"/>
      <c r="W151" s="489"/>
      <c r="X151" s="489"/>
      <c r="Y151" s="489"/>
      <c r="Z151" s="489"/>
      <c r="AA151" s="489"/>
      <c r="AB151" s="489"/>
    </row>
    <row r="152" spans="1:28">
      <c r="A152" s="489"/>
      <c r="B152" s="701"/>
      <c r="C152" s="489"/>
      <c r="D152" s="489"/>
      <c r="E152" s="489"/>
      <c r="F152" s="489"/>
      <c r="G152" s="489"/>
      <c r="H152" s="489"/>
      <c r="I152" s="489"/>
      <c r="J152" s="489"/>
      <c r="K152" s="489"/>
      <c r="L152" s="489"/>
      <c r="M152" s="489"/>
      <c r="N152" s="489"/>
      <c r="O152" s="489"/>
      <c r="P152" s="489"/>
      <c r="Q152" s="489"/>
      <c r="R152" s="489"/>
      <c r="S152" s="489"/>
      <c r="T152" s="489"/>
      <c r="U152" s="489"/>
      <c r="V152" s="489"/>
      <c r="W152" s="489"/>
      <c r="X152" s="489"/>
      <c r="Y152" s="489"/>
      <c r="Z152" s="489"/>
      <c r="AA152" s="489"/>
      <c r="AB152" s="489"/>
    </row>
    <row r="153" spans="1:28">
      <c r="A153" s="489"/>
      <c r="B153" s="701"/>
      <c r="C153" s="489"/>
      <c r="D153" s="489"/>
      <c r="E153" s="489"/>
      <c r="F153" s="489"/>
      <c r="G153" s="489"/>
      <c r="H153" s="489"/>
      <c r="I153" s="489"/>
      <c r="J153" s="489"/>
      <c r="K153" s="489"/>
      <c r="L153" s="489"/>
      <c r="M153" s="489"/>
      <c r="N153" s="489"/>
      <c r="O153" s="489"/>
      <c r="P153" s="489"/>
      <c r="Q153" s="489"/>
      <c r="R153" s="489"/>
      <c r="S153" s="489"/>
      <c r="T153" s="489"/>
      <c r="U153" s="489"/>
      <c r="V153" s="489"/>
      <c r="W153" s="489"/>
      <c r="X153" s="489"/>
      <c r="Y153" s="489"/>
      <c r="Z153" s="489"/>
      <c r="AA153" s="489"/>
      <c r="AB153" s="489"/>
    </row>
    <row r="154" spans="1:28">
      <c r="A154" s="489"/>
      <c r="B154" s="701"/>
      <c r="C154" s="489"/>
      <c r="D154" s="489"/>
      <c r="E154" s="489"/>
      <c r="F154" s="489"/>
      <c r="G154" s="489"/>
      <c r="H154" s="489"/>
      <c r="I154" s="489"/>
      <c r="J154" s="489"/>
      <c r="K154" s="489"/>
      <c r="L154" s="489"/>
      <c r="M154" s="489"/>
      <c r="N154" s="489"/>
      <c r="O154" s="489"/>
      <c r="P154" s="489"/>
      <c r="Q154" s="489"/>
      <c r="R154" s="489"/>
      <c r="S154" s="489"/>
      <c r="T154" s="489"/>
      <c r="U154" s="489"/>
      <c r="V154" s="489"/>
      <c r="W154" s="489"/>
      <c r="X154" s="489"/>
      <c r="Y154" s="489"/>
      <c r="Z154" s="489"/>
      <c r="AA154" s="489"/>
      <c r="AB154" s="489"/>
    </row>
    <row r="155" spans="1:28">
      <c r="A155" s="489"/>
      <c r="B155" s="701"/>
      <c r="C155" s="489"/>
      <c r="D155" s="489"/>
      <c r="E155" s="489"/>
      <c r="F155" s="489"/>
      <c r="G155" s="489"/>
      <c r="H155" s="489"/>
      <c r="I155" s="489"/>
      <c r="J155" s="489"/>
      <c r="K155" s="489"/>
      <c r="L155" s="489"/>
      <c r="M155" s="489"/>
      <c r="N155" s="489"/>
      <c r="O155" s="489"/>
      <c r="P155" s="489"/>
      <c r="Q155" s="489"/>
      <c r="R155" s="489"/>
      <c r="S155" s="489"/>
      <c r="T155" s="489"/>
      <c r="U155" s="489"/>
      <c r="V155" s="489"/>
      <c r="W155" s="489"/>
      <c r="X155" s="489"/>
      <c r="Y155" s="489"/>
      <c r="Z155" s="489"/>
      <c r="AA155" s="489"/>
      <c r="AB155" s="489"/>
    </row>
    <row r="156" spans="1:28">
      <c r="A156" s="489"/>
      <c r="B156" s="701"/>
      <c r="C156" s="489"/>
      <c r="D156" s="489"/>
      <c r="E156" s="489"/>
      <c r="F156" s="489"/>
      <c r="G156" s="489"/>
      <c r="H156" s="489"/>
      <c r="I156" s="489"/>
      <c r="J156" s="489"/>
      <c r="K156" s="489"/>
      <c r="L156" s="489"/>
      <c r="M156" s="489"/>
      <c r="N156" s="489"/>
      <c r="O156" s="489"/>
      <c r="P156" s="489"/>
      <c r="Q156" s="489"/>
      <c r="R156" s="489"/>
      <c r="S156" s="489"/>
      <c r="T156" s="489"/>
      <c r="U156" s="489"/>
      <c r="V156" s="489"/>
      <c r="W156" s="489"/>
      <c r="X156" s="489"/>
      <c r="Y156" s="489"/>
      <c r="Z156" s="489"/>
      <c r="AA156" s="489"/>
      <c r="AB156" s="489"/>
    </row>
    <row r="157" spans="1:28">
      <c r="A157" s="489"/>
      <c r="B157" s="701"/>
      <c r="C157" s="489"/>
      <c r="D157" s="489"/>
      <c r="E157" s="489"/>
      <c r="F157" s="489"/>
      <c r="G157" s="489"/>
      <c r="H157" s="489"/>
      <c r="I157" s="489"/>
      <c r="J157" s="489"/>
      <c r="K157" s="489"/>
      <c r="L157" s="489"/>
      <c r="M157" s="489"/>
      <c r="N157" s="489"/>
      <c r="O157" s="489"/>
      <c r="P157" s="489"/>
      <c r="Q157" s="489"/>
      <c r="R157" s="489"/>
      <c r="S157" s="489"/>
      <c r="T157" s="489"/>
      <c r="U157" s="489"/>
      <c r="V157" s="489"/>
      <c r="W157" s="489"/>
      <c r="X157" s="489"/>
      <c r="Y157" s="489"/>
      <c r="Z157" s="489"/>
      <c r="AA157" s="489"/>
      <c r="AB157" s="489"/>
    </row>
    <row r="158" spans="1:28">
      <c r="A158" s="489"/>
      <c r="B158" s="701"/>
      <c r="C158" s="489"/>
      <c r="D158" s="489"/>
      <c r="E158" s="489"/>
      <c r="F158" s="489"/>
      <c r="G158" s="489"/>
      <c r="H158" s="489"/>
      <c r="I158" s="489"/>
      <c r="J158" s="489"/>
      <c r="K158" s="489"/>
      <c r="L158" s="489"/>
      <c r="M158" s="489"/>
      <c r="N158" s="489"/>
      <c r="O158" s="489"/>
      <c r="P158" s="489"/>
      <c r="Q158" s="489"/>
      <c r="R158" s="489"/>
      <c r="S158" s="489"/>
      <c r="T158" s="489"/>
      <c r="U158" s="489"/>
      <c r="V158" s="489"/>
      <c r="W158" s="489"/>
      <c r="X158" s="489"/>
      <c r="Y158" s="489"/>
      <c r="Z158" s="489"/>
      <c r="AA158" s="489"/>
      <c r="AB158" s="489"/>
    </row>
    <row r="159" spans="1:28">
      <c r="A159" s="489"/>
      <c r="B159" s="701"/>
      <c r="C159" s="489"/>
      <c r="D159" s="489"/>
      <c r="E159" s="489"/>
      <c r="F159" s="489"/>
      <c r="G159" s="489"/>
      <c r="H159" s="489"/>
      <c r="I159" s="489"/>
      <c r="J159" s="489"/>
      <c r="K159" s="489"/>
      <c r="L159" s="489"/>
      <c r="M159" s="489"/>
      <c r="N159" s="489"/>
      <c r="O159" s="489"/>
      <c r="P159" s="489"/>
      <c r="Q159" s="489"/>
      <c r="R159" s="489"/>
      <c r="S159" s="489"/>
      <c r="T159" s="489"/>
      <c r="U159" s="489"/>
      <c r="V159" s="489"/>
      <c r="W159" s="489"/>
      <c r="X159" s="489"/>
      <c r="Y159" s="489"/>
      <c r="Z159" s="489"/>
      <c r="AA159" s="489"/>
      <c r="AB159" s="489"/>
    </row>
    <row r="160" spans="1:28">
      <c r="A160" s="489"/>
      <c r="B160" s="701"/>
      <c r="C160" s="489"/>
      <c r="D160" s="489"/>
      <c r="E160" s="489"/>
      <c r="F160" s="489"/>
      <c r="G160" s="489"/>
      <c r="H160" s="489"/>
      <c r="I160" s="489"/>
      <c r="J160" s="489"/>
      <c r="K160" s="489"/>
      <c r="L160" s="489"/>
      <c r="M160" s="489"/>
      <c r="N160" s="489"/>
      <c r="O160" s="489"/>
      <c r="P160" s="489"/>
      <c r="Q160" s="489"/>
      <c r="R160" s="489"/>
      <c r="S160" s="489"/>
      <c r="T160" s="489"/>
      <c r="U160" s="489"/>
      <c r="V160" s="489"/>
      <c r="W160" s="489"/>
      <c r="X160" s="489"/>
      <c r="Y160" s="489"/>
      <c r="Z160" s="489"/>
      <c r="AA160" s="489"/>
      <c r="AB160" s="489"/>
    </row>
    <row r="161" spans="1:28">
      <c r="A161" s="489"/>
      <c r="B161" s="701"/>
      <c r="C161" s="489"/>
      <c r="D161" s="489"/>
      <c r="E161" s="489"/>
      <c r="F161" s="489"/>
      <c r="G161" s="489"/>
      <c r="H161" s="489"/>
      <c r="I161" s="489"/>
      <c r="J161" s="489"/>
      <c r="K161" s="489"/>
      <c r="L161" s="489"/>
      <c r="M161" s="489"/>
      <c r="N161" s="489"/>
      <c r="O161" s="489"/>
      <c r="P161" s="489"/>
      <c r="Q161" s="489"/>
      <c r="R161" s="489"/>
      <c r="S161" s="489"/>
      <c r="T161" s="489"/>
      <c r="U161" s="489"/>
      <c r="V161" s="489"/>
      <c r="W161" s="489"/>
      <c r="X161" s="489"/>
      <c r="Y161" s="489"/>
      <c r="Z161" s="489"/>
      <c r="AA161" s="489"/>
      <c r="AB161" s="489"/>
    </row>
    <row r="162" spans="1:28">
      <c r="A162" s="489"/>
      <c r="B162" s="701"/>
      <c r="C162" s="489"/>
      <c r="D162" s="489"/>
      <c r="E162" s="489"/>
      <c r="F162" s="489"/>
      <c r="G162" s="489"/>
      <c r="H162" s="489"/>
      <c r="I162" s="489"/>
      <c r="J162" s="489"/>
      <c r="K162" s="489"/>
      <c r="L162" s="489"/>
      <c r="M162" s="489"/>
      <c r="N162" s="489"/>
      <c r="O162" s="489"/>
      <c r="P162" s="489"/>
      <c r="Q162" s="489"/>
      <c r="R162" s="489"/>
      <c r="S162" s="489"/>
      <c r="T162" s="489"/>
      <c r="U162" s="489"/>
      <c r="V162" s="489"/>
      <c r="W162" s="489"/>
      <c r="X162" s="489"/>
      <c r="Y162" s="489"/>
      <c r="Z162" s="489"/>
      <c r="AA162" s="489"/>
      <c r="AB162" s="489"/>
    </row>
    <row r="163" spans="1:28">
      <c r="A163" s="489"/>
      <c r="B163" s="701"/>
      <c r="C163" s="489"/>
      <c r="D163" s="489"/>
      <c r="E163" s="489"/>
      <c r="F163" s="489"/>
      <c r="G163" s="489"/>
      <c r="H163" s="489"/>
      <c r="I163" s="489"/>
      <c r="J163" s="489"/>
      <c r="K163" s="489"/>
      <c r="L163" s="489"/>
      <c r="M163" s="489"/>
      <c r="N163" s="489"/>
      <c r="O163" s="489"/>
      <c r="P163" s="489"/>
      <c r="Q163" s="489"/>
      <c r="R163" s="489"/>
      <c r="S163" s="489"/>
      <c r="T163" s="489"/>
      <c r="U163" s="489"/>
      <c r="V163" s="489"/>
      <c r="W163" s="489"/>
      <c r="X163" s="489"/>
      <c r="Y163" s="489"/>
      <c r="Z163" s="489"/>
      <c r="AA163" s="489"/>
      <c r="AB163" s="489"/>
    </row>
    <row r="164" spans="1:28">
      <c r="A164" s="489"/>
      <c r="B164" s="701"/>
      <c r="C164" s="489"/>
      <c r="D164" s="489"/>
      <c r="E164" s="489"/>
      <c r="F164" s="489"/>
      <c r="G164" s="489"/>
      <c r="H164" s="489"/>
      <c r="I164" s="489"/>
      <c r="J164" s="489"/>
      <c r="K164" s="489"/>
      <c r="L164" s="489"/>
      <c r="M164" s="489"/>
      <c r="N164" s="489"/>
      <c r="O164" s="489"/>
      <c r="P164" s="489"/>
      <c r="Q164" s="489"/>
      <c r="R164" s="489"/>
      <c r="S164" s="489"/>
      <c r="T164" s="489"/>
      <c r="U164" s="489"/>
      <c r="V164" s="489"/>
      <c r="W164" s="489"/>
      <c r="X164" s="489"/>
      <c r="Y164" s="489"/>
      <c r="Z164" s="489"/>
      <c r="AA164" s="489"/>
      <c r="AB164" s="489"/>
    </row>
    <row r="165" spans="1:28">
      <c r="A165" s="489"/>
      <c r="B165" s="701"/>
      <c r="C165" s="489"/>
      <c r="D165" s="489"/>
      <c r="E165" s="489"/>
      <c r="F165" s="489"/>
      <c r="G165" s="489"/>
      <c r="H165" s="489"/>
      <c r="I165" s="489"/>
      <c r="J165" s="489"/>
      <c r="K165" s="489"/>
      <c r="L165" s="489"/>
      <c r="M165" s="489"/>
      <c r="N165" s="489"/>
      <c r="O165" s="489"/>
      <c r="P165" s="489"/>
      <c r="Q165" s="489"/>
      <c r="R165" s="489"/>
      <c r="S165" s="489"/>
      <c r="T165" s="489"/>
      <c r="U165" s="489"/>
      <c r="V165" s="489"/>
      <c r="W165" s="489"/>
      <c r="X165" s="489"/>
      <c r="Y165" s="489"/>
      <c r="Z165" s="489"/>
      <c r="AA165" s="489"/>
      <c r="AB165" s="489"/>
    </row>
    <row r="166" spans="1:28">
      <c r="A166" s="489"/>
      <c r="B166" s="701"/>
      <c r="C166" s="489"/>
      <c r="D166" s="489"/>
      <c r="E166" s="489"/>
      <c r="F166" s="489"/>
      <c r="G166" s="489"/>
      <c r="H166" s="489"/>
      <c r="I166" s="489"/>
      <c r="J166" s="489"/>
      <c r="K166" s="489"/>
      <c r="L166" s="489"/>
      <c r="M166" s="489"/>
      <c r="N166" s="489"/>
      <c r="O166" s="489"/>
      <c r="P166" s="489"/>
      <c r="Q166" s="489"/>
      <c r="R166" s="489"/>
      <c r="S166" s="489"/>
      <c r="T166" s="489"/>
      <c r="U166" s="489"/>
      <c r="V166" s="489"/>
      <c r="W166" s="489"/>
      <c r="X166" s="489"/>
      <c r="Y166" s="489"/>
      <c r="Z166" s="489"/>
      <c r="AA166" s="489"/>
      <c r="AB166" s="489"/>
    </row>
    <row r="167" spans="1:28">
      <c r="A167" s="489"/>
      <c r="B167" s="701"/>
      <c r="C167" s="489"/>
      <c r="D167" s="489"/>
      <c r="E167" s="489"/>
      <c r="F167" s="489"/>
      <c r="G167" s="489"/>
      <c r="H167" s="489"/>
      <c r="I167" s="489"/>
      <c r="J167" s="489"/>
      <c r="K167" s="489"/>
      <c r="L167" s="489"/>
      <c r="M167" s="489"/>
      <c r="N167" s="489"/>
      <c r="O167" s="489"/>
      <c r="P167" s="489"/>
      <c r="Q167" s="489"/>
      <c r="R167" s="489"/>
      <c r="S167" s="489"/>
      <c r="T167" s="489"/>
      <c r="U167" s="489"/>
      <c r="V167" s="489"/>
      <c r="W167" s="489"/>
      <c r="X167" s="489"/>
      <c r="Y167" s="489"/>
      <c r="Z167" s="489"/>
      <c r="AA167" s="489"/>
      <c r="AB167" s="489"/>
    </row>
    <row r="168" spans="1:28">
      <c r="A168" s="489"/>
      <c r="B168" s="701"/>
      <c r="C168" s="489"/>
      <c r="D168" s="489"/>
      <c r="E168" s="489"/>
      <c r="F168" s="489"/>
      <c r="G168" s="489"/>
      <c r="H168" s="489"/>
      <c r="I168" s="489"/>
      <c r="J168" s="489"/>
      <c r="K168" s="489"/>
      <c r="L168" s="489"/>
      <c r="M168" s="489"/>
      <c r="N168" s="489"/>
      <c r="O168" s="489"/>
      <c r="P168" s="489"/>
      <c r="Q168" s="489"/>
      <c r="R168" s="489"/>
      <c r="S168" s="489"/>
      <c r="T168" s="489"/>
      <c r="U168" s="489"/>
      <c r="V168" s="489"/>
      <c r="W168" s="489"/>
      <c r="X168" s="489"/>
      <c r="Y168" s="489"/>
      <c r="Z168" s="489"/>
      <c r="AA168" s="489"/>
      <c r="AB168" s="489"/>
    </row>
    <row r="169" spans="1:28">
      <c r="A169" s="489"/>
      <c r="B169" s="701"/>
      <c r="C169" s="489"/>
      <c r="D169" s="489"/>
      <c r="E169" s="489"/>
      <c r="F169" s="489"/>
      <c r="G169" s="489"/>
      <c r="H169" s="489"/>
      <c r="I169" s="489"/>
      <c r="J169" s="489"/>
      <c r="K169" s="489"/>
      <c r="L169" s="489"/>
      <c r="M169" s="489"/>
      <c r="N169" s="489"/>
      <c r="O169" s="489"/>
      <c r="P169" s="489"/>
      <c r="Q169" s="489"/>
      <c r="R169" s="489"/>
      <c r="S169" s="489"/>
      <c r="T169" s="489"/>
      <c r="U169" s="489"/>
      <c r="V169" s="489"/>
      <c r="W169" s="489"/>
      <c r="X169" s="489"/>
      <c r="Y169" s="489"/>
      <c r="Z169" s="489"/>
      <c r="AA169" s="489"/>
      <c r="AB169" s="489"/>
    </row>
    <row r="170" spans="1:28">
      <c r="A170" s="489"/>
      <c r="B170" s="701"/>
      <c r="C170" s="489"/>
      <c r="D170" s="489"/>
      <c r="E170" s="489"/>
      <c r="F170" s="489"/>
      <c r="G170" s="489"/>
      <c r="H170" s="489"/>
      <c r="I170" s="489"/>
      <c r="J170" s="489"/>
      <c r="K170" s="489"/>
      <c r="L170" s="489"/>
      <c r="M170" s="489"/>
      <c r="N170" s="489"/>
      <c r="O170" s="489"/>
      <c r="P170" s="489"/>
      <c r="Q170" s="489"/>
      <c r="R170" s="489"/>
      <c r="S170" s="489"/>
      <c r="T170" s="489"/>
      <c r="U170" s="489"/>
      <c r="V170" s="489"/>
      <c r="W170" s="489"/>
      <c r="X170" s="489"/>
      <c r="Y170" s="489"/>
      <c r="Z170" s="489"/>
      <c r="AA170" s="489"/>
      <c r="AB170" s="489"/>
    </row>
    <row r="171" spans="1:28">
      <c r="A171" s="489"/>
      <c r="B171" s="701"/>
      <c r="C171" s="489"/>
      <c r="D171" s="489"/>
      <c r="E171" s="489"/>
      <c r="F171" s="489"/>
      <c r="G171" s="489"/>
      <c r="H171" s="489"/>
      <c r="I171" s="489"/>
      <c r="J171" s="489"/>
      <c r="K171" s="489"/>
      <c r="L171" s="489"/>
      <c r="M171" s="489"/>
      <c r="N171" s="489"/>
      <c r="O171" s="489"/>
      <c r="P171" s="489"/>
      <c r="Q171" s="489"/>
      <c r="R171" s="489"/>
      <c r="S171" s="489"/>
      <c r="T171" s="489"/>
      <c r="U171" s="489"/>
      <c r="V171" s="489"/>
      <c r="W171" s="489"/>
      <c r="X171" s="489"/>
      <c r="Y171" s="489"/>
      <c r="Z171" s="489"/>
      <c r="AA171" s="489"/>
      <c r="AB171" s="489"/>
    </row>
    <row r="172" spans="1:28">
      <c r="A172" s="489"/>
      <c r="B172" s="701"/>
      <c r="C172" s="489"/>
      <c r="D172" s="489"/>
      <c r="E172" s="489"/>
      <c r="F172" s="489"/>
      <c r="G172" s="489"/>
      <c r="H172" s="489"/>
      <c r="I172" s="489"/>
      <c r="J172" s="489"/>
      <c r="K172" s="489"/>
      <c r="L172" s="489"/>
      <c r="M172" s="489"/>
      <c r="N172" s="489"/>
      <c r="O172" s="489"/>
      <c r="P172" s="489"/>
      <c r="Q172" s="489"/>
      <c r="R172" s="489"/>
      <c r="S172" s="489"/>
      <c r="T172" s="489"/>
      <c r="U172" s="489"/>
      <c r="V172" s="489"/>
      <c r="W172" s="489"/>
      <c r="X172" s="489"/>
      <c r="Y172" s="489"/>
      <c r="Z172" s="489"/>
      <c r="AA172" s="489"/>
      <c r="AB172" s="489"/>
    </row>
    <row r="173" spans="1:28">
      <c r="A173" s="489"/>
      <c r="B173" s="701"/>
      <c r="C173" s="489"/>
      <c r="D173" s="489"/>
      <c r="E173" s="489"/>
      <c r="F173" s="489"/>
      <c r="G173" s="489"/>
      <c r="H173" s="489"/>
      <c r="I173" s="489"/>
      <c r="J173" s="489"/>
      <c r="K173" s="489"/>
      <c r="L173" s="489"/>
      <c r="M173" s="489"/>
      <c r="N173" s="489"/>
      <c r="O173" s="489"/>
      <c r="P173" s="489"/>
      <c r="Q173" s="489"/>
      <c r="R173" s="489"/>
      <c r="S173" s="489"/>
      <c r="T173" s="489"/>
      <c r="U173" s="489"/>
      <c r="V173" s="489"/>
      <c r="W173" s="489"/>
      <c r="X173" s="489"/>
      <c r="Y173" s="489"/>
      <c r="Z173" s="489"/>
      <c r="AA173" s="489"/>
      <c r="AB173" s="489"/>
    </row>
    <row r="174" spans="1:28">
      <c r="A174" s="489"/>
      <c r="B174" s="701"/>
      <c r="C174" s="489"/>
      <c r="D174" s="489"/>
      <c r="E174" s="489"/>
      <c r="F174" s="489"/>
      <c r="G174" s="489"/>
      <c r="H174" s="489"/>
      <c r="I174" s="489"/>
      <c r="J174" s="489"/>
      <c r="K174" s="489"/>
      <c r="L174" s="489"/>
      <c r="M174" s="489"/>
      <c r="N174" s="489"/>
      <c r="O174" s="489"/>
      <c r="P174" s="489"/>
      <c r="Q174" s="489"/>
      <c r="R174" s="489"/>
      <c r="S174" s="489"/>
      <c r="T174" s="489"/>
      <c r="U174" s="489"/>
      <c r="V174" s="489"/>
      <c r="W174" s="489"/>
      <c r="X174" s="489"/>
      <c r="Y174" s="489"/>
      <c r="Z174" s="489"/>
      <c r="AA174" s="489"/>
      <c r="AB174" s="489"/>
    </row>
    <row r="175" spans="1:28">
      <c r="A175" s="489"/>
      <c r="B175" s="701"/>
      <c r="C175" s="489"/>
      <c r="D175" s="489"/>
      <c r="E175" s="489"/>
      <c r="F175" s="489"/>
      <c r="G175" s="489"/>
      <c r="H175" s="489"/>
      <c r="I175" s="489"/>
      <c r="J175" s="489"/>
      <c r="K175" s="489"/>
      <c r="L175" s="489"/>
      <c r="M175" s="489"/>
      <c r="N175" s="489"/>
      <c r="O175" s="489"/>
      <c r="P175" s="489"/>
      <c r="Q175" s="489"/>
      <c r="R175" s="489"/>
      <c r="S175" s="489"/>
      <c r="T175" s="489"/>
      <c r="U175" s="489"/>
      <c r="V175" s="489"/>
      <c r="W175" s="489"/>
      <c r="X175" s="489"/>
      <c r="Y175" s="489"/>
      <c r="Z175" s="489"/>
      <c r="AA175" s="489"/>
      <c r="AB175" s="489"/>
    </row>
    <row r="176" spans="1:28">
      <c r="A176" s="489"/>
      <c r="B176" s="701"/>
      <c r="C176" s="489"/>
      <c r="D176" s="489"/>
      <c r="E176" s="489"/>
      <c r="F176" s="489"/>
      <c r="G176" s="489"/>
      <c r="H176" s="489"/>
      <c r="I176" s="489"/>
      <c r="J176" s="489"/>
      <c r="K176" s="489"/>
      <c r="L176" s="489"/>
      <c r="M176" s="489"/>
      <c r="N176" s="489"/>
      <c r="O176" s="489"/>
      <c r="P176" s="489"/>
      <c r="Q176" s="489"/>
      <c r="R176" s="489"/>
      <c r="S176" s="489"/>
      <c r="T176" s="489"/>
      <c r="U176" s="489"/>
      <c r="V176" s="489"/>
      <c r="W176" s="489"/>
      <c r="X176" s="489"/>
      <c r="Y176" s="489"/>
      <c r="Z176" s="489"/>
      <c r="AA176" s="489"/>
      <c r="AB176" s="489"/>
    </row>
    <row r="177" spans="1:28">
      <c r="A177" s="489"/>
      <c r="B177" s="701"/>
      <c r="C177" s="489"/>
      <c r="D177" s="489"/>
      <c r="E177" s="489"/>
      <c r="F177" s="489"/>
      <c r="G177" s="489"/>
      <c r="H177" s="489"/>
      <c r="I177" s="489"/>
      <c r="J177" s="489"/>
      <c r="K177" s="489"/>
      <c r="L177" s="489"/>
      <c r="M177" s="489"/>
      <c r="N177" s="489"/>
      <c r="O177" s="489"/>
      <c r="P177" s="489"/>
      <c r="Q177" s="489"/>
      <c r="R177" s="489"/>
      <c r="S177" s="489"/>
      <c r="T177" s="489"/>
      <c r="U177" s="489"/>
      <c r="V177" s="489"/>
      <c r="W177" s="489"/>
      <c r="X177" s="489"/>
      <c r="Y177" s="489"/>
      <c r="Z177" s="489"/>
      <c r="AA177" s="489"/>
      <c r="AB177" s="489"/>
    </row>
    <row r="178" spans="1:28">
      <c r="A178" s="489"/>
      <c r="B178" s="701"/>
      <c r="C178" s="489"/>
      <c r="D178" s="489"/>
      <c r="E178" s="489"/>
      <c r="F178" s="489"/>
      <c r="G178" s="489"/>
      <c r="H178" s="489"/>
      <c r="I178" s="489"/>
      <c r="J178" s="489"/>
      <c r="K178" s="489"/>
      <c r="L178" s="489"/>
      <c r="M178" s="489"/>
      <c r="N178" s="489"/>
      <c r="O178" s="489"/>
      <c r="P178" s="489"/>
      <c r="Q178" s="489"/>
      <c r="R178" s="489"/>
      <c r="S178" s="489"/>
      <c r="T178" s="489"/>
      <c r="U178" s="489"/>
      <c r="V178" s="489"/>
      <c r="W178" s="489"/>
      <c r="X178" s="489"/>
      <c r="Y178" s="489"/>
      <c r="Z178" s="489"/>
      <c r="AA178" s="489"/>
      <c r="AB178" s="489"/>
    </row>
    <row r="179" spans="1:28">
      <c r="A179" s="489"/>
      <c r="B179" s="701"/>
      <c r="C179" s="489"/>
      <c r="D179" s="489"/>
      <c r="E179" s="489"/>
      <c r="F179" s="489"/>
      <c r="G179" s="489"/>
      <c r="H179" s="489"/>
      <c r="I179" s="489"/>
      <c r="J179" s="489"/>
      <c r="K179" s="489"/>
      <c r="L179" s="489"/>
      <c r="M179" s="489"/>
      <c r="N179" s="489"/>
      <c r="O179" s="489"/>
      <c r="P179" s="489"/>
      <c r="Q179" s="489"/>
      <c r="R179" s="489"/>
      <c r="S179" s="489"/>
      <c r="T179" s="489"/>
      <c r="U179" s="489"/>
      <c r="V179" s="489"/>
      <c r="W179" s="489"/>
      <c r="X179" s="489"/>
      <c r="Y179" s="489"/>
      <c r="Z179" s="489"/>
      <c r="AA179" s="489"/>
      <c r="AB179" s="489"/>
    </row>
    <row r="180" spans="1:28">
      <c r="A180" s="489"/>
      <c r="B180" s="701"/>
      <c r="C180" s="489"/>
      <c r="D180" s="489"/>
      <c r="E180" s="489"/>
      <c r="F180" s="489"/>
      <c r="G180" s="489"/>
      <c r="H180" s="489"/>
      <c r="I180" s="489"/>
      <c r="J180" s="489"/>
      <c r="K180" s="489"/>
      <c r="L180" s="489"/>
      <c r="M180" s="489"/>
      <c r="N180" s="489"/>
      <c r="O180" s="489"/>
      <c r="P180" s="489"/>
      <c r="Q180" s="489"/>
      <c r="R180" s="489"/>
      <c r="S180" s="489"/>
      <c r="T180" s="489"/>
      <c r="U180" s="489"/>
      <c r="V180" s="489"/>
      <c r="W180" s="489"/>
      <c r="X180" s="489"/>
      <c r="Y180" s="489"/>
      <c r="Z180" s="489"/>
      <c r="AA180" s="489"/>
      <c r="AB180" s="489"/>
    </row>
    <row r="181" spans="1:28">
      <c r="A181" s="489"/>
      <c r="B181" s="701"/>
      <c r="C181" s="489"/>
      <c r="D181" s="489"/>
      <c r="E181" s="489"/>
      <c r="F181" s="489"/>
      <c r="G181" s="489"/>
      <c r="H181" s="489"/>
      <c r="I181" s="489"/>
      <c r="J181" s="489"/>
      <c r="K181" s="489"/>
      <c r="L181" s="489"/>
      <c r="M181" s="489"/>
      <c r="N181" s="489"/>
      <c r="O181" s="489"/>
      <c r="P181" s="489"/>
      <c r="Q181" s="489"/>
      <c r="R181" s="489"/>
      <c r="S181" s="489"/>
      <c r="T181" s="489"/>
      <c r="U181" s="489"/>
      <c r="V181" s="489"/>
      <c r="W181" s="489"/>
      <c r="X181" s="489"/>
      <c r="Y181" s="489"/>
      <c r="Z181" s="489"/>
      <c r="AA181" s="489"/>
      <c r="AB181" s="489"/>
    </row>
    <row r="182" spans="1:28">
      <c r="A182" s="489"/>
      <c r="B182" s="701"/>
      <c r="C182" s="489"/>
      <c r="D182" s="489"/>
      <c r="E182" s="489"/>
      <c r="F182" s="489"/>
      <c r="G182" s="489"/>
      <c r="H182" s="489"/>
      <c r="I182" s="489"/>
      <c r="J182" s="489"/>
      <c r="K182" s="489"/>
      <c r="L182" s="489"/>
      <c r="M182" s="489"/>
      <c r="N182" s="489"/>
      <c r="O182" s="489"/>
      <c r="P182" s="489"/>
      <c r="Q182" s="489"/>
      <c r="R182" s="489"/>
      <c r="S182" s="489"/>
      <c r="T182" s="489"/>
      <c r="U182" s="489"/>
      <c r="V182" s="489"/>
      <c r="W182" s="489"/>
      <c r="X182" s="489"/>
      <c r="Y182" s="489"/>
      <c r="Z182" s="489"/>
      <c r="AA182" s="489"/>
      <c r="AB182" s="489"/>
    </row>
    <row r="183" spans="1:28">
      <c r="A183" s="489"/>
      <c r="B183" s="701"/>
      <c r="C183" s="489"/>
      <c r="D183" s="489"/>
      <c r="E183" s="489"/>
      <c r="F183" s="489"/>
      <c r="G183" s="489"/>
      <c r="H183" s="489"/>
      <c r="I183" s="489"/>
      <c r="J183" s="489"/>
      <c r="K183" s="489"/>
      <c r="L183" s="489"/>
      <c r="M183" s="489"/>
      <c r="N183" s="489"/>
      <c r="O183" s="489"/>
      <c r="P183" s="489"/>
      <c r="Q183" s="489"/>
      <c r="R183" s="489"/>
      <c r="S183" s="489"/>
      <c r="T183" s="489"/>
      <c r="U183" s="489"/>
      <c r="V183" s="489"/>
      <c r="W183" s="489"/>
      <c r="X183" s="489"/>
      <c r="Y183" s="489"/>
      <c r="Z183" s="489"/>
      <c r="AA183" s="489"/>
      <c r="AB183" s="489"/>
    </row>
    <row r="184" spans="1:28">
      <c r="A184" s="489"/>
      <c r="B184" s="701"/>
      <c r="C184" s="489"/>
      <c r="D184" s="489"/>
      <c r="E184" s="489"/>
      <c r="F184" s="489"/>
      <c r="G184" s="489"/>
      <c r="H184" s="489"/>
      <c r="I184" s="489"/>
      <c r="J184" s="489"/>
      <c r="K184" s="489"/>
      <c r="L184" s="489"/>
      <c r="M184" s="489"/>
      <c r="N184" s="489"/>
      <c r="O184" s="489"/>
      <c r="P184" s="489"/>
      <c r="Q184" s="489"/>
      <c r="R184" s="489"/>
      <c r="S184" s="489"/>
      <c r="T184" s="489"/>
      <c r="U184" s="489"/>
      <c r="V184" s="489"/>
      <c r="W184" s="489"/>
      <c r="X184" s="489"/>
      <c r="Y184" s="489"/>
      <c r="Z184" s="489"/>
      <c r="AA184" s="489"/>
      <c r="AB184" s="489"/>
    </row>
    <row r="185" spans="1:28">
      <c r="A185" s="489"/>
      <c r="B185" s="701"/>
      <c r="C185" s="489"/>
      <c r="D185" s="489"/>
      <c r="E185" s="489"/>
      <c r="F185" s="489"/>
      <c r="G185" s="489"/>
      <c r="H185" s="489"/>
      <c r="I185" s="489"/>
      <c r="J185" s="489"/>
      <c r="K185" s="489"/>
      <c r="L185" s="489"/>
      <c r="M185" s="489"/>
      <c r="N185" s="489"/>
      <c r="O185" s="489"/>
      <c r="P185" s="489"/>
      <c r="Q185" s="489"/>
      <c r="R185" s="489"/>
      <c r="S185" s="489"/>
      <c r="T185" s="489"/>
      <c r="U185" s="489"/>
      <c r="V185" s="489"/>
      <c r="W185" s="489"/>
      <c r="X185" s="489"/>
      <c r="Y185" s="489"/>
      <c r="Z185" s="489"/>
      <c r="AA185" s="489"/>
      <c r="AB185" s="489"/>
    </row>
    <row r="186" spans="1:28">
      <c r="A186" s="489"/>
      <c r="B186" s="701"/>
      <c r="C186" s="489"/>
      <c r="D186" s="489"/>
      <c r="E186" s="489"/>
      <c r="F186" s="489"/>
      <c r="G186" s="489"/>
      <c r="H186" s="489"/>
      <c r="I186" s="489"/>
      <c r="J186" s="489"/>
      <c r="K186" s="489"/>
      <c r="L186" s="489"/>
      <c r="M186" s="489"/>
      <c r="N186" s="489"/>
      <c r="O186" s="489"/>
      <c r="P186" s="489"/>
      <c r="Q186" s="489"/>
      <c r="R186" s="489"/>
      <c r="S186" s="489"/>
      <c r="T186" s="489"/>
      <c r="U186" s="489"/>
      <c r="V186" s="489"/>
      <c r="W186" s="489"/>
      <c r="X186" s="489"/>
      <c r="Y186" s="489"/>
      <c r="Z186" s="489"/>
      <c r="AA186" s="489"/>
      <c r="AB186" s="489"/>
    </row>
    <row r="187" spans="1:28">
      <c r="A187" s="489"/>
      <c r="B187" s="701"/>
      <c r="C187" s="489"/>
      <c r="D187" s="489"/>
      <c r="E187" s="489"/>
      <c r="F187" s="489"/>
      <c r="G187" s="489"/>
      <c r="H187" s="489"/>
      <c r="I187" s="489"/>
      <c r="J187" s="489"/>
      <c r="K187" s="489"/>
      <c r="L187" s="489"/>
      <c r="M187" s="489"/>
      <c r="N187" s="489"/>
      <c r="O187" s="489"/>
      <c r="P187" s="489"/>
      <c r="Q187" s="489"/>
      <c r="R187" s="489"/>
      <c r="S187" s="489"/>
      <c r="T187" s="489"/>
      <c r="U187" s="489"/>
      <c r="V187" s="489"/>
      <c r="W187" s="489"/>
      <c r="X187" s="489"/>
      <c r="Y187" s="489"/>
      <c r="Z187" s="489"/>
      <c r="AA187" s="489"/>
      <c r="AB187" s="489"/>
    </row>
    <row r="188" spans="1:28">
      <c r="A188" s="489"/>
      <c r="B188" s="701"/>
      <c r="C188" s="489"/>
      <c r="D188" s="489"/>
      <c r="E188" s="489"/>
      <c r="F188" s="489"/>
      <c r="G188" s="489"/>
      <c r="H188" s="489"/>
      <c r="I188" s="489"/>
      <c r="J188" s="489"/>
      <c r="K188" s="489"/>
      <c r="L188" s="489"/>
      <c r="M188" s="489"/>
      <c r="N188" s="489"/>
      <c r="O188" s="489"/>
      <c r="P188" s="489"/>
      <c r="Q188" s="489"/>
      <c r="R188" s="489"/>
      <c r="S188" s="489"/>
      <c r="T188" s="489"/>
      <c r="U188" s="489"/>
      <c r="V188" s="489"/>
      <c r="W188" s="489"/>
      <c r="X188" s="489"/>
      <c r="Y188" s="489"/>
      <c r="Z188" s="489"/>
      <c r="AA188" s="489"/>
      <c r="AB188" s="489"/>
    </row>
    <row r="189" spans="1:28">
      <c r="A189" s="489"/>
      <c r="B189" s="701"/>
      <c r="C189" s="489"/>
      <c r="D189" s="489"/>
      <c r="E189" s="489"/>
      <c r="F189" s="489"/>
      <c r="G189" s="489"/>
      <c r="H189" s="489"/>
      <c r="I189" s="489"/>
      <c r="J189" s="489"/>
      <c r="K189" s="489"/>
      <c r="L189" s="489"/>
      <c r="M189" s="489"/>
      <c r="N189" s="489"/>
      <c r="O189" s="489"/>
      <c r="P189" s="489"/>
      <c r="Q189" s="489"/>
      <c r="R189" s="489"/>
      <c r="S189" s="489"/>
      <c r="T189" s="489"/>
      <c r="U189" s="489"/>
      <c r="V189" s="489"/>
      <c r="W189" s="489"/>
      <c r="X189" s="489"/>
      <c r="Y189" s="489"/>
      <c r="Z189" s="489"/>
      <c r="AA189" s="489"/>
      <c r="AB189" s="489"/>
    </row>
    <row r="190" spans="1:28">
      <c r="A190" s="489"/>
      <c r="B190" s="701"/>
      <c r="C190" s="489"/>
      <c r="D190" s="489"/>
      <c r="E190" s="489"/>
      <c r="F190" s="489"/>
      <c r="G190" s="489"/>
      <c r="H190" s="489"/>
      <c r="I190" s="489"/>
      <c r="J190" s="489"/>
      <c r="K190" s="489"/>
      <c r="L190" s="489"/>
      <c r="M190" s="489"/>
      <c r="N190" s="489"/>
      <c r="O190" s="489"/>
      <c r="P190" s="489"/>
      <c r="Q190" s="489"/>
      <c r="R190" s="489"/>
      <c r="S190" s="489"/>
      <c r="T190" s="489"/>
      <c r="U190" s="489"/>
      <c r="V190" s="489"/>
      <c r="W190" s="489"/>
      <c r="X190" s="489"/>
      <c r="Y190" s="489"/>
      <c r="Z190" s="489"/>
      <c r="AA190" s="489"/>
      <c r="AB190" s="489"/>
    </row>
    <row r="191" spans="1:28">
      <c r="A191" s="489"/>
      <c r="B191" s="701"/>
      <c r="C191" s="489"/>
      <c r="D191" s="489"/>
      <c r="E191" s="489"/>
      <c r="F191" s="489"/>
      <c r="G191" s="489"/>
      <c r="H191" s="489"/>
      <c r="I191" s="489"/>
      <c r="J191" s="489"/>
      <c r="K191" s="489"/>
      <c r="L191" s="489"/>
      <c r="M191" s="489"/>
      <c r="N191" s="489"/>
      <c r="O191" s="489"/>
      <c r="P191" s="489"/>
      <c r="Q191" s="489"/>
      <c r="R191" s="489"/>
      <c r="S191" s="489"/>
      <c r="T191" s="489"/>
      <c r="U191" s="489"/>
      <c r="V191" s="489"/>
      <c r="W191" s="489"/>
      <c r="X191" s="489"/>
      <c r="Y191" s="489"/>
      <c r="Z191" s="489"/>
      <c r="AA191" s="489"/>
      <c r="AB191" s="489"/>
    </row>
    <row r="192" spans="1:28">
      <c r="A192" s="489"/>
      <c r="B192" s="701"/>
      <c r="C192" s="489"/>
      <c r="D192" s="489"/>
      <c r="E192" s="489"/>
      <c r="F192" s="489"/>
      <c r="G192" s="489"/>
      <c r="H192" s="489"/>
      <c r="I192" s="489"/>
      <c r="J192" s="489"/>
      <c r="K192" s="489"/>
      <c r="L192" s="489"/>
      <c r="M192" s="489"/>
      <c r="N192" s="489"/>
      <c r="O192" s="489"/>
      <c r="P192" s="489"/>
      <c r="Q192" s="489"/>
      <c r="R192" s="489"/>
      <c r="S192" s="489"/>
      <c r="T192" s="489"/>
      <c r="U192" s="489"/>
      <c r="V192" s="489"/>
      <c r="W192" s="489"/>
      <c r="X192" s="489"/>
      <c r="Y192" s="489"/>
      <c r="Z192" s="489"/>
      <c r="AA192" s="489"/>
      <c r="AB192" s="489"/>
    </row>
    <row r="193" spans="1:28">
      <c r="A193" s="489"/>
      <c r="B193" s="701"/>
      <c r="C193" s="489"/>
      <c r="D193" s="489"/>
      <c r="E193" s="489"/>
      <c r="F193" s="489"/>
      <c r="G193" s="489"/>
      <c r="H193" s="489"/>
      <c r="I193" s="489"/>
      <c r="J193" s="489"/>
      <c r="K193" s="489"/>
      <c r="L193" s="489"/>
      <c r="M193" s="489"/>
      <c r="N193" s="489"/>
      <c r="O193" s="489"/>
      <c r="P193" s="489"/>
      <c r="Q193" s="489"/>
      <c r="R193" s="489"/>
      <c r="S193" s="489"/>
      <c r="T193" s="489"/>
      <c r="U193" s="489"/>
      <c r="V193" s="489"/>
      <c r="W193" s="489"/>
      <c r="X193" s="489"/>
      <c r="Y193" s="489"/>
      <c r="Z193" s="489"/>
      <c r="AA193" s="489"/>
      <c r="AB193" s="489"/>
    </row>
    <row r="194" spans="1:28">
      <c r="A194" s="489"/>
      <c r="B194" s="701"/>
      <c r="C194" s="489"/>
      <c r="D194" s="489"/>
      <c r="E194" s="489"/>
      <c r="F194" s="489"/>
      <c r="G194" s="489"/>
      <c r="H194" s="489"/>
      <c r="I194" s="489"/>
      <c r="J194" s="489"/>
      <c r="K194" s="489"/>
      <c r="L194" s="489"/>
      <c r="M194" s="489"/>
      <c r="N194" s="489"/>
      <c r="O194" s="489"/>
      <c r="P194" s="489"/>
      <c r="Q194" s="489"/>
      <c r="R194" s="489"/>
      <c r="S194" s="489"/>
      <c r="T194" s="489"/>
      <c r="U194" s="489"/>
      <c r="V194" s="489"/>
      <c r="W194" s="489"/>
      <c r="X194" s="489"/>
      <c r="Y194" s="489"/>
      <c r="Z194" s="489"/>
      <c r="AA194" s="489"/>
      <c r="AB194" s="489"/>
    </row>
    <row r="195" spans="1:28">
      <c r="A195" s="489"/>
      <c r="B195" s="701"/>
      <c r="C195" s="489"/>
      <c r="D195" s="489"/>
      <c r="E195" s="489"/>
      <c r="F195" s="489"/>
      <c r="G195" s="489"/>
      <c r="H195" s="489"/>
      <c r="I195" s="489"/>
      <c r="J195" s="489"/>
      <c r="K195" s="489"/>
      <c r="L195" s="489"/>
      <c r="M195" s="489"/>
      <c r="N195" s="489"/>
      <c r="O195" s="489"/>
      <c r="P195" s="489"/>
      <c r="Q195" s="489"/>
      <c r="R195" s="489"/>
      <c r="S195" s="489"/>
      <c r="T195" s="489"/>
      <c r="U195" s="489"/>
      <c r="V195" s="489"/>
      <c r="W195" s="489"/>
      <c r="X195" s="489"/>
      <c r="Y195" s="489"/>
      <c r="Z195" s="489"/>
      <c r="AA195" s="489"/>
      <c r="AB195" s="489"/>
    </row>
    <row r="196" spans="1:28">
      <c r="A196" s="489"/>
      <c r="B196" s="701"/>
      <c r="C196" s="489"/>
      <c r="D196" s="489"/>
      <c r="E196" s="489"/>
      <c r="F196" s="489"/>
      <c r="G196" s="489"/>
      <c r="H196" s="489"/>
      <c r="I196" s="489"/>
      <c r="J196" s="489"/>
      <c r="K196" s="489"/>
      <c r="L196" s="489"/>
      <c r="M196" s="489"/>
      <c r="N196" s="489"/>
      <c r="O196" s="489"/>
      <c r="P196" s="489"/>
      <c r="Q196" s="489"/>
      <c r="R196" s="489"/>
      <c r="S196" s="489"/>
      <c r="T196" s="489"/>
      <c r="U196" s="489"/>
      <c r="V196" s="489"/>
      <c r="W196" s="489"/>
      <c r="X196" s="489"/>
      <c r="Y196" s="489"/>
      <c r="Z196" s="489"/>
      <c r="AA196" s="489"/>
      <c r="AB196" s="489"/>
    </row>
    <row r="197" spans="1:28">
      <c r="A197" s="489"/>
      <c r="B197" s="701"/>
      <c r="C197" s="489"/>
      <c r="D197" s="489"/>
      <c r="E197" s="489"/>
      <c r="F197" s="489"/>
      <c r="G197" s="489"/>
      <c r="H197" s="489"/>
      <c r="I197" s="489"/>
      <c r="J197" s="489"/>
      <c r="K197" s="489"/>
      <c r="L197" s="489"/>
      <c r="M197" s="489"/>
      <c r="N197" s="489"/>
      <c r="O197" s="489"/>
      <c r="P197" s="489"/>
      <c r="Q197" s="489"/>
      <c r="R197" s="489"/>
      <c r="S197" s="489"/>
      <c r="T197" s="489"/>
      <c r="U197" s="489"/>
      <c r="V197" s="489"/>
      <c r="W197" s="489"/>
      <c r="X197" s="489"/>
      <c r="Y197" s="489"/>
      <c r="Z197" s="489"/>
      <c r="AA197" s="489"/>
      <c r="AB197" s="489"/>
    </row>
    <row r="198" spans="1:28">
      <c r="A198" s="489"/>
      <c r="B198" s="701"/>
      <c r="C198" s="489"/>
      <c r="D198" s="489"/>
      <c r="E198" s="489"/>
      <c r="F198" s="489"/>
      <c r="G198" s="489"/>
      <c r="H198" s="489"/>
      <c r="I198" s="489"/>
      <c r="J198" s="489"/>
      <c r="K198" s="489"/>
      <c r="L198" s="489"/>
      <c r="M198" s="489"/>
      <c r="N198" s="489"/>
      <c r="O198" s="489"/>
      <c r="P198" s="489"/>
      <c r="Q198" s="489"/>
      <c r="R198" s="489"/>
      <c r="S198" s="489"/>
      <c r="T198" s="489"/>
      <c r="U198" s="489"/>
      <c r="V198" s="489"/>
      <c r="W198" s="489"/>
      <c r="X198" s="489"/>
      <c r="Y198" s="489"/>
      <c r="Z198" s="489"/>
      <c r="AA198" s="489"/>
      <c r="AB198" s="489"/>
    </row>
    <row r="199" spans="1:28">
      <c r="A199" s="489"/>
      <c r="B199" s="701"/>
      <c r="C199" s="489"/>
      <c r="D199" s="489"/>
      <c r="E199" s="489"/>
      <c r="F199" s="489"/>
      <c r="G199" s="489"/>
      <c r="H199" s="489"/>
      <c r="I199" s="489"/>
      <c r="J199" s="489"/>
      <c r="K199" s="489"/>
      <c r="L199" s="489"/>
      <c r="M199" s="489"/>
      <c r="N199" s="489"/>
      <c r="O199" s="489"/>
      <c r="P199" s="489"/>
      <c r="Q199" s="489"/>
      <c r="R199" s="489"/>
      <c r="S199" s="489"/>
      <c r="T199" s="489"/>
      <c r="U199" s="489"/>
      <c r="V199" s="489"/>
      <c r="W199" s="489"/>
      <c r="X199" s="489"/>
      <c r="Y199" s="489"/>
      <c r="Z199" s="489"/>
      <c r="AA199" s="489"/>
      <c r="AB199" s="489"/>
    </row>
    <row r="200" spans="1:28">
      <c r="A200" s="489"/>
      <c r="B200" s="701"/>
      <c r="C200" s="489"/>
      <c r="D200" s="489"/>
      <c r="E200" s="489"/>
      <c r="F200" s="489"/>
      <c r="G200" s="489"/>
      <c r="H200" s="489"/>
      <c r="I200" s="489"/>
      <c r="J200" s="489"/>
      <c r="K200" s="489"/>
      <c r="L200" s="489"/>
      <c r="M200" s="489"/>
      <c r="N200" s="489"/>
      <c r="O200" s="489"/>
      <c r="P200" s="489"/>
      <c r="Q200" s="489"/>
      <c r="R200" s="489"/>
      <c r="S200" s="489"/>
      <c r="T200" s="489"/>
      <c r="U200" s="489"/>
      <c r="V200" s="489"/>
      <c r="W200" s="489"/>
      <c r="X200" s="489"/>
      <c r="Y200" s="489"/>
      <c r="Z200" s="489"/>
      <c r="AA200" s="489"/>
      <c r="AB200" s="489"/>
    </row>
    <row r="201" spans="1:28">
      <c r="A201" s="489"/>
      <c r="B201" s="701"/>
      <c r="C201" s="489"/>
      <c r="D201" s="489"/>
      <c r="E201" s="489"/>
      <c r="F201" s="489"/>
      <c r="G201" s="489"/>
      <c r="H201" s="489"/>
      <c r="I201" s="489"/>
      <c r="J201" s="489"/>
      <c r="K201" s="489"/>
      <c r="L201" s="489"/>
      <c r="M201" s="489"/>
      <c r="N201" s="489"/>
      <c r="O201" s="489"/>
      <c r="P201" s="489"/>
      <c r="Q201" s="489"/>
      <c r="R201" s="489"/>
      <c r="S201" s="489"/>
      <c r="T201" s="489"/>
      <c r="U201" s="489"/>
      <c r="V201" s="489"/>
      <c r="W201" s="489"/>
      <c r="X201" s="489"/>
      <c r="Y201" s="489"/>
      <c r="Z201" s="489"/>
      <c r="AA201" s="489"/>
      <c r="AB201" s="489"/>
    </row>
    <row r="202" spans="1:28">
      <c r="A202" s="489"/>
      <c r="B202" s="701"/>
      <c r="C202" s="489"/>
      <c r="D202" s="489"/>
      <c r="E202" s="489"/>
      <c r="F202" s="489"/>
      <c r="G202" s="489"/>
      <c r="H202" s="489"/>
      <c r="I202" s="489"/>
      <c r="J202" s="489"/>
      <c r="K202" s="489"/>
      <c r="L202" s="489"/>
      <c r="M202" s="489"/>
      <c r="N202" s="489"/>
      <c r="O202" s="489"/>
      <c r="P202" s="489"/>
      <c r="Q202" s="489"/>
      <c r="R202" s="489"/>
      <c r="S202" s="489"/>
      <c r="T202" s="489"/>
      <c r="U202" s="489"/>
      <c r="V202" s="489"/>
      <c r="W202" s="489"/>
      <c r="X202" s="489"/>
      <c r="Y202" s="489"/>
      <c r="Z202" s="489"/>
      <c r="AA202" s="489"/>
      <c r="AB202" s="489"/>
    </row>
    <row r="203" spans="1:28">
      <c r="A203" s="489"/>
      <c r="B203" s="701"/>
      <c r="C203" s="489"/>
      <c r="D203" s="489"/>
      <c r="E203" s="489"/>
      <c r="F203" s="489"/>
      <c r="G203" s="489"/>
      <c r="H203" s="489"/>
      <c r="I203" s="489"/>
      <c r="J203" s="489"/>
      <c r="K203" s="489"/>
      <c r="L203" s="489"/>
      <c r="M203" s="489"/>
      <c r="N203" s="489"/>
      <c r="O203" s="489"/>
      <c r="P203" s="489"/>
      <c r="Q203" s="489"/>
      <c r="R203" s="489"/>
      <c r="S203" s="489"/>
      <c r="T203" s="489"/>
      <c r="U203" s="489"/>
      <c r="V203" s="489"/>
      <c r="W203" s="489"/>
      <c r="X203" s="489"/>
      <c r="Y203" s="489"/>
      <c r="Z203" s="489"/>
      <c r="AA203" s="489"/>
      <c r="AB203" s="489"/>
    </row>
    <row r="204" spans="1:28">
      <c r="A204" s="489"/>
      <c r="B204" s="701"/>
      <c r="C204" s="489"/>
      <c r="D204" s="489"/>
      <c r="E204" s="489"/>
      <c r="F204" s="489"/>
      <c r="G204" s="489"/>
      <c r="H204" s="489"/>
      <c r="I204" s="489"/>
      <c r="J204" s="489"/>
      <c r="K204" s="489"/>
      <c r="L204" s="489"/>
      <c r="M204" s="489"/>
      <c r="N204" s="489"/>
      <c r="O204" s="489"/>
      <c r="P204" s="489"/>
      <c r="Q204" s="489"/>
      <c r="R204" s="489"/>
      <c r="S204" s="489"/>
      <c r="T204" s="489"/>
      <c r="U204" s="489"/>
      <c r="V204" s="489"/>
      <c r="W204" s="489"/>
      <c r="X204" s="489"/>
      <c r="Y204" s="489"/>
      <c r="Z204" s="489"/>
      <c r="AA204" s="489"/>
      <c r="AB204" s="489"/>
    </row>
    <row r="205" spans="1:28">
      <c r="A205" s="489"/>
      <c r="B205" s="701"/>
      <c r="C205" s="489"/>
      <c r="D205" s="489"/>
      <c r="E205" s="489"/>
      <c r="F205" s="489"/>
      <c r="G205" s="489"/>
      <c r="H205" s="489"/>
      <c r="I205" s="489"/>
      <c r="J205" s="489"/>
      <c r="K205" s="489"/>
      <c r="L205" s="489"/>
      <c r="M205" s="489"/>
      <c r="N205" s="489"/>
      <c r="O205" s="489"/>
      <c r="P205" s="489"/>
      <c r="Q205" s="489"/>
      <c r="R205" s="489"/>
      <c r="S205" s="489"/>
      <c r="T205" s="489"/>
      <c r="U205" s="489"/>
      <c r="V205" s="489"/>
      <c r="W205" s="489"/>
      <c r="X205" s="489"/>
      <c r="Y205" s="489"/>
      <c r="Z205" s="489"/>
      <c r="AA205" s="489"/>
      <c r="AB205" s="489"/>
    </row>
    <row r="206" spans="1:28">
      <c r="A206" s="489"/>
      <c r="B206" s="701"/>
      <c r="C206" s="489"/>
      <c r="D206" s="489"/>
      <c r="E206" s="489"/>
      <c r="F206" s="489"/>
      <c r="G206" s="489"/>
      <c r="H206" s="489"/>
      <c r="I206" s="489"/>
      <c r="J206" s="489"/>
      <c r="K206" s="489"/>
      <c r="L206" s="489"/>
      <c r="M206" s="489"/>
      <c r="N206" s="489"/>
      <c r="O206" s="489"/>
      <c r="P206" s="489"/>
      <c r="Q206" s="489"/>
      <c r="R206" s="489"/>
      <c r="S206" s="489"/>
      <c r="T206" s="489"/>
      <c r="U206" s="489"/>
      <c r="V206" s="489"/>
      <c r="W206" s="489"/>
      <c r="X206" s="489"/>
      <c r="Y206" s="489"/>
      <c r="Z206" s="489"/>
      <c r="AA206" s="489"/>
      <c r="AB206" s="489"/>
    </row>
    <row r="207" spans="1:28">
      <c r="A207" s="489"/>
      <c r="B207" s="701"/>
      <c r="C207" s="489"/>
      <c r="D207" s="489"/>
      <c r="E207" s="489"/>
      <c r="F207" s="489"/>
      <c r="G207" s="489"/>
      <c r="H207" s="489"/>
      <c r="I207" s="489"/>
      <c r="J207" s="489"/>
      <c r="K207" s="489"/>
      <c r="L207" s="489"/>
      <c r="M207" s="489"/>
      <c r="N207" s="489"/>
      <c r="O207" s="489"/>
      <c r="P207" s="489"/>
      <c r="Q207" s="489"/>
      <c r="R207" s="489"/>
      <c r="S207" s="489"/>
      <c r="T207" s="489"/>
      <c r="U207" s="489"/>
      <c r="V207" s="489"/>
      <c r="W207" s="489"/>
      <c r="X207" s="489"/>
      <c r="Y207" s="489"/>
      <c r="Z207" s="489"/>
      <c r="AA207" s="489"/>
      <c r="AB207" s="489"/>
    </row>
    <row r="208" spans="1:28">
      <c r="A208" s="489"/>
      <c r="B208" s="701"/>
      <c r="C208" s="489"/>
      <c r="D208" s="489"/>
      <c r="E208" s="489"/>
      <c r="F208" s="489"/>
      <c r="G208" s="489"/>
      <c r="H208" s="489"/>
      <c r="I208" s="489"/>
      <c r="J208" s="489"/>
      <c r="K208" s="489"/>
      <c r="L208" s="489"/>
      <c r="M208" s="489"/>
      <c r="N208" s="489"/>
      <c r="O208" s="489"/>
      <c r="P208" s="489"/>
      <c r="Q208" s="489"/>
      <c r="R208" s="489"/>
      <c r="S208" s="489"/>
      <c r="T208" s="489"/>
      <c r="U208" s="489"/>
      <c r="V208" s="489"/>
      <c r="W208" s="489"/>
      <c r="X208" s="489"/>
      <c r="Y208" s="489"/>
      <c r="Z208" s="489"/>
      <c r="AA208" s="489"/>
      <c r="AB208" s="489"/>
    </row>
    <row r="209" spans="1:28">
      <c r="A209" s="489"/>
      <c r="B209" s="701"/>
      <c r="C209" s="489"/>
      <c r="D209" s="489"/>
      <c r="E209" s="489"/>
      <c r="F209" s="489"/>
      <c r="G209" s="489"/>
      <c r="H209" s="489"/>
      <c r="I209" s="489"/>
      <c r="J209" s="489"/>
      <c r="K209" s="489"/>
      <c r="L209" s="489"/>
      <c r="M209" s="489"/>
      <c r="N209" s="489"/>
      <c r="O209" s="489"/>
      <c r="P209" s="489"/>
      <c r="Q209" s="489"/>
      <c r="R209" s="489"/>
      <c r="S209" s="489"/>
      <c r="T209" s="489"/>
      <c r="U209" s="489"/>
      <c r="V209" s="489"/>
      <c r="W209" s="489"/>
      <c r="X209" s="489"/>
      <c r="Y209" s="489"/>
      <c r="Z209" s="489"/>
      <c r="AA209" s="489"/>
      <c r="AB209" s="489"/>
    </row>
    <row r="210" spans="1:28">
      <c r="A210" s="489"/>
      <c r="B210" s="701"/>
      <c r="C210" s="489"/>
      <c r="D210" s="489"/>
      <c r="E210" s="489"/>
      <c r="F210" s="489"/>
      <c r="G210" s="489"/>
      <c r="H210" s="489"/>
      <c r="I210" s="489"/>
      <c r="J210" s="489"/>
      <c r="K210" s="489"/>
      <c r="L210" s="489"/>
      <c r="M210" s="489"/>
      <c r="N210" s="489"/>
      <c r="O210" s="489"/>
      <c r="P210" s="489"/>
      <c r="Q210" s="489"/>
      <c r="R210" s="489"/>
      <c r="S210" s="489"/>
      <c r="T210" s="489"/>
      <c r="U210" s="489"/>
      <c r="V210" s="489"/>
      <c r="W210" s="489"/>
      <c r="X210" s="489"/>
      <c r="Y210" s="489"/>
      <c r="Z210" s="489"/>
      <c r="AA210" s="489"/>
      <c r="AB210" s="489"/>
    </row>
    <row r="211" spans="1:28">
      <c r="A211" s="489"/>
      <c r="B211" s="701"/>
      <c r="C211" s="489"/>
      <c r="D211" s="489"/>
      <c r="E211" s="489"/>
      <c r="F211" s="489"/>
      <c r="G211" s="489"/>
      <c r="H211" s="489"/>
      <c r="I211" s="489"/>
      <c r="J211" s="489"/>
      <c r="K211" s="489"/>
      <c r="L211" s="489"/>
      <c r="M211" s="489"/>
      <c r="N211" s="489"/>
      <c r="O211" s="489"/>
      <c r="P211" s="489"/>
      <c r="Q211" s="489"/>
      <c r="R211" s="489"/>
      <c r="S211" s="489"/>
      <c r="T211" s="489"/>
      <c r="U211" s="489"/>
      <c r="V211" s="489"/>
      <c r="W211" s="489"/>
      <c r="X211" s="489"/>
      <c r="Y211" s="489"/>
      <c r="Z211" s="489"/>
      <c r="AA211" s="489"/>
      <c r="AB211" s="489"/>
    </row>
    <row r="212" spans="1:28">
      <c r="A212" s="489"/>
      <c r="B212" s="701"/>
      <c r="C212" s="489"/>
      <c r="D212" s="489"/>
      <c r="E212" s="489"/>
      <c r="F212" s="489"/>
      <c r="G212" s="489"/>
      <c r="H212" s="489"/>
      <c r="I212" s="489"/>
      <c r="J212" s="489"/>
      <c r="K212" s="489"/>
      <c r="L212" s="489"/>
      <c r="M212" s="489"/>
      <c r="N212" s="489"/>
      <c r="O212" s="489"/>
      <c r="P212" s="489"/>
      <c r="Q212" s="489"/>
      <c r="R212" s="489"/>
      <c r="S212" s="489"/>
      <c r="T212" s="489"/>
      <c r="U212" s="489"/>
      <c r="V212" s="489"/>
      <c r="W212" s="489"/>
      <c r="X212" s="489"/>
      <c r="Y212" s="489"/>
      <c r="Z212" s="489"/>
      <c r="AA212" s="489"/>
      <c r="AB212" s="489"/>
    </row>
    <row r="213" spans="1:28">
      <c r="A213" s="489"/>
      <c r="B213" s="701"/>
      <c r="C213" s="489"/>
      <c r="D213" s="489"/>
      <c r="E213" s="489"/>
      <c r="F213" s="489"/>
      <c r="G213" s="489"/>
      <c r="H213" s="489"/>
      <c r="I213" s="489"/>
      <c r="J213" s="489"/>
      <c r="K213" s="489"/>
      <c r="L213" s="489"/>
      <c r="M213" s="489"/>
      <c r="N213" s="489"/>
      <c r="O213" s="489"/>
      <c r="P213" s="489"/>
      <c r="Q213" s="489"/>
      <c r="R213" s="489"/>
      <c r="S213" s="489"/>
      <c r="T213" s="489"/>
      <c r="U213" s="489"/>
      <c r="V213" s="489"/>
      <c r="W213" s="489"/>
      <c r="X213" s="489"/>
      <c r="Y213" s="489"/>
      <c r="Z213" s="489"/>
      <c r="AA213" s="489"/>
      <c r="AB213" s="489"/>
    </row>
    <row r="214" spans="1:28">
      <c r="A214" s="489"/>
      <c r="B214" s="701"/>
      <c r="C214" s="489"/>
      <c r="D214" s="489"/>
      <c r="E214" s="489"/>
      <c r="F214" s="489"/>
      <c r="G214" s="489"/>
      <c r="H214" s="489"/>
      <c r="I214" s="489"/>
      <c r="J214" s="489"/>
      <c r="K214" s="489"/>
      <c r="L214" s="489"/>
      <c r="M214" s="489"/>
      <c r="N214" s="489"/>
      <c r="O214" s="489"/>
      <c r="P214" s="489"/>
      <c r="Q214" s="489"/>
      <c r="R214" s="489"/>
      <c r="S214" s="489"/>
      <c r="T214" s="489"/>
      <c r="U214" s="489"/>
      <c r="V214" s="489"/>
      <c r="W214" s="489"/>
      <c r="X214" s="489"/>
      <c r="Y214" s="489"/>
      <c r="Z214" s="489"/>
      <c r="AA214" s="489"/>
      <c r="AB214" s="489"/>
    </row>
    <row r="215" spans="1:28">
      <c r="A215" s="489"/>
      <c r="B215" s="701"/>
      <c r="C215" s="489"/>
      <c r="D215" s="489"/>
      <c r="E215" s="489"/>
      <c r="F215" s="489"/>
      <c r="G215" s="489"/>
      <c r="H215" s="489"/>
      <c r="I215" s="489"/>
      <c r="J215" s="489"/>
      <c r="K215" s="489"/>
      <c r="L215" s="489"/>
      <c r="M215" s="489"/>
      <c r="N215" s="489"/>
      <c r="O215" s="489"/>
      <c r="P215" s="489"/>
      <c r="Q215" s="489"/>
      <c r="R215" s="489"/>
      <c r="S215" s="489"/>
      <c r="T215" s="489"/>
      <c r="U215" s="489"/>
      <c r="V215" s="489"/>
      <c r="W215" s="489"/>
      <c r="X215" s="489"/>
      <c r="Y215" s="489"/>
      <c r="Z215" s="489"/>
      <c r="AA215" s="489"/>
      <c r="AB215" s="489"/>
    </row>
    <row r="216" spans="1:28">
      <c r="A216" s="489"/>
      <c r="B216" s="701"/>
      <c r="C216" s="489"/>
      <c r="D216" s="489"/>
      <c r="E216" s="489"/>
      <c r="F216" s="489"/>
      <c r="G216" s="489"/>
      <c r="H216" s="489"/>
      <c r="I216" s="489"/>
      <c r="J216" s="489"/>
      <c r="K216" s="489"/>
      <c r="L216" s="489"/>
      <c r="M216" s="489"/>
      <c r="N216" s="489"/>
      <c r="O216" s="489"/>
      <c r="P216" s="489"/>
      <c r="Q216" s="489"/>
      <c r="R216" s="489"/>
      <c r="S216" s="489"/>
      <c r="T216" s="489"/>
      <c r="U216" s="489"/>
      <c r="V216" s="489"/>
      <c r="W216" s="489"/>
      <c r="X216" s="489"/>
      <c r="Y216" s="489"/>
      <c r="Z216" s="489"/>
      <c r="AA216" s="489"/>
      <c r="AB216" s="489"/>
    </row>
    <row r="217" spans="1:28">
      <c r="A217" s="489"/>
      <c r="B217" s="701"/>
      <c r="C217" s="489"/>
      <c r="D217" s="489"/>
      <c r="E217" s="489"/>
      <c r="F217" s="489"/>
      <c r="G217" s="489"/>
      <c r="H217" s="489"/>
      <c r="I217" s="489"/>
      <c r="J217" s="489"/>
      <c r="K217" s="489"/>
      <c r="L217" s="489"/>
      <c r="M217" s="489"/>
      <c r="N217" s="489"/>
      <c r="O217" s="489"/>
      <c r="P217" s="489"/>
      <c r="Q217" s="489"/>
      <c r="R217" s="489"/>
      <c r="S217" s="489"/>
      <c r="T217" s="489"/>
      <c r="U217" s="489"/>
      <c r="V217" s="489"/>
      <c r="W217" s="489"/>
      <c r="X217" s="489"/>
      <c r="Y217" s="489"/>
      <c r="Z217" s="489"/>
      <c r="AA217" s="489"/>
      <c r="AB217" s="489"/>
    </row>
    <row r="218" spans="1:28">
      <c r="A218" s="489"/>
      <c r="B218" s="701"/>
      <c r="C218" s="489"/>
      <c r="D218" s="489"/>
      <c r="E218" s="489"/>
      <c r="F218" s="489"/>
      <c r="G218" s="489"/>
      <c r="H218" s="489"/>
      <c r="I218" s="489"/>
      <c r="J218" s="489"/>
      <c r="K218" s="489"/>
      <c r="L218" s="489"/>
      <c r="M218" s="489"/>
      <c r="N218" s="489"/>
      <c r="O218" s="489"/>
      <c r="P218" s="489"/>
      <c r="Q218" s="489"/>
      <c r="R218" s="489"/>
      <c r="S218" s="489"/>
      <c r="T218" s="489"/>
      <c r="U218" s="489"/>
      <c r="V218" s="489"/>
      <c r="W218" s="489"/>
      <c r="X218" s="489"/>
      <c r="Y218" s="489"/>
      <c r="Z218" s="489"/>
      <c r="AA218" s="489"/>
      <c r="AB218" s="489"/>
    </row>
    <row r="219" spans="1:28">
      <c r="A219" s="489"/>
      <c r="B219" s="701"/>
      <c r="C219" s="489"/>
      <c r="D219" s="489"/>
      <c r="E219" s="489"/>
      <c r="F219" s="489"/>
      <c r="G219" s="489"/>
      <c r="H219" s="489"/>
      <c r="I219" s="489"/>
      <c r="J219" s="489"/>
      <c r="K219" s="489"/>
      <c r="L219" s="489"/>
      <c r="M219" s="489"/>
      <c r="N219" s="489"/>
      <c r="O219" s="489"/>
      <c r="P219" s="489"/>
      <c r="Q219" s="489"/>
      <c r="R219" s="489"/>
      <c r="S219" s="489"/>
      <c r="T219" s="489"/>
      <c r="U219" s="489"/>
      <c r="V219" s="489"/>
      <c r="W219" s="489"/>
      <c r="X219" s="489"/>
      <c r="Y219" s="489"/>
      <c r="Z219" s="489"/>
      <c r="AA219" s="489"/>
      <c r="AB219" s="489"/>
    </row>
    <row r="220" spans="1:28">
      <c r="A220" s="489"/>
      <c r="B220" s="701"/>
      <c r="C220" s="489"/>
      <c r="D220" s="489"/>
      <c r="E220" s="489"/>
      <c r="F220" s="489"/>
      <c r="G220" s="489"/>
      <c r="H220" s="489"/>
      <c r="I220" s="489"/>
      <c r="J220" s="489"/>
      <c r="K220" s="489"/>
      <c r="L220" s="489"/>
      <c r="M220" s="489"/>
      <c r="N220" s="489"/>
      <c r="O220" s="489"/>
      <c r="P220" s="489"/>
      <c r="Q220" s="489"/>
      <c r="R220" s="489"/>
      <c r="S220" s="489"/>
      <c r="T220" s="489"/>
      <c r="U220" s="489"/>
      <c r="V220" s="489"/>
      <c r="W220" s="489"/>
      <c r="X220" s="489"/>
      <c r="Y220" s="489"/>
      <c r="Z220" s="489"/>
      <c r="AA220" s="489"/>
      <c r="AB220" s="489"/>
    </row>
    <row r="221" spans="1:28">
      <c r="A221" s="489"/>
      <c r="B221" s="701"/>
      <c r="C221" s="489"/>
      <c r="D221" s="489"/>
      <c r="E221" s="489"/>
      <c r="F221" s="489"/>
      <c r="G221" s="489"/>
      <c r="H221" s="489"/>
      <c r="I221" s="489"/>
      <c r="J221" s="489"/>
      <c r="K221" s="489"/>
      <c r="L221" s="489"/>
      <c r="M221" s="489"/>
      <c r="N221" s="489"/>
      <c r="O221" s="489"/>
      <c r="P221" s="489"/>
      <c r="Q221" s="489"/>
      <c r="R221" s="489"/>
      <c r="S221" s="489"/>
      <c r="T221" s="489"/>
      <c r="U221" s="489"/>
      <c r="V221" s="489"/>
      <c r="W221" s="489"/>
      <c r="X221" s="489"/>
      <c r="Y221" s="489"/>
      <c r="Z221" s="489"/>
      <c r="AA221" s="489"/>
      <c r="AB221" s="489"/>
    </row>
    <row r="222" spans="1:28">
      <c r="A222" s="489"/>
      <c r="B222" s="701"/>
      <c r="C222" s="489"/>
      <c r="D222" s="489"/>
      <c r="E222" s="489"/>
      <c r="F222" s="489"/>
      <c r="G222" s="489"/>
      <c r="H222" s="489"/>
      <c r="I222" s="489"/>
      <c r="J222" s="489"/>
      <c r="K222" s="489"/>
      <c r="L222" s="489"/>
      <c r="M222" s="489"/>
      <c r="N222" s="489"/>
      <c r="O222" s="489"/>
      <c r="P222" s="489"/>
      <c r="Q222" s="489"/>
      <c r="R222" s="489"/>
      <c r="S222" s="489"/>
      <c r="T222" s="489"/>
      <c r="U222" s="489"/>
      <c r="V222" s="489"/>
      <c r="W222" s="489"/>
      <c r="X222" s="489"/>
      <c r="Y222" s="489"/>
      <c r="Z222" s="489"/>
      <c r="AA222" s="489"/>
      <c r="AB222" s="489"/>
    </row>
    <row r="223" spans="1:28">
      <c r="A223" s="489"/>
      <c r="B223" s="701"/>
      <c r="C223" s="489"/>
      <c r="D223" s="489"/>
      <c r="E223" s="489"/>
      <c r="F223" s="489"/>
      <c r="G223" s="489"/>
      <c r="H223" s="489"/>
      <c r="I223" s="489"/>
      <c r="J223" s="489"/>
      <c r="K223" s="489"/>
      <c r="L223" s="489"/>
      <c r="M223" s="489"/>
      <c r="N223" s="489"/>
      <c r="O223" s="489"/>
      <c r="P223" s="489"/>
      <c r="Q223" s="489"/>
      <c r="R223" s="489"/>
      <c r="S223" s="489"/>
      <c r="T223" s="489"/>
      <c r="U223" s="489"/>
      <c r="V223" s="489"/>
      <c r="W223" s="489"/>
      <c r="X223" s="489"/>
      <c r="Y223" s="489"/>
      <c r="Z223" s="489"/>
      <c r="AA223" s="489"/>
      <c r="AB223" s="489"/>
    </row>
    <row r="224" spans="1:28">
      <c r="A224" s="489"/>
      <c r="B224" s="701"/>
      <c r="C224" s="489"/>
      <c r="D224" s="489"/>
      <c r="E224" s="489"/>
      <c r="F224" s="489"/>
      <c r="G224" s="489"/>
      <c r="H224" s="489"/>
      <c r="I224" s="489"/>
      <c r="J224" s="489"/>
      <c r="K224" s="489"/>
      <c r="L224" s="489"/>
      <c r="M224" s="489"/>
      <c r="N224" s="489"/>
      <c r="O224" s="489"/>
      <c r="P224" s="489"/>
      <c r="Q224" s="489"/>
      <c r="R224" s="489"/>
      <c r="S224" s="489"/>
      <c r="T224" s="489"/>
      <c r="U224" s="489"/>
      <c r="V224" s="489"/>
      <c r="W224" s="489"/>
      <c r="X224" s="489"/>
      <c r="Y224" s="489"/>
      <c r="Z224" s="489"/>
      <c r="AA224" s="489"/>
      <c r="AB224" s="489"/>
    </row>
    <row r="225" spans="1:28">
      <c r="A225" s="489"/>
      <c r="B225" s="701"/>
      <c r="C225" s="489"/>
      <c r="D225" s="489"/>
      <c r="E225" s="489"/>
      <c r="F225" s="489"/>
      <c r="G225" s="489"/>
      <c r="H225" s="489"/>
      <c r="I225" s="489"/>
      <c r="J225" s="489"/>
      <c r="K225" s="489"/>
      <c r="L225" s="489"/>
      <c r="M225" s="489"/>
      <c r="N225" s="489"/>
      <c r="O225" s="489"/>
      <c r="P225" s="489"/>
      <c r="Q225" s="489"/>
      <c r="R225" s="489"/>
      <c r="S225" s="489"/>
      <c r="T225" s="489"/>
      <c r="U225" s="489"/>
      <c r="V225" s="489"/>
      <c r="W225" s="489"/>
      <c r="X225" s="489"/>
      <c r="Y225" s="489"/>
      <c r="Z225" s="489"/>
      <c r="AA225" s="489"/>
      <c r="AB225" s="489"/>
    </row>
    <row r="226" spans="1:28">
      <c r="A226" s="489"/>
      <c r="B226" s="701"/>
      <c r="C226" s="489"/>
      <c r="D226" s="489"/>
      <c r="E226" s="489"/>
      <c r="F226" s="489"/>
      <c r="G226" s="489"/>
      <c r="H226" s="489"/>
      <c r="I226" s="489"/>
      <c r="J226" s="489"/>
      <c r="K226" s="489"/>
      <c r="L226" s="489"/>
      <c r="M226" s="489"/>
      <c r="N226" s="489"/>
      <c r="O226" s="489"/>
      <c r="P226" s="489"/>
      <c r="Q226" s="489"/>
      <c r="R226" s="489"/>
      <c r="S226" s="489"/>
      <c r="T226" s="489"/>
      <c r="U226" s="489"/>
      <c r="V226" s="489"/>
      <c r="W226" s="489"/>
      <c r="X226" s="489"/>
      <c r="Y226" s="489"/>
      <c r="Z226" s="489"/>
      <c r="AA226" s="489"/>
      <c r="AB226" s="489"/>
    </row>
    <row r="227" spans="1:28">
      <c r="A227" s="489"/>
      <c r="B227" s="701"/>
      <c r="C227" s="489"/>
      <c r="D227" s="489"/>
      <c r="E227" s="489"/>
      <c r="F227" s="489"/>
      <c r="G227" s="489"/>
      <c r="H227" s="489"/>
      <c r="I227" s="489"/>
      <c r="J227" s="489"/>
      <c r="K227" s="489"/>
      <c r="L227" s="489"/>
      <c r="M227" s="489"/>
      <c r="N227" s="489"/>
      <c r="O227" s="489"/>
      <c r="P227" s="489"/>
      <c r="Q227" s="489"/>
      <c r="R227" s="489"/>
      <c r="S227" s="489"/>
      <c r="T227" s="489"/>
      <c r="U227" s="489"/>
      <c r="V227" s="489"/>
      <c r="W227" s="489"/>
      <c r="X227" s="489"/>
      <c r="Y227" s="489"/>
      <c r="Z227" s="489"/>
      <c r="AA227" s="489"/>
      <c r="AB227" s="489"/>
    </row>
    <row r="228" spans="1:28">
      <c r="A228" s="489"/>
      <c r="B228" s="701"/>
      <c r="C228" s="489"/>
      <c r="D228" s="489"/>
      <c r="E228" s="489"/>
      <c r="F228" s="489"/>
      <c r="G228" s="489"/>
      <c r="H228" s="489"/>
      <c r="I228" s="489"/>
      <c r="J228" s="489"/>
      <c r="K228" s="489"/>
      <c r="L228" s="489"/>
      <c r="M228" s="489"/>
      <c r="N228" s="489"/>
      <c r="O228" s="489"/>
      <c r="P228" s="489"/>
      <c r="Q228" s="489"/>
      <c r="R228" s="489"/>
      <c r="S228" s="489"/>
      <c r="T228" s="489"/>
      <c r="U228" s="489"/>
      <c r="V228" s="489"/>
      <c r="W228" s="489"/>
      <c r="X228" s="489"/>
      <c r="Y228" s="489"/>
      <c r="Z228" s="489"/>
      <c r="AA228" s="489"/>
      <c r="AB228" s="489"/>
    </row>
    <row r="229" spans="1:28">
      <c r="A229" s="489"/>
      <c r="B229" s="701"/>
      <c r="C229" s="489"/>
      <c r="D229" s="489"/>
      <c r="E229" s="489"/>
      <c r="F229" s="489"/>
      <c r="G229" s="489"/>
      <c r="H229" s="489"/>
      <c r="I229" s="489"/>
      <c r="J229" s="489"/>
      <c r="K229" s="489"/>
      <c r="L229" s="489"/>
      <c r="M229" s="489"/>
      <c r="N229" s="489"/>
      <c r="O229" s="489"/>
      <c r="P229" s="489"/>
      <c r="Q229" s="489"/>
      <c r="R229" s="489"/>
      <c r="S229" s="489"/>
      <c r="T229" s="489"/>
      <c r="U229" s="489"/>
      <c r="V229" s="489"/>
      <c r="W229" s="489"/>
      <c r="X229" s="489"/>
      <c r="Y229" s="489"/>
      <c r="Z229" s="489"/>
      <c r="AA229" s="489"/>
      <c r="AB229" s="489"/>
    </row>
    <row r="230" spans="1:28">
      <c r="A230" s="489"/>
      <c r="B230" s="701"/>
      <c r="C230" s="489"/>
      <c r="D230" s="489"/>
      <c r="E230" s="489"/>
      <c r="F230" s="489"/>
      <c r="G230" s="489"/>
      <c r="H230" s="489"/>
      <c r="I230" s="489"/>
      <c r="J230" s="489"/>
      <c r="K230" s="489"/>
      <c r="L230" s="489"/>
      <c r="M230" s="489"/>
      <c r="N230" s="489"/>
      <c r="O230" s="489"/>
      <c r="P230" s="489"/>
      <c r="Q230" s="489"/>
      <c r="R230" s="489"/>
      <c r="S230" s="489"/>
      <c r="T230" s="489"/>
      <c r="U230" s="489"/>
      <c r="V230" s="489"/>
      <c r="W230" s="489"/>
      <c r="X230" s="489"/>
      <c r="Y230" s="489"/>
      <c r="Z230" s="489"/>
      <c r="AA230" s="489"/>
      <c r="AB230" s="489"/>
    </row>
    <row r="231" spans="1:28">
      <c r="A231" s="489"/>
      <c r="B231" s="701"/>
      <c r="C231" s="489"/>
      <c r="D231" s="489"/>
      <c r="E231" s="489"/>
      <c r="F231" s="489"/>
      <c r="G231" s="489"/>
      <c r="H231" s="489"/>
      <c r="I231" s="489"/>
      <c r="J231" s="489"/>
      <c r="K231" s="489"/>
      <c r="L231" s="489"/>
      <c r="M231" s="489"/>
      <c r="N231" s="489"/>
      <c r="O231" s="489"/>
      <c r="P231" s="489"/>
      <c r="Q231" s="489"/>
      <c r="R231" s="489"/>
      <c r="S231" s="489"/>
      <c r="T231" s="489"/>
      <c r="U231" s="489"/>
      <c r="V231" s="489"/>
      <c r="W231" s="489"/>
      <c r="X231" s="489"/>
      <c r="Y231" s="489"/>
      <c r="Z231" s="489"/>
      <c r="AA231" s="489"/>
      <c r="AB231" s="489"/>
    </row>
    <row r="232" spans="1:28">
      <c r="A232" s="489"/>
      <c r="B232" s="701"/>
      <c r="C232" s="489"/>
      <c r="D232" s="489"/>
      <c r="E232" s="489"/>
      <c r="F232" s="489"/>
      <c r="G232" s="489"/>
      <c r="H232" s="489"/>
      <c r="I232" s="489"/>
      <c r="J232" s="489"/>
      <c r="K232" s="489"/>
      <c r="L232" s="489"/>
      <c r="M232" s="489"/>
      <c r="N232" s="489"/>
      <c r="O232" s="489"/>
      <c r="P232" s="489"/>
      <c r="Q232" s="489"/>
      <c r="R232" s="489"/>
      <c r="S232" s="489"/>
      <c r="T232" s="489"/>
      <c r="U232" s="489"/>
      <c r="V232" s="489"/>
      <c r="W232" s="489"/>
      <c r="X232" s="489"/>
      <c r="Y232" s="489"/>
      <c r="Z232" s="489"/>
      <c r="AA232" s="489"/>
      <c r="AB232" s="489"/>
    </row>
    <row r="233" spans="1:28">
      <c r="A233" s="489"/>
      <c r="B233" s="701"/>
      <c r="C233" s="489"/>
      <c r="D233" s="489"/>
      <c r="E233" s="489"/>
      <c r="F233" s="489"/>
      <c r="G233" s="489"/>
      <c r="H233" s="489"/>
      <c r="I233" s="489"/>
      <c r="J233" s="489"/>
      <c r="K233" s="489"/>
      <c r="L233" s="489"/>
      <c r="M233" s="489"/>
      <c r="N233" s="489"/>
      <c r="O233" s="489"/>
      <c r="P233" s="489"/>
      <c r="Q233" s="489"/>
      <c r="R233" s="489"/>
      <c r="S233" s="489"/>
      <c r="T233" s="489"/>
      <c r="U233" s="489"/>
      <c r="V233" s="489"/>
      <c r="W233" s="489"/>
      <c r="X233" s="489"/>
      <c r="Y233" s="489"/>
      <c r="Z233" s="489"/>
      <c r="AA233" s="489"/>
      <c r="AB233" s="489"/>
    </row>
    <row r="234" spans="1:28">
      <c r="A234" s="489"/>
      <c r="B234" s="701"/>
      <c r="C234" s="489"/>
      <c r="D234" s="489"/>
      <c r="E234" s="489"/>
      <c r="F234" s="489"/>
      <c r="G234" s="489"/>
      <c r="H234" s="489"/>
      <c r="I234" s="489"/>
      <c r="J234" s="489"/>
      <c r="K234" s="489"/>
      <c r="L234" s="489"/>
      <c r="M234" s="489"/>
      <c r="N234" s="489"/>
      <c r="O234" s="489"/>
      <c r="P234" s="489"/>
      <c r="Q234" s="489"/>
      <c r="R234" s="489"/>
      <c r="S234" s="489"/>
      <c r="T234" s="489"/>
      <c r="U234" s="489"/>
      <c r="V234" s="489"/>
      <c r="W234" s="489"/>
      <c r="X234" s="489"/>
      <c r="Y234" s="489"/>
      <c r="Z234" s="489"/>
      <c r="AA234" s="489"/>
      <c r="AB234" s="489"/>
    </row>
    <row r="235" spans="1:28">
      <c r="A235" s="489"/>
      <c r="B235" s="701"/>
      <c r="C235" s="489"/>
      <c r="D235" s="489"/>
      <c r="E235" s="489"/>
      <c r="F235" s="489"/>
      <c r="G235" s="489"/>
      <c r="H235" s="489"/>
      <c r="I235" s="489"/>
      <c r="J235" s="489"/>
      <c r="K235" s="489"/>
      <c r="L235" s="489"/>
      <c r="M235" s="489"/>
      <c r="N235" s="489"/>
      <c r="O235" s="489"/>
      <c r="P235" s="489"/>
      <c r="Q235" s="489"/>
      <c r="R235" s="489"/>
      <c r="S235" s="489"/>
      <c r="T235" s="489"/>
      <c r="U235" s="489"/>
      <c r="V235" s="489"/>
      <c r="W235" s="489"/>
      <c r="X235" s="489"/>
      <c r="Y235" s="489"/>
      <c r="Z235" s="489"/>
      <c r="AA235" s="489"/>
      <c r="AB235" s="489"/>
    </row>
    <row r="236" spans="1:28">
      <c r="A236" s="489"/>
      <c r="B236" s="701"/>
      <c r="C236" s="489"/>
      <c r="D236" s="489"/>
      <c r="E236" s="489"/>
      <c r="F236" s="489"/>
      <c r="G236" s="489"/>
      <c r="H236" s="489"/>
      <c r="I236" s="489"/>
      <c r="J236" s="489"/>
      <c r="K236" s="489"/>
      <c r="L236" s="489"/>
      <c r="M236" s="489"/>
      <c r="N236" s="489"/>
      <c r="O236" s="489"/>
      <c r="P236" s="489"/>
      <c r="Q236" s="489"/>
      <c r="R236" s="489"/>
      <c r="S236" s="489"/>
      <c r="T236" s="489"/>
      <c r="U236" s="489"/>
      <c r="V236" s="489"/>
      <c r="W236" s="489"/>
      <c r="X236" s="489"/>
      <c r="Y236" s="489"/>
      <c r="Z236" s="489"/>
      <c r="AA236" s="489"/>
      <c r="AB236" s="489"/>
    </row>
    <row r="237" spans="1:28">
      <c r="A237" s="489"/>
      <c r="B237" s="701"/>
      <c r="C237" s="489"/>
      <c r="D237" s="489"/>
      <c r="E237" s="489"/>
      <c r="F237" s="489"/>
      <c r="G237" s="489"/>
      <c r="H237" s="489"/>
      <c r="I237" s="489"/>
      <c r="J237" s="489"/>
      <c r="K237" s="489"/>
      <c r="L237" s="489"/>
      <c r="M237" s="489"/>
      <c r="N237" s="489"/>
      <c r="O237" s="489"/>
      <c r="P237" s="489"/>
      <c r="Q237" s="489"/>
      <c r="R237" s="489"/>
      <c r="S237" s="489"/>
      <c r="T237" s="489"/>
      <c r="U237" s="489"/>
      <c r="V237" s="489"/>
      <c r="W237" s="489"/>
      <c r="X237" s="489"/>
      <c r="Y237" s="489"/>
      <c r="Z237" s="489"/>
      <c r="AA237" s="489"/>
      <c r="AB237" s="489"/>
    </row>
    <row r="238" spans="1:28">
      <c r="A238" s="489"/>
      <c r="B238" s="701"/>
      <c r="C238" s="489"/>
      <c r="D238" s="489"/>
      <c r="E238" s="489"/>
      <c r="F238" s="489"/>
      <c r="G238" s="489"/>
      <c r="H238" s="489"/>
      <c r="I238" s="489"/>
      <c r="J238" s="489"/>
      <c r="K238" s="489"/>
      <c r="L238" s="489"/>
      <c r="M238" s="489"/>
      <c r="N238" s="489"/>
      <c r="O238" s="489"/>
      <c r="P238" s="489"/>
      <c r="Q238" s="489"/>
      <c r="R238" s="489"/>
      <c r="S238" s="489"/>
      <c r="T238" s="489"/>
      <c r="U238" s="489"/>
      <c r="V238" s="489"/>
      <c r="W238" s="489"/>
      <c r="X238" s="489"/>
      <c r="Y238" s="489"/>
      <c r="Z238" s="489"/>
      <c r="AA238" s="489"/>
      <c r="AB238" s="489"/>
    </row>
    <row r="239" spans="1:28">
      <c r="A239" s="489"/>
      <c r="B239" s="701"/>
      <c r="C239" s="489"/>
      <c r="D239" s="489"/>
      <c r="E239" s="489"/>
      <c r="F239" s="489"/>
      <c r="G239" s="489"/>
      <c r="H239" s="489"/>
      <c r="I239" s="489"/>
      <c r="J239" s="489"/>
      <c r="K239" s="489"/>
      <c r="L239" s="489"/>
      <c r="M239" s="489"/>
      <c r="N239" s="489"/>
      <c r="O239" s="489"/>
      <c r="P239" s="489"/>
      <c r="Q239" s="489"/>
      <c r="R239" s="489"/>
      <c r="S239" s="489"/>
      <c r="T239" s="489"/>
      <c r="U239" s="489"/>
      <c r="V239" s="489"/>
      <c r="W239" s="489"/>
      <c r="X239" s="489"/>
      <c r="Y239" s="489"/>
      <c r="Z239" s="489"/>
      <c r="AA239" s="489"/>
      <c r="AB239" s="489"/>
    </row>
    <row r="240" spans="1:28">
      <c r="A240" s="489"/>
      <c r="B240" s="701"/>
      <c r="C240" s="489"/>
      <c r="D240" s="489"/>
      <c r="E240" s="489"/>
      <c r="F240" s="489"/>
      <c r="G240" s="489"/>
      <c r="H240" s="489"/>
      <c r="I240" s="489"/>
      <c r="J240" s="489"/>
      <c r="K240" s="489"/>
      <c r="L240" s="489"/>
      <c r="M240" s="489"/>
      <c r="N240" s="489"/>
      <c r="O240" s="489"/>
      <c r="P240" s="489"/>
      <c r="Q240" s="489"/>
      <c r="R240" s="489"/>
      <c r="S240" s="489"/>
      <c r="T240" s="489"/>
      <c r="U240" s="489"/>
      <c r="V240" s="489"/>
      <c r="W240" s="489"/>
      <c r="X240" s="489"/>
      <c r="Y240" s="489"/>
      <c r="Z240" s="489"/>
      <c r="AA240" s="489"/>
      <c r="AB240" s="489"/>
    </row>
    <row r="241" spans="1:28">
      <c r="A241" s="489"/>
      <c r="B241" s="701"/>
      <c r="C241" s="489"/>
      <c r="D241" s="489"/>
      <c r="E241" s="489"/>
      <c r="F241" s="489"/>
      <c r="G241" s="489"/>
      <c r="H241" s="489"/>
      <c r="I241" s="489"/>
      <c r="J241" s="489"/>
      <c r="K241" s="489"/>
      <c r="L241" s="489"/>
      <c r="M241" s="489"/>
      <c r="N241" s="489"/>
      <c r="O241" s="489"/>
      <c r="P241" s="489"/>
      <c r="Q241" s="489"/>
      <c r="R241" s="489"/>
      <c r="S241" s="489"/>
      <c r="T241" s="489"/>
      <c r="U241" s="489"/>
      <c r="V241" s="489"/>
      <c r="W241" s="489"/>
      <c r="X241" s="489"/>
      <c r="Y241" s="489"/>
      <c r="Z241" s="489"/>
      <c r="AA241" s="489"/>
      <c r="AB241" s="489"/>
    </row>
    <row r="242" spans="1:28">
      <c r="A242" s="489"/>
      <c r="B242" s="701"/>
      <c r="C242" s="489"/>
      <c r="D242" s="489"/>
      <c r="E242" s="489"/>
      <c r="F242" s="489"/>
      <c r="G242" s="489"/>
      <c r="H242" s="489"/>
      <c r="I242" s="489"/>
      <c r="J242" s="489"/>
      <c r="K242" s="489"/>
      <c r="L242" s="489"/>
      <c r="M242" s="489"/>
      <c r="N242" s="489"/>
      <c r="O242" s="489"/>
      <c r="P242" s="489"/>
      <c r="Q242" s="489"/>
      <c r="R242" s="489"/>
      <c r="S242" s="489"/>
      <c r="T242" s="489"/>
      <c r="U242" s="489"/>
      <c r="V242" s="489"/>
      <c r="W242" s="489"/>
      <c r="X242" s="489"/>
      <c r="Y242" s="489"/>
      <c r="Z242" s="489"/>
      <c r="AA242" s="489"/>
      <c r="AB242" s="489"/>
    </row>
    <row r="243" spans="1:28">
      <c r="A243" s="489"/>
      <c r="B243" s="701"/>
      <c r="C243" s="489"/>
      <c r="D243" s="489"/>
      <c r="E243" s="489"/>
      <c r="F243" s="489"/>
      <c r="G243" s="489"/>
      <c r="H243" s="489"/>
      <c r="I243" s="489"/>
      <c r="J243" s="489"/>
      <c r="K243" s="489"/>
      <c r="L243" s="489"/>
      <c r="M243" s="489"/>
      <c r="N243" s="489"/>
      <c r="O243" s="489"/>
      <c r="P243" s="489"/>
      <c r="Q243" s="489"/>
      <c r="R243" s="489"/>
      <c r="S243" s="489"/>
      <c r="T243" s="489"/>
      <c r="U243" s="489"/>
      <c r="V243" s="489"/>
      <c r="W243" s="489"/>
      <c r="X243" s="489"/>
      <c r="Y243" s="489"/>
      <c r="Z243" s="489"/>
      <c r="AA243" s="489"/>
      <c r="AB243" s="489"/>
    </row>
    <row r="244" spans="1:28">
      <c r="A244" s="489"/>
      <c r="B244" s="701"/>
      <c r="C244" s="489"/>
      <c r="D244" s="489"/>
      <c r="E244" s="489"/>
      <c r="F244" s="489"/>
      <c r="G244" s="489"/>
      <c r="H244" s="489"/>
      <c r="I244" s="489"/>
      <c r="J244" s="489"/>
      <c r="K244" s="489"/>
      <c r="L244" s="489"/>
      <c r="M244" s="489"/>
      <c r="N244" s="489"/>
      <c r="O244" s="489"/>
      <c r="P244" s="489"/>
      <c r="Q244" s="489"/>
      <c r="R244" s="489"/>
      <c r="S244" s="489"/>
      <c r="T244" s="489"/>
      <c r="U244" s="489"/>
      <c r="V244" s="489"/>
      <c r="W244" s="489"/>
      <c r="X244" s="489"/>
      <c r="Y244" s="489"/>
      <c r="Z244" s="489"/>
      <c r="AA244" s="489"/>
      <c r="AB244" s="489"/>
    </row>
    <row r="245" spans="1:28">
      <c r="A245" s="489"/>
      <c r="B245" s="701"/>
      <c r="C245" s="489"/>
      <c r="D245" s="489"/>
      <c r="E245" s="489"/>
      <c r="F245" s="489"/>
      <c r="G245" s="489"/>
      <c r="H245" s="489"/>
      <c r="I245" s="489"/>
      <c r="J245" s="489"/>
      <c r="K245" s="489"/>
      <c r="L245" s="489"/>
      <c r="M245" s="489"/>
      <c r="N245" s="489"/>
      <c r="O245" s="489"/>
      <c r="P245" s="489"/>
      <c r="Q245" s="489"/>
      <c r="R245" s="489"/>
      <c r="S245" s="489"/>
      <c r="T245" s="489"/>
      <c r="U245" s="489"/>
      <c r="V245" s="489"/>
      <c r="W245" s="489"/>
      <c r="X245" s="489"/>
      <c r="Y245" s="489"/>
      <c r="Z245" s="489"/>
      <c r="AA245" s="489"/>
      <c r="AB245" s="489"/>
    </row>
    <row r="246" spans="1:28">
      <c r="A246" s="489"/>
      <c r="B246" s="701"/>
      <c r="C246" s="489"/>
      <c r="D246" s="489"/>
      <c r="E246" s="489"/>
      <c r="F246" s="489"/>
      <c r="G246" s="489"/>
      <c r="H246" s="489"/>
      <c r="I246" s="489"/>
      <c r="J246" s="489"/>
      <c r="K246" s="489"/>
      <c r="L246" s="489"/>
      <c r="M246" s="489"/>
      <c r="N246" s="489"/>
      <c r="O246" s="489"/>
      <c r="P246" s="489"/>
      <c r="Q246" s="489"/>
      <c r="R246" s="489"/>
      <c r="S246" s="489"/>
      <c r="T246" s="489"/>
      <c r="U246" s="489"/>
      <c r="V246" s="489"/>
      <c r="W246" s="489"/>
      <c r="X246" s="489"/>
      <c r="Y246" s="489"/>
      <c r="Z246" s="489"/>
      <c r="AA246" s="489"/>
      <c r="AB246" s="489"/>
    </row>
    <row r="247" spans="1:28">
      <c r="A247" s="489"/>
      <c r="B247" s="701"/>
      <c r="C247" s="489"/>
      <c r="D247" s="489"/>
      <c r="E247" s="489"/>
      <c r="F247" s="489"/>
      <c r="G247" s="489"/>
      <c r="H247" s="489"/>
      <c r="I247" s="489"/>
      <c r="J247" s="489"/>
      <c r="K247" s="489"/>
      <c r="L247" s="489"/>
      <c r="M247" s="489"/>
      <c r="N247" s="489"/>
      <c r="O247" s="489"/>
      <c r="P247" s="489"/>
      <c r="Q247" s="489"/>
      <c r="R247" s="489"/>
      <c r="S247" s="489"/>
      <c r="T247" s="489"/>
      <c r="U247" s="489"/>
      <c r="V247" s="489"/>
      <c r="W247" s="489"/>
      <c r="X247" s="489"/>
      <c r="Y247" s="489"/>
      <c r="Z247" s="489"/>
      <c r="AA247" s="489"/>
      <c r="AB247" s="489"/>
    </row>
    <row r="248" spans="1:28">
      <c r="A248" s="489"/>
      <c r="B248" s="701"/>
      <c r="C248" s="489"/>
      <c r="D248" s="489"/>
      <c r="E248" s="489"/>
      <c r="F248" s="489"/>
      <c r="G248" s="489"/>
      <c r="H248" s="489"/>
      <c r="I248" s="489"/>
      <c r="J248" s="489"/>
      <c r="K248" s="489"/>
      <c r="L248" s="489"/>
      <c r="M248" s="489"/>
      <c r="N248" s="489"/>
      <c r="O248" s="489"/>
      <c r="P248" s="489"/>
      <c r="Q248" s="489"/>
      <c r="R248" s="489"/>
      <c r="S248" s="489"/>
      <c r="T248" s="489"/>
      <c r="U248" s="489"/>
      <c r="V248" s="489"/>
      <c r="W248" s="489"/>
      <c r="X248" s="489"/>
      <c r="Y248" s="489"/>
      <c r="Z248" s="489"/>
      <c r="AA248" s="489"/>
      <c r="AB248" s="489"/>
    </row>
    <row r="249" spans="1:28">
      <c r="A249" s="489"/>
      <c r="B249" s="701"/>
      <c r="C249" s="489"/>
      <c r="D249" s="489"/>
      <c r="E249" s="489"/>
      <c r="F249" s="489"/>
      <c r="G249" s="489"/>
      <c r="H249" s="489"/>
      <c r="I249" s="489"/>
      <c r="J249" s="489"/>
      <c r="K249" s="489"/>
      <c r="L249" s="489"/>
      <c r="M249" s="489"/>
      <c r="N249" s="489"/>
      <c r="O249" s="489"/>
      <c r="P249" s="489"/>
      <c r="Q249" s="489"/>
      <c r="R249" s="489"/>
      <c r="S249" s="489"/>
      <c r="T249" s="489"/>
      <c r="U249" s="489"/>
      <c r="V249" s="489"/>
      <c r="W249" s="489"/>
      <c r="X249" s="489"/>
      <c r="Y249" s="489"/>
      <c r="Z249" s="489"/>
      <c r="AA249" s="489"/>
      <c r="AB249" s="489"/>
    </row>
    <row r="250" spans="1:28">
      <c r="A250" s="489"/>
      <c r="B250" s="701"/>
      <c r="C250" s="489"/>
      <c r="D250" s="489"/>
      <c r="E250" s="489"/>
      <c r="F250" s="489"/>
      <c r="G250" s="489"/>
      <c r="H250" s="489"/>
      <c r="I250" s="489"/>
      <c r="J250" s="489"/>
      <c r="K250" s="489"/>
      <c r="L250" s="489"/>
      <c r="M250" s="489"/>
      <c r="N250" s="489"/>
      <c r="O250" s="489"/>
      <c r="P250" s="489"/>
      <c r="Q250" s="489"/>
      <c r="R250" s="489"/>
      <c r="S250" s="489"/>
      <c r="T250" s="489"/>
      <c r="U250" s="489"/>
      <c r="V250" s="489"/>
      <c r="W250" s="489"/>
      <c r="X250" s="489"/>
      <c r="Y250" s="489"/>
      <c r="Z250" s="489"/>
      <c r="AA250" s="489"/>
      <c r="AB250" s="489"/>
    </row>
    <row r="251" spans="1:28">
      <c r="A251" s="489"/>
      <c r="B251" s="701"/>
      <c r="C251" s="489"/>
      <c r="D251" s="489"/>
      <c r="E251" s="489"/>
      <c r="F251" s="489"/>
      <c r="G251" s="489"/>
      <c r="H251" s="489"/>
      <c r="I251" s="489"/>
      <c r="J251" s="489"/>
      <c r="K251" s="489"/>
      <c r="L251" s="489"/>
      <c r="M251" s="489"/>
      <c r="N251" s="489"/>
      <c r="O251" s="489"/>
      <c r="P251" s="489"/>
      <c r="Q251" s="489"/>
      <c r="R251" s="489"/>
      <c r="S251" s="489"/>
      <c r="T251" s="489"/>
      <c r="U251" s="489"/>
      <c r="V251" s="489"/>
      <c r="W251" s="489"/>
      <c r="X251" s="489"/>
      <c r="Y251" s="489"/>
      <c r="Z251" s="489"/>
      <c r="AA251" s="489"/>
      <c r="AB251" s="489"/>
    </row>
    <row r="252" spans="1:28">
      <c r="A252" s="489"/>
      <c r="B252" s="701"/>
      <c r="C252" s="489"/>
      <c r="D252" s="489"/>
      <c r="E252" s="489"/>
      <c r="F252" s="489"/>
      <c r="G252" s="489"/>
      <c r="H252" s="489"/>
      <c r="I252" s="489"/>
      <c r="J252" s="489"/>
      <c r="K252" s="489"/>
      <c r="L252" s="489"/>
      <c r="M252" s="489"/>
      <c r="N252" s="489"/>
      <c r="O252" s="489"/>
      <c r="P252" s="489"/>
      <c r="Q252" s="489"/>
      <c r="R252" s="489"/>
      <c r="S252" s="489"/>
      <c r="T252" s="489"/>
      <c r="U252" s="489"/>
      <c r="V252" s="489"/>
      <c r="W252" s="489"/>
      <c r="X252" s="489"/>
      <c r="Y252" s="489"/>
      <c r="Z252" s="489"/>
      <c r="AA252" s="489"/>
      <c r="AB252" s="489"/>
    </row>
    <row r="253" spans="1:28">
      <c r="A253" s="489"/>
      <c r="B253" s="701"/>
      <c r="C253" s="489"/>
      <c r="D253" s="489"/>
      <c r="E253" s="489"/>
      <c r="F253" s="489"/>
      <c r="G253" s="489"/>
      <c r="H253" s="489"/>
      <c r="I253" s="489"/>
      <c r="J253" s="489"/>
      <c r="K253" s="489"/>
      <c r="L253" s="489"/>
      <c r="M253" s="489"/>
      <c r="N253" s="489"/>
      <c r="O253" s="489"/>
      <c r="P253" s="489"/>
      <c r="Q253" s="489"/>
      <c r="R253" s="489"/>
      <c r="S253" s="489"/>
      <c r="T253" s="489"/>
      <c r="U253" s="489"/>
      <c r="V253" s="489"/>
      <c r="W253" s="489"/>
      <c r="X253" s="489"/>
      <c r="Y253" s="489"/>
      <c r="Z253" s="489"/>
      <c r="AA253" s="489"/>
      <c r="AB253" s="489"/>
    </row>
    <row r="254" spans="1:28">
      <c r="A254" s="489"/>
      <c r="B254" s="701"/>
      <c r="C254" s="489"/>
      <c r="D254" s="489"/>
      <c r="E254" s="489"/>
      <c r="F254" s="489"/>
      <c r="G254" s="489"/>
      <c r="H254" s="489"/>
      <c r="I254" s="489"/>
      <c r="J254" s="489"/>
      <c r="K254" s="489"/>
      <c r="L254" s="489"/>
      <c r="M254" s="489"/>
      <c r="N254" s="489"/>
      <c r="O254" s="489"/>
      <c r="P254" s="489"/>
      <c r="Q254" s="489"/>
      <c r="R254" s="489"/>
      <c r="S254" s="489"/>
      <c r="T254" s="489"/>
      <c r="U254" s="489"/>
      <c r="V254" s="489"/>
      <c r="W254" s="489"/>
      <c r="X254" s="489"/>
      <c r="Y254" s="489"/>
      <c r="Z254" s="489"/>
      <c r="AA254" s="489"/>
      <c r="AB254" s="489"/>
    </row>
    <row r="255" spans="1:28">
      <c r="A255" s="489"/>
      <c r="B255" s="701"/>
      <c r="C255" s="489"/>
      <c r="D255" s="489"/>
      <c r="E255" s="489"/>
      <c r="F255" s="489"/>
      <c r="G255" s="489"/>
      <c r="H255" s="489"/>
      <c r="I255" s="489"/>
      <c r="J255" s="489"/>
      <c r="K255" s="489"/>
      <c r="L255" s="489"/>
      <c r="M255" s="489"/>
      <c r="N255" s="489"/>
      <c r="O255" s="489"/>
      <c r="P255" s="489"/>
      <c r="Q255" s="489"/>
      <c r="R255" s="489"/>
      <c r="S255" s="489"/>
      <c r="T255" s="489"/>
      <c r="U255" s="489"/>
      <c r="V255" s="489"/>
      <c r="W255" s="489"/>
      <c r="X255" s="489"/>
      <c r="Y255" s="489"/>
      <c r="Z255" s="489"/>
      <c r="AA255" s="489"/>
      <c r="AB255" s="489"/>
    </row>
    <row r="256" spans="1:28">
      <c r="A256" s="489"/>
      <c r="B256" s="701"/>
      <c r="C256" s="489"/>
      <c r="D256" s="489"/>
      <c r="E256" s="489"/>
      <c r="F256" s="489"/>
      <c r="G256" s="489"/>
      <c r="H256" s="489"/>
      <c r="I256" s="489"/>
      <c r="J256" s="489"/>
      <c r="K256" s="489"/>
      <c r="L256" s="489"/>
      <c r="M256" s="489"/>
      <c r="N256" s="489"/>
      <c r="O256" s="489"/>
      <c r="P256" s="489"/>
      <c r="Q256" s="489"/>
      <c r="R256" s="489"/>
      <c r="S256" s="489"/>
      <c r="T256" s="489"/>
      <c r="U256" s="489"/>
      <c r="V256" s="489"/>
      <c r="W256" s="489"/>
      <c r="X256" s="489"/>
      <c r="Y256" s="489"/>
      <c r="Z256" s="489"/>
      <c r="AA256" s="489"/>
      <c r="AB256" s="489"/>
    </row>
    <row r="257" spans="1:28">
      <c r="A257" s="489"/>
      <c r="B257" s="701"/>
      <c r="C257" s="489"/>
      <c r="D257" s="489"/>
      <c r="E257" s="489"/>
      <c r="F257" s="489"/>
      <c r="G257" s="489"/>
      <c r="H257" s="489"/>
      <c r="I257" s="489"/>
      <c r="J257" s="489"/>
      <c r="K257" s="489"/>
      <c r="L257" s="489"/>
      <c r="M257" s="489"/>
      <c r="N257" s="489"/>
      <c r="O257" s="489"/>
      <c r="P257" s="489"/>
      <c r="Q257" s="489"/>
      <c r="R257" s="489"/>
      <c r="S257" s="489"/>
      <c r="T257" s="489"/>
      <c r="U257" s="489"/>
      <c r="V257" s="489"/>
      <c r="W257" s="489"/>
      <c r="X257" s="489"/>
      <c r="Y257" s="489"/>
      <c r="Z257" s="489"/>
      <c r="AA257" s="489"/>
      <c r="AB257" s="489"/>
    </row>
    <row r="258" spans="1:28">
      <c r="A258" s="489"/>
      <c r="B258" s="701"/>
      <c r="C258" s="489"/>
      <c r="D258" s="489"/>
      <c r="E258" s="489"/>
      <c r="F258" s="489"/>
      <c r="G258" s="489"/>
      <c r="H258" s="489"/>
      <c r="I258" s="489"/>
      <c r="J258" s="489"/>
      <c r="K258" s="489"/>
      <c r="L258" s="489"/>
      <c r="M258" s="489"/>
      <c r="N258" s="489"/>
      <c r="O258" s="489"/>
      <c r="P258" s="489"/>
      <c r="Q258" s="489"/>
      <c r="R258" s="489"/>
      <c r="S258" s="489"/>
      <c r="T258" s="489"/>
      <c r="U258" s="489"/>
      <c r="V258" s="489"/>
      <c r="W258" s="489"/>
      <c r="X258" s="489"/>
      <c r="Y258" s="489"/>
      <c r="Z258" s="489"/>
      <c r="AA258" s="489"/>
      <c r="AB258" s="489"/>
    </row>
    <row r="259" spans="1:28">
      <c r="A259" s="489"/>
      <c r="B259" s="701"/>
      <c r="C259" s="489"/>
      <c r="D259" s="489"/>
      <c r="E259" s="489"/>
      <c r="F259" s="489"/>
      <c r="G259" s="489"/>
      <c r="H259" s="489"/>
      <c r="I259" s="489"/>
      <c r="J259" s="489"/>
      <c r="K259" s="489"/>
      <c r="L259" s="489"/>
      <c r="M259" s="489"/>
      <c r="N259" s="489"/>
      <c r="O259" s="489"/>
      <c r="P259" s="489"/>
      <c r="Q259" s="489"/>
      <c r="R259" s="489"/>
      <c r="S259" s="489"/>
      <c r="T259" s="489"/>
      <c r="U259" s="489"/>
      <c r="V259" s="489"/>
      <c r="W259" s="489"/>
      <c r="X259" s="489"/>
      <c r="Y259" s="489"/>
      <c r="Z259" s="489"/>
      <c r="AA259" s="489"/>
      <c r="AB259" s="489"/>
    </row>
    <row r="260" spans="1:28">
      <c r="A260" s="489"/>
      <c r="B260" s="701"/>
      <c r="C260" s="489"/>
      <c r="D260" s="489"/>
      <c r="E260" s="489"/>
      <c r="F260" s="489"/>
      <c r="G260" s="489"/>
      <c r="H260" s="489"/>
      <c r="I260" s="489"/>
      <c r="J260" s="489"/>
      <c r="K260" s="489"/>
      <c r="L260" s="489"/>
      <c r="M260" s="489"/>
      <c r="N260" s="489"/>
      <c r="O260" s="489"/>
      <c r="P260" s="489"/>
      <c r="Q260" s="489"/>
      <c r="R260" s="489"/>
      <c r="S260" s="489"/>
      <c r="T260" s="489"/>
      <c r="U260" s="489"/>
      <c r="V260" s="489"/>
      <c r="W260" s="489"/>
      <c r="X260" s="489"/>
      <c r="Y260" s="489"/>
      <c r="Z260" s="489"/>
      <c r="AA260" s="489"/>
      <c r="AB260" s="489"/>
    </row>
    <row r="261" spans="1:28">
      <c r="A261" s="489"/>
      <c r="B261" s="701"/>
      <c r="C261" s="489"/>
      <c r="D261" s="489"/>
      <c r="E261" s="489"/>
      <c r="F261" s="489"/>
      <c r="G261" s="489"/>
      <c r="H261" s="489"/>
      <c r="I261" s="489"/>
      <c r="J261" s="489"/>
      <c r="K261" s="489"/>
      <c r="L261" s="489"/>
      <c r="M261" s="489"/>
      <c r="N261" s="489"/>
      <c r="O261" s="489"/>
      <c r="P261" s="489"/>
      <c r="Q261" s="489"/>
      <c r="R261" s="489"/>
      <c r="S261" s="489"/>
      <c r="T261" s="489"/>
      <c r="U261" s="489"/>
      <c r="V261" s="489"/>
      <c r="W261" s="489"/>
      <c r="X261" s="489"/>
      <c r="Y261" s="489"/>
      <c r="Z261" s="489"/>
      <c r="AA261" s="489"/>
      <c r="AB261" s="489"/>
    </row>
    <row r="262" spans="1:28">
      <c r="A262" s="489"/>
      <c r="B262" s="701"/>
      <c r="C262" s="489"/>
      <c r="D262" s="489"/>
      <c r="E262" s="489"/>
      <c r="F262" s="489"/>
      <c r="G262" s="489"/>
      <c r="H262" s="489"/>
      <c r="I262" s="489"/>
      <c r="J262" s="489"/>
      <c r="K262" s="489"/>
      <c r="L262" s="489"/>
      <c r="M262" s="489"/>
      <c r="N262" s="489"/>
      <c r="O262" s="489"/>
      <c r="P262" s="489"/>
      <c r="Q262" s="489"/>
      <c r="R262" s="489"/>
      <c r="S262" s="489"/>
      <c r="T262" s="489"/>
      <c r="U262" s="489"/>
      <c r="V262" s="489"/>
      <c r="W262" s="489"/>
      <c r="X262" s="489"/>
      <c r="Y262" s="489"/>
      <c r="Z262" s="489"/>
      <c r="AA262" s="489"/>
      <c r="AB262" s="489"/>
    </row>
    <row r="263" spans="1:28">
      <c r="A263" s="489"/>
      <c r="B263" s="701"/>
      <c r="C263" s="489"/>
      <c r="D263" s="489"/>
      <c r="E263" s="489"/>
      <c r="F263" s="489"/>
      <c r="G263" s="489"/>
      <c r="H263" s="489"/>
      <c r="I263" s="489"/>
      <c r="J263" s="489"/>
      <c r="K263" s="489"/>
      <c r="L263" s="489"/>
      <c r="M263" s="489"/>
      <c r="N263" s="489"/>
      <c r="O263" s="489"/>
      <c r="P263" s="489"/>
      <c r="Q263" s="489"/>
      <c r="R263" s="489"/>
      <c r="S263" s="489"/>
      <c r="T263" s="489"/>
      <c r="U263" s="489"/>
      <c r="V263" s="489"/>
      <c r="W263" s="489"/>
      <c r="X263" s="489"/>
      <c r="Y263" s="489"/>
      <c r="Z263" s="489"/>
      <c r="AA263" s="489"/>
      <c r="AB263" s="489"/>
    </row>
    <row r="264" spans="1:28">
      <c r="A264" s="489"/>
      <c r="B264" s="701"/>
      <c r="C264" s="489"/>
      <c r="D264" s="489"/>
      <c r="E264" s="489"/>
      <c r="F264" s="489"/>
      <c r="G264" s="489"/>
      <c r="H264" s="489"/>
      <c r="I264" s="489"/>
      <c r="J264" s="489"/>
      <c r="K264" s="489"/>
      <c r="L264" s="489"/>
      <c r="M264" s="489"/>
      <c r="N264" s="489"/>
      <c r="O264" s="489"/>
      <c r="P264" s="489"/>
      <c r="Q264" s="489"/>
      <c r="R264" s="489"/>
      <c r="S264" s="489"/>
      <c r="T264" s="489"/>
      <c r="U264" s="489"/>
      <c r="V264" s="489"/>
      <c r="W264" s="489"/>
      <c r="X264" s="489"/>
      <c r="Y264" s="489"/>
      <c r="Z264" s="489"/>
      <c r="AA264" s="489"/>
      <c r="AB264" s="489"/>
    </row>
    <row r="265" spans="1:28">
      <c r="A265" s="489"/>
      <c r="B265" s="701"/>
      <c r="C265" s="489"/>
      <c r="D265" s="489"/>
      <c r="E265" s="489"/>
      <c r="F265" s="489"/>
      <c r="G265" s="489"/>
      <c r="H265" s="489"/>
      <c r="I265" s="489"/>
      <c r="J265" s="489"/>
      <c r="K265" s="489"/>
      <c r="L265" s="489"/>
      <c r="M265" s="489"/>
      <c r="N265" s="489"/>
      <c r="O265" s="489"/>
      <c r="P265" s="489"/>
      <c r="Q265" s="489"/>
      <c r="R265" s="489"/>
      <c r="S265" s="489"/>
      <c r="T265" s="489"/>
      <c r="U265" s="489"/>
      <c r="V265" s="489"/>
      <c r="W265" s="489"/>
      <c r="X265" s="489"/>
      <c r="Y265" s="489"/>
      <c r="Z265" s="489"/>
      <c r="AA265" s="489"/>
      <c r="AB265" s="489"/>
    </row>
    <row r="266" spans="1:28">
      <c r="A266" s="489"/>
      <c r="B266" s="701"/>
      <c r="C266" s="489"/>
      <c r="D266" s="489"/>
      <c r="E266" s="489"/>
      <c r="F266" s="489"/>
      <c r="G266" s="489"/>
      <c r="H266" s="489"/>
      <c r="I266" s="489"/>
      <c r="J266" s="489"/>
      <c r="K266" s="489"/>
      <c r="L266" s="489"/>
      <c r="M266" s="489"/>
      <c r="N266" s="489"/>
      <c r="O266" s="489"/>
      <c r="P266" s="489"/>
      <c r="Q266" s="489"/>
      <c r="R266" s="489"/>
      <c r="S266" s="489"/>
      <c r="T266" s="489"/>
      <c r="U266" s="489"/>
      <c r="V266" s="489"/>
      <c r="W266" s="489"/>
      <c r="X266" s="489"/>
      <c r="Y266" s="489"/>
      <c r="Z266" s="489"/>
      <c r="AA266" s="489"/>
      <c r="AB266" s="489"/>
    </row>
    <row r="267" spans="1:28">
      <c r="A267" s="489"/>
      <c r="B267" s="701"/>
      <c r="C267" s="489"/>
      <c r="D267" s="489"/>
      <c r="E267" s="489"/>
      <c r="F267" s="489"/>
      <c r="G267" s="489"/>
      <c r="H267" s="489"/>
      <c r="I267" s="489"/>
      <c r="J267" s="489"/>
      <c r="K267" s="489"/>
      <c r="L267" s="489"/>
      <c r="M267" s="489"/>
      <c r="N267" s="489"/>
      <c r="O267" s="489"/>
      <c r="P267" s="489"/>
      <c r="Q267" s="489"/>
      <c r="R267" s="489"/>
      <c r="S267" s="489"/>
      <c r="T267" s="489"/>
      <c r="U267" s="489"/>
      <c r="V267" s="489"/>
      <c r="W267" s="489"/>
      <c r="X267" s="489"/>
      <c r="Y267" s="489"/>
      <c r="Z267" s="489"/>
      <c r="AA267" s="489"/>
      <c r="AB267" s="489"/>
    </row>
    <row r="268" spans="1:28">
      <c r="A268" s="489"/>
      <c r="B268" s="701"/>
      <c r="C268" s="489"/>
      <c r="D268" s="489"/>
      <c r="E268" s="489"/>
      <c r="F268" s="489"/>
      <c r="G268" s="489"/>
      <c r="H268" s="489"/>
      <c r="I268" s="489"/>
      <c r="J268" s="489"/>
      <c r="K268" s="489"/>
      <c r="L268" s="489"/>
      <c r="M268" s="489"/>
      <c r="N268" s="489"/>
      <c r="O268" s="489"/>
      <c r="P268" s="489"/>
      <c r="Q268" s="489"/>
      <c r="R268" s="489"/>
      <c r="S268" s="489"/>
      <c r="T268" s="489"/>
      <c r="U268" s="489"/>
      <c r="V268" s="489"/>
      <c r="W268" s="489"/>
      <c r="X268" s="489"/>
      <c r="Y268" s="489"/>
      <c r="Z268" s="489"/>
      <c r="AA268" s="489"/>
      <c r="AB268" s="489"/>
    </row>
    <row r="269" spans="1:28">
      <c r="A269" s="489"/>
      <c r="B269" s="701"/>
      <c r="C269" s="489"/>
      <c r="D269" s="489"/>
      <c r="E269" s="489"/>
      <c r="F269" s="489"/>
      <c r="G269" s="489"/>
      <c r="H269" s="489"/>
      <c r="I269" s="489"/>
      <c r="J269" s="489"/>
      <c r="K269" s="489"/>
      <c r="L269" s="489"/>
      <c r="M269" s="489"/>
      <c r="N269" s="489"/>
      <c r="O269" s="489"/>
      <c r="P269" s="489"/>
      <c r="Q269" s="489"/>
      <c r="R269" s="489"/>
      <c r="S269" s="489"/>
      <c r="T269" s="489"/>
      <c r="U269" s="489"/>
      <c r="V269" s="489"/>
      <c r="W269" s="489"/>
      <c r="X269" s="489"/>
      <c r="Y269" s="489"/>
      <c r="Z269" s="489"/>
      <c r="AA269" s="489"/>
      <c r="AB269" s="489"/>
    </row>
    <row r="270" spans="1:28">
      <c r="A270" s="489"/>
      <c r="B270" s="701"/>
      <c r="C270" s="489"/>
      <c r="D270" s="489"/>
      <c r="E270" s="489"/>
      <c r="F270" s="489"/>
      <c r="G270" s="489"/>
      <c r="H270" s="489"/>
      <c r="I270" s="489"/>
      <c r="J270" s="489"/>
      <c r="K270" s="489"/>
      <c r="L270" s="489"/>
      <c r="M270" s="489"/>
      <c r="N270" s="489"/>
      <c r="O270" s="489"/>
      <c r="P270" s="489"/>
      <c r="Q270" s="489"/>
      <c r="R270" s="489"/>
      <c r="S270" s="489"/>
      <c r="T270" s="489"/>
      <c r="U270" s="489"/>
      <c r="V270" s="489"/>
      <c r="W270" s="489"/>
      <c r="X270" s="489"/>
      <c r="Y270" s="489"/>
      <c r="Z270" s="489"/>
      <c r="AA270" s="489"/>
      <c r="AB270" s="489"/>
    </row>
    <row r="271" spans="1:28">
      <c r="A271" s="489"/>
      <c r="B271" s="701"/>
      <c r="C271" s="489"/>
      <c r="D271" s="489"/>
      <c r="E271" s="489"/>
      <c r="F271" s="489"/>
      <c r="G271" s="489"/>
      <c r="H271" s="489"/>
      <c r="I271" s="489"/>
      <c r="J271" s="489"/>
      <c r="K271" s="489"/>
      <c r="L271" s="489"/>
      <c r="M271" s="489"/>
      <c r="N271" s="489"/>
      <c r="O271" s="489"/>
      <c r="P271" s="489"/>
      <c r="Q271" s="489"/>
      <c r="R271" s="489"/>
      <c r="S271" s="489"/>
      <c r="T271" s="489"/>
      <c r="U271" s="489"/>
      <c r="V271" s="489"/>
      <c r="W271" s="489"/>
      <c r="X271" s="489"/>
      <c r="Y271" s="489"/>
      <c r="Z271" s="489"/>
      <c r="AA271" s="489"/>
      <c r="AB271" s="489"/>
    </row>
    <row r="272" spans="1:28">
      <c r="A272" s="489"/>
      <c r="B272" s="701"/>
      <c r="C272" s="489"/>
      <c r="D272" s="489"/>
      <c r="E272" s="489"/>
      <c r="F272" s="489"/>
      <c r="G272" s="489"/>
      <c r="H272" s="489"/>
      <c r="I272" s="489"/>
      <c r="J272" s="489"/>
      <c r="K272" s="489"/>
      <c r="L272" s="489"/>
      <c r="M272" s="489"/>
      <c r="N272" s="489"/>
      <c r="O272" s="489"/>
      <c r="P272" s="489"/>
      <c r="Q272" s="489"/>
      <c r="R272" s="489"/>
      <c r="S272" s="489"/>
      <c r="T272" s="489"/>
      <c r="U272" s="489"/>
      <c r="V272" s="489"/>
      <c r="W272" s="489"/>
      <c r="X272" s="489"/>
      <c r="Y272" s="489"/>
      <c r="Z272" s="489"/>
      <c r="AA272" s="489"/>
      <c r="AB272" s="489"/>
    </row>
    <row r="273" spans="1:28">
      <c r="A273" s="489"/>
      <c r="B273" s="701"/>
      <c r="C273" s="489"/>
      <c r="D273" s="489"/>
      <c r="E273" s="489"/>
      <c r="F273" s="489"/>
      <c r="G273" s="489"/>
      <c r="H273" s="489"/>
      <c r="I273" s="489"/>
      <c r="J273" s="489"/>
      <c r="K273" s="489"/>
      <c r="L273" s="489"/>
      <c r="M273" s="489"/>
      <c r="N273" s="489"/>
      <c r="O273" s="489"/>
      <c r="P273" s="489"/>
      <c r="Q273" s="489"/>
      <c r="R273" s="489"/>
      <c r="S273" s="489"/>
      <c r="T273" s="489"/>
      <c r="U273" s="489"/>
      <c r="V273" s="489"/>
      <c r="W273" s="489"/>
      <c r="X273" s="489"/>
      <c r="Y273" s="489"/>
      <c r="Z273" s="489"/>
      <c r="AA273" s="489"/>
      <c r="AB273" s="489"/>
    </row>
    <row r="274" spans="1:28">
      <c r="A274" s="489"/>
      <c r="B274" s="701"/>
      <c r="C274" s="489"/>
      <c r="D274" s="489"/>
      <c r="E274" s="489"/>
      <c r="F274" s="489"/>
      <c r="G274" s="489"/>
      <c r="H274" s="489"/>
      <c r="I274" s="489"/>
      <c r="J274" s="489"/>
      <c r="K274" s="489"/>
      <c r="L274" s="489"/>
      <c r="M274" s="489"/>
      <c r="N274" s="489"/>
      <c r="O274" s="489"/>
      <c r="P274" s="489"/>
      <c r="Q274" s="489"/>
      <c r="R274" s="489"/>
      <c r="S274" s="489"/>
      <c r="T274" s="489"/>
      <c r="U274" s="489"/>
      <c r="V274" s="489"/>
      <c r="W274" s="489"/>
      <c r="X274" s="489"/>
      <c r="Y274" s="489"/>
      <c r="Z274" s="489"/>
      <c r="AA274" s="489"/>
      <c r="AB274" s="489"/>
    </row>
    <row r="275" spans="1:28">
      <c r="A275" s="489"/>
      <c r="B275" s="701"/>
      <c r="C275" s="489"/>
      <c r="D275" s="489"/>
      <c r="E275" s="489"/>
      <c r="F275" s="489"/>
      <c r="G275" s="489"/>
      <c r="H275" s="489"/>
      <c r="I275" s="489"/>
      <c r="J275" s="489"/>
      <c r="K275" s="489"/>
      <c r="L275" s="489"/>
      <c r="M275" s="489"/>
      <c r="N275" s="489"/>
      <c r="O275" s="489"/>
      <c r="P275" s="489"/>
      <c r="Q275" s="489"/>
      <c r="R275" s="489"/>
      <c r="S275" s="489"/>
      <c r="T275" s="489"/>
      <c r="U275" s="489"/>
      <c r="V275" s="489"/>
      <c r="W275" s="489"/>
      <c r="X275" s="489"/>
      <c r="Y275" s="489"/>
      <c r="Z275" s="489"/>
      <c r="AA275" s="489"/>
      <c r="AB275" s="489"/>
    </row>
    <row r="276" spans="1:28">
      <c r="A276" s="489"/>
      <c r="B276" s="701"/>
      <c r="C276" s="489"/>
      <c r="D276" s="489"/>
      <c r="E276" s="489"/>
      <c r="F276" s="489"/>
      <c r="G276" s="489"/>
      <c r="H276" s="489"/>
      <c r="I276" s="489"/>
      <c r="J276" s="489"/>
      <c r="K276" s="489"/>
      <c r="L276" s="489"/>
      <c r="M276" s="489"/>
      <c r="N276" s="489"/>
      <c r="O276" s="489"/>
      <c r="P276" s="489"/>
      <c r="Q276" s="489"/>
      <c r="R276" s="489"/>
      <c r="S276" s="489"/>
      <c r="T276" s="489"/>
      <c r="U276" s="489"/>
      <c r="V276" s="489"/>
      <c r="W276" s="489"/>
      <c r="X276" s="489"/>
      <c r="Y276" s="489"/>
      <c r="Z276" s="489"/>
      <c r="AA276" s="489"/>
      <c r="AB276" s="489"/>
    </row>
    <row r="277" spans="1:28">
      <c r="A277" s="489"/>
      <c r="B277" s="701"/>
      <c r="C277" s="489"/>
      <c r="D277" s="489"/>
      <c r="E277" s="489"/>
      <c r="F277" s="489"/>
      <c r="G277" s="489"/>
      <c r="H277" s="489"/>
      <c r="I277" s="489"/>
      <c r="J277" s="489"/>
      <c r="K277" s="489"/>
      <c r="L277" s="489"/>
      <c r="M277" s="489"/>
      <c r="N277" s="489"/>
      <c r="O277" s="489"/>
      <c r="P277" s="489"/>
      <c r="Q277" s="489"/>
      <c r="R277" s="489"/>
      <c r="S277" s="489"/>
      <c r="T277" s="489"/>
      <c r="U277" s="489"/>
      <c r="V277" s="489"/>
      <c r="W277" s="489"/>
      <c r="X277" s="489"/>
      <c r="Y277" s="489"/>
      <c r="Z277" s="489"/>
      <c r="AA277" s="489"/>
      <c r="AB277" s="489"/>
    </row>
    <row r="278" spans="1:28">
      <c r="A278" s="489"/>
      <c r="B278" s="701"/>
      <c r="C278" s="489"/>
      <c r="D278" s="489"/>
      <c r="E278" s="489"/>
      <c r="F278" s="489"/>
      <c r="G278" s="489"/>
      <c r="H278" s="489"/>
      <c r="I278" s="489"/>
      <c r="J278" s="489"/>
      <c r="K278" s="489"/>
      <c r="L278" s="489"/>
      <c r="M278" s="489"/>
      <c r="N278" s="489"/>
      <c r="O278" s="489"/>
      <c r="P278" s="489"/>
      <c r="Q278" s="489"/>
      <c r="R278" s="489"/>
      <c r="S278" s="489"/>
      <c r="T278" s="489"/>
      <c r="U278" s="489"/>
      <c r="V278" s="489"/>
      <c r="W278" s="489"/>
      <c r="X278" s="489"/>
      <c r="Y278" s="489"/>
      <c r="Z278" s="489"/>
      <c r="AA278" s="489"/>
      <c r="AB278" s="489"/>
    </row>
    <row r="279" spans="1:28">
      <c r="A279" s="489"/>
      <c r="B279" s="701"/>
      <c r="C279" s="489"/>
      <c r="D279" s="489"/>
      <c r="E279" s="489"/>
      <c r="F279" s="489"/>
      <c r="G279" s="489"/>
      <c r="H279" s="489"/>
      <c r="I279" s="489"/>
      <c r="J279" s="489"/>
      <c r="K279" s="489"/>
      <c r="L279" s="489"/>
      <c r="M279" s="489"/>
      <c r="N279" s="489"/>
      <c r="O279" s="489"/>
      <c r="P279" s="489"/>
      <c r="Q279" s="489"/>
      <c r="R279" s="489"/>
      <c r="S279" s="489"/>
      <c r="T279" s="489"/>
      <c r="U279" s="489"/>
      <c r="V279" s="489"/>
      <c r="W279" s="489"/>
      <c r="X279" s="489"/>
      <c r="Y279" s="489"/>
      <c r="Z279" s="489"/>
      <c r="AA279" s="489"/>
      <c r="AB279" s="489"/>
    </row>
    <row r="280" spans="1:28">
      <c r="A280" s="489"/>
      <c r="B280" s="701"/>
      <c r="C280" s="489"/>
      <c r="D280" s="489"/>
      <c r="E280" s="489"/>
      <c r="F280" s="489"/>
      <c r="G280" s="489"/>
      <c r="H280" s="489"/>
      <c r="I280" s="489"/>
      <c r="J280" s="489"/>
      <c r="K280" s="489"/>
      <c r="L280" s="489"/>
      <c r="M280" s="489"/>
      <c r="N280" s="489"/>
      <c r="O280" s="489"/>
      <c r="P280" s="489"/>
      <c r="Q280" s="489"/>
      <c r="R280" s="489"/>
      <c r="S280" s="489"/>
      <c r="T280" s="489"/>
      <c r="U280" s="489"/>
      <c r="V280" s="489"/>
      <c r="W280" s="489"/>
      <c r="X280" s="489"/>
      <c r="Y280" s="489"/>
      <c r="Z280" s="489"/>
      <c r="AA280" s="489"/>
      <c r="AB280" s="489"/>
    </row>
    <row r="281" spans="1:28">
      <c r="A281" s="489"/>
      <c r="B281" s="701"/>
      <c r="C281" s="489"/>
      <c r="D281" s="489"/>
      <c r="E281" s="489"/>
      <c r="F281" s="489"/>
      <c r="G281" s="489"/>
      <c r="H281" s="489"/>
      <c r="I281" s="489"/>
      <c r="J281" s="489"/>
      <c r="K281" s="489"/>
      <c r="L281" s="489"/>
      <c r="M281" s="489"/>
      <c r="N281" s="489"/>
      <c r="O281" s="489"/>
      <c r="P281" s="489"/>
      <c r="Q281" s="489"/>
      <c r="R281" s="489"/>
      <c r="S281" s="489"/>
      <c r="T281" s="489"/>
      <c r="U281" s="489"/>
      <c r="V281" s="489"/>
      <c r="W281" s="489"/>
      <c r="X281" s="489"/>
      <c r="Y281" s="489"/>
      <c r="Z281" s="489"/>
      <c r="AA281" s="489"/>
      <c r="AB281" s="489"/>
    </row>
    <row r="282" spans="1:28">
      <c r="A282" s="489"/>
      <c r="B282" s="701"/>
      <c r="C282" s="489"/>
      <c r="D282" s="489"/>
      <c r="E282" s="489"/>
      <c r="F282" s="489"/>
      <c r="G282" s="489"/>
      <c r="H282" s="489"/>
      <c r="I282" s="489"/>
      <c r="J282" s="489"/>
      <c r="K282" s="489"/>
      <c r="L282" s="489"/>
      <c r="M282" s="489"/>
      <c r="N282" s="489"/>
      <c r="O282" s="489"/>
      <c r="P282" s="489"/>
      <c r="Q282" s="489"/>
      <c r="R282" s="489"/>
      <c r="S282" s="489"/>
      <c r="T282" s="489"/>
      <c r="U282" s="489"/>
      <c r="V282" s="489"/>
      <c r="W282" s="489"/>
      <c r="X282" s="489"/>
      <c r="Y282" s="489"/>
      <c r="Z282" s="489"/>
      <c r="AA282" s="489"/>
      <c r="AB282" s="489"/>
    </row>
    <row r="283" spans="1:28">
      <c r="A283" s="489"/>
      <c r="B283" s="701"/>
      <c r="C283" s="489"/>
      <c r="D283" s="489"/>
      <c r="E283" s="489"/>
      <c r="F283" s="489"/>
      <c r="G283" s="489"/>
      <c r="H283" s="489"/>
      <c r="I283" s="489"/>
      <c r="J283" s="489"/>
      <c r="K283" s="489"/>
      <c r="L283" s="489"/>
      <c r="M283" s="489"/>
      <c r="N283" s="489"/>
      <c r="O283" s="489"/>
      <c r="P283" s="489"/>
      <c r="Q283" s="489"/>
      <c r="R283" s="489"/>
      <c r="S283" s="489"/>
      <c r="T283" s="489"/>
      <c r="U283" s="489"/>
      <c r="V283" s="489"/>
      <c r="W283" s="489"/>
      <c r="X283" s="489"/>
      <c r="Y283" s="489"/>
      <c r="Z283" s="489"/>
      <c r="AA283" s="489"/>
      <c r="AB283" s="489"/>
    </row>
    <row r="284" spans="1:28">
      <c r="A284" s="489"/>
      <c r="B284" s="701"/>
      <c r="C284" s="489"/>
      <c r="D284" s="489"/>
      <c r="E284" s="489"/>
      <c r="F284" s="489"/>
      <c r="G284" s="489"/>
      <c r="H284" s="489"/>
      <c r="I284" s="489"/>
      <c r="J284" s="489"/>
      <c r="K284" s="489"/>
      <c r="L284" s="489"/>
      <c r="M284" s="489"/>
      <c r="N284" s="489"/>
      <c r="O284" s="489"/>
      <c r="P284" s="489"/>
      <c r="Q284" s="489"/>
      <c r="R284" s="489"/>
      <c r="S284" s="489"/>
      <c r="T284" s="489"/>
      <c r="U284" s="489"/>
      <c r="V284" s="489"/>
      <c r="W284" s="489"/>
      <c r="X284" s="489"/>
      <c r="Y284" s="489"/>
      <c r="Z284" s="489"/>
      <c r="AA284" s="489"/>
      <c r="AB284" s="489"/>
    </row>
    <row r="285" spans="1:28">
      <c r="A285" s="489"/>
      <c r="B285" s="701"/>
      <c r="C285" s="489"/>
      <c r="D285" s="489"/>
      <c r="E285" s="489"/>
      <c r="F285" s="489"/>
      <c r="G285" s="489"/>
      <c r="H285" s="489"/>
      <c r="I285" s="489"/>
      <c r="J285" s="489"/>
      <c r="K285" s="489"/>
      <c r="L285" s="489"/>
      <c r="M285" s="489"/>
      <c r="N285" s="489"/>
      <c r="O285" s="489"/>
      <c r="P285" s="489"/>
      <c r="Q285" s="489"/>
      <c r="R285" s="489"/>
      <c r="S285" s="489"/>
      <c r="T285" s="489"/>
      <c r="U285" s="489"/>
      <c r="V285" s="489"/>
      <c r="W285" s="489"/>
      <c r="X285" s="489"/>
      <c r="Y285" s="489"/>
      <c r="Z285" s="489"/>
      <c r="AA285" s="489"/>
      <c r="AB285" s="489"/>
    </row>
    <row r="286" spans="1:28">
      <c r="A286" s="489"/>
      <c r="B286" s="701"/>
      <c r="C286" s="489"/>
      <c r="D286" s="489"/>
      <c r="E286" s="489"/>
      <c r="F286" s="489"/>
      <c r="G286" s="489"/>
      <c r="H286" s="489"/>
      <c r="I286" s="489"/>
      <c r="J286" s="489"/>
      <c r="K286" s="489"/>
      <c r="L286" s="489"/>
      <c r="M286" s="489"/>
      <c r="N286" s="489"/>
      <c r="O286" s="489"/>
      <c r="P286" s="489"/>
      <c r="Q286" s="489"/>
      <c r="R286" s="489"/>
      <c r="S286" s="489"/>
      <c r="T286" s="489"/>
      <c r="U286" s="489"/>
      <c r="V286" s="489"/>
      <c r="W286" s="489"/>
      <c r="X286" s="489"/>
      <c r="Y286" s="489"/>
      <c r="Z286" s="489"/>
      <c r="AA286" s="489"/>
      <c r="AB286" s="489"/>
    </row>
    <row r="287" spans="1:28">
      <c r="A287" s="489"/>
      <c r="B287" s="701"/>
      <c r="C287" s="489"/>
      <c r="D287" s="489"/>
      <c r="E287" s="489"/>
      <c r="F287" s="489"/>
      <c r="G287" s="489"/>
      <c r="H287" s="489"/>
      <c r="I287" s="489"/>
      <c r="J287" s="489"/>
      <c r="K287" s="489"/>
      <c r="L287" s="489"/>
      <c r="M287" s="489"/>
      <c r="N287" s="489"/>
      <c r="O287" s="489"/>
      <c r="P287" s="489"/>
      <c r="Q287" s="489"/>
      <c r="R287" s="489"/>
      <c r="S287" s="489"/>
      <c r="T287" s="489"/>
      <c r="U287" s="489"/>
      <c r="V287" s="489"/>
      <c r="W287" s="489"/>
      <c r="X287" s="489"/>
      <c r="Y287" s="489"/>
      <c r="Z287" s="489"/>
      <c r="AA287" s="489"/>
      <c r="AB287" s="489"/>
    </row>
    <row r="288" spans="1:28">
      <c r="A288" s="489"/>
      <c r="B288" s="701"/>
      <c r="C288" s="489"/>
      <c r="D288" s="489"/>
      <c r="E288" s="489"/>
      <c r="F288" s="489"/>
      <c r="G288" s="489"/>
      <c r="H288" s="489"/>
      <c r="I288" s="489"/>
      <c r="J288" s="489"/>
      <c r="K288" s="489"/>
      <c r="L288" s="489"/>
      <c r="M288" s="489"/>
      <c r="N288" s="489"/>
      <c r="O288" s="489"/>
      <c r="P288" s="489"/>
      <c r="Q288" s="489"/>
      <c r="R288" s="489"/>
      <c r="S288" s="489"/>
      <c r="T288" s="489"/>
      <c r="U288" s="489"/>
      <c r="V288" s="489"/>
      <c r="W288" s="489"/>
      <c r="X288" s="489"/>
      <c r="Y288" s="489"/>
      <c r="Z288" s="489"/>
      <c r="AA288" s="489"/>
      <c r="AB288" s="489"/>
    </row>
    <row r="289" spans="1:28">
      <c r="A289" s="489"/>
      <c r="B289" s="701"/>
      <c r="C289" s="489"/>
      <c r="D289" s="489"/>
      <c r="E289" s="489"/>
      <c r="F289" s="489"/>
      <c r="G289" s="489"/>
      <c r="H289" s="489"/>
      <c r="I289" s="489"/>
      <c r="J289" s="489"/>
      <c r="K289" s="489"/>
      <c r="L289" s="489"/>
      <c r="M289" s="489"/>
      <c r="N289" s="489"/>
      <c r="O289" s="489"/>
      <c r="P289" s="489"/>
      <c r="Q289" s="489"/>
      <c r="R289" s="489"/>
      <c r="S289" s="489"/>
      <c r="T289" s="489"/>
      <c r="U289" s="489"/>
      <c r="V289" s="489"/>
      <c r="W289" s="489"/>
      <c r="X289" s="489"/>
      <c r="Y289" s="489"/>
      <c r="Z289" s="489"/>
      <c r="AA289" s="489"/>
      <c r="AB289" s="489"/>
    </row>
    <row r="290" spans="1:28">
      <c r="A290" s="489"/>
      <c r="B290" s="701"/>
      <c r="C290" s="489"/>
      <c r="D290" s="489"/>
      <c r="E290" s="489"/>
      <c r="F290" s="489"/>
      <c r="G290" s="489"/>
      <c r="H290" s="489"/>
      <c r="I290" s="489"/>
      <c r="J290" s="489"/>
      <c r="K290" s="489"/>
      <c r="L290" s="489"/>
      <c r="M290" s="489"/>
      <c r="N290" s="489"/>
      <c r="O290" s="489"/>
      <c r="P290" s="489"/>
      <c r="Q290" s="489"/>
      <c r="R290" s="489"/>
      <c r="S290" s="489"/>
      <c r="T290" s="489"/>
      <c r="U290" s="489"/>
      <c r="V290" s="489"/>
      <c r="W290" s="489"/>
      <c r="X290" s="489"/>
      <c r="Y290" s="489"/>
      <c r="Z290" s="489"/>
      <c r="AA290" s="489"/>
      <c r="AB290" s="489"/>
    </row>
    <row r="291" spans="1:28">
      <c r="A291" s="489"/>
      <c r="B291" s="701"/>
      <c r="C291" s="489"/>
      <c r="D291" s="489"/>
      <c r="E291" s="489"/>
      <c r="F291" s="489"/>
      <c r="G291" s="489"/>
      <c r="H291" s="489"/>
      <c r="I291" s="489"/>
      <c r="J291" s="489"/>
      <c r="K291" s="489"/>
      <c r="L291" s="489"/>
      <c r="M291" s="489"/>
      <c r="N291" s="489"/>
      <c r="O291" s="489"/>
      <c r="P291" s="489"/>
      <c r="Q291" s="489"/>
      <c r="R291" s="489"/>
      <c r="S291" s="489"/>
      <c r="T291" s="489"/>
      <c r="U291" s="489"/>
      <c r="V291" s="489"/>
      <c r="W291" s="489"/>
      <c r="X291" s="489"/>
      <c r="Y291" s="489"/>
      <c r="Z291" s="489"/>
      <c r="AA291" s="489"/>
      <c r="AB291" s="489"/>
    </row>
    <row r="292" spans="1:28">
      <c r="A292" s="489"/>
      <c r="B292" s="701"/>
      <c r="C292" s="489"/>
      <c r="D292" s="489"/>
      <c r="E292" s="489"/>
      <c r="F292" s="489"/>
      <c r="G292" s="489"/>
      <c r="H292" s="489"/>
      <c r="I292" s="489"/>
      <c r="J292" s="489"/>
      <c r="K292" s="489"/>
      <c r="L292" s="489"/>
      <c r="M292" s="489"/>
      <c r="N292" s="489"/>
      <c r="O292" s="489"/>
      <c r="P292" s="489"/>
      <c r="Q292" s="489"/>
      <c r="R292" s="489"/>
      <c r="S292" s="489"/>
      <c r="T292" s="489"/>
      <c r="U292" s="489"/>
      <c r="V292" s="489"/>
      <c r="W292" s="489"/>
      <c r="X292" s="489"/>
      <c r="Y292" s="489"/>
      <c r="Z292" s="489"/>
      <c r="AA292" s="489"/>
      <c r="AB292" s="489"/>
    </row>
    <row r="293" spans="1:28">
      <c r="A293" s="489"/>
      <c r="B293" s="701"/>
      <c r="C293" s="489"/>
      <c r="D293" s="489"/>
      <c r="E293" s="489"/>
      <c r="F293" s="489"/>
      <c r="G293" s="489"/>
      <c r="H293" s="489"/>
      <c r="I293" s="489"/>
      <c r="J293" s="489"/>
      <c r="K293" s="489"/>
      <c r="L293" s="489"/>
      <c r="M293" s="489"/>
      <c r="N293" s="489"/>
      <c r="O293" s="489"/>
      <c r="P293" s="489"/>
      <c r="Q293" s="489"/>
      <c r="R293" s="489"/>
      <c r="S293" s="489"/>
      <c r="T293" s="489"/>
      <c r="U293" s="489"/>
      <c r="V293" s="489"/>
      <c r="W293" s="489"/>
      <c r="X293" s="489"/>
      <c r="Y293" s="489"/>
      <c r="Z293" s="489"/>
      <c r="AA293" s="489"/>
      <c r="AB293" s="489"/>
    </row>
    <row r="294" spans="1:28">
      <c r="A294" s="489"/>
      <c r="B294" s="701"/>
      <c r="C294" s="489"/>
      <c r="D294" s="489"/>
      <c r="E294" s="489"/>
      <c r="F294" s="489"/>
      <c r="G294" s="489"/>
      <c r="H294" s="489"/>
      <c r="I294" s="489"/>
      <c r="J294" s="489"/>
      <c r="K294" s="489"/>
      <c r="L294" s="489"/>
      <c r="M294" s="489"/>
      <c r="N294" s="489"/>
      <c r="O294" s="489"/>
      <c r="P294" s="489"/>
      <c r="Q294" s="489"/>
      <c r="R294" s="489"/>
      <c r="S294" s="489"/>
      <c r="T294" s="489"/>
      <c r="U294" s="489"/>
      <c r="V294" s="489"/>
      <c r="W294" s="489"/>
      <c r="X294" s="489"/>
      <c r="Y294" s="489"/>
      <c r="Z294" s="489"/>
      <c r="AA294" s="489"/>
      <c r="AB294" s="489"/>
    </row>
    <row r="295" spans="1:28">
      <c r="A295" s="489"/>
      <c r="B295" s="701"/>
      <c r="C295" s="489"/>
      <c r="D295" s="489"/>
      <c r="E295" s="489"/>
      <c r="F295" s="489"/>
      <c r="G295" s="489"/>
      <c r="H295" s="489"/>
      <c r="I295" s="489"/>
      <c r="J295" s="489"/>
      <c r="K295" s="489"/>
      <c r="L295" s="489"/>
      <c r="M295" s="489"/>
      <c r="N295" s="489"/>
      <c r="O295" s="489"/>
      <c r="P295" s="489"/>
      <c r="Q295" s="489"/>
      <c r="R295" s="489"/>
      <c r="S295" s="489"/>
      <c r="T295" s="489"/>
      <c r="U295" s="489"/>
      <c r="V295" s="489"/>
      <c r="W295" s="489"/>
      <c r="X295" s="489"/>
      <c r="Y295" s="489"/>
      <c r="Z295" s="489"/>
      <c r="AA295" s="489"/>
      <c r="AB295" s="489"/>
    </row>
    <row r="296" spans="1:28">
      <c r="A296" s="489"/>
      <c r="B296" s="701"/>
      <c r="C296" s="489"/>
      <c r="D296" s="489"/>
      <c r="E296" s="489"/>
      <c r="F296" s="489"/>
      <c r="G296" s="489"/>
      <c r="H296" s="489"/>
      <c r="I296" s="489"/>
      <c r="J296" s="489"/>
      <c r="K296" s="489"/>
      <c r="L296" s="489"/>
      <c r="M296" s="489"/>
      <c r="N296" s="489"/>
      <c r="O296" s="489"/>
      <c r="P296" s="489"/>
      <c r="Q296" s="489"/>
      <c r="R296" s="489"/>
      <c r="S296" s="489"/>
      <c r="T296" s="489"/>
      <c r="U296" s="489"/>
      <c r="V296" s="489"/>
      <c r="W296" s="489"/>
      <c r="X296" s="489"/>
      <c r="Y296" s="489"/>
      <c r="Z296" s="489"/>
      <c r="AA296" s="489"/>
      <c r="AB296" s="489"/>
    </row>
    <row r="297" spans="1:28">
      <c r="A297" s="489"/>
      <c r="B297" s="701"/>
      <c r="C297" s="489"/>
      <c r="D297" s="489"/>
      <c r="E297" s="489"/>
      <c r="F297" s="489"/>
      <c r="G297" s="489"/>
      <c r="H297" s="489"/>
      <c r="I297" s="489"/>
      <c r="J297" s="489"/>
      <c r="K297" s="489"/>
      <c r="L297" s="489"/>
      <c r="M297" s="489"/>
      <c r="N297" s="489"/>
      <c r="O297" s="489"/>
      <c r="P297" s="489"/>
      <c r="Q297" s="489"/>
      <c r="R297" s="489"/>
      <c r="S297" s="489"/>
      <c r="T297" s="489"/>
      <c r="U297" s="489"/>
      <c r="V297" s="489"/>
      <c r="W297" s="489"/>
      <c r="X297" s="489"/>
      <c r="Y297" s="489"/>
      <c r="Z297" s="489"/>
      <c r="AA297" s="489"/>
      <c r="AB297" s="489"/>
    </row>
    <row r="298" spans="1:28">
      <c r="A298" s="489"/>
      <c r="B298" s="701"/>
      <c r="C298" s="489"/>
      <c r="D298" s="489"/>
      <c r="E298" s="489"/>
      <c r="F298" s="489"/>
      <c r="G298" s="489"/>
      <c r="H298" s="489"/>
      <c r="I298" s="489"/>
      <c r="J298" s="489"/>
      <c r="K298" s="489"/>
      <c r="L298" s="489"/>
      <c r="M298" s="489"/>
      <c r="N298" s="489"/>
      <c r="O298" s="489"/>
      <c r="P298" s="489"/>
      <c r="Q298" s="489"/>
      <c r="R298" s="489"/>
      <c r="S298" s="489"/>
      <c r="T298" s="489"/>
      <c r="U298" s="489"/>
      <c r="V298" s="489"/>
      <c r="W298" s="489"/>
      <c r="X298" s="489"/>
      <c r="Y298" s="489"/>
      <c r="Z298" s="489"/>
      <c r="AA298" s="489"/>
      <c r="AB298" s="489"/>
    </row>
    <row r="299" spans="1:28">
      <c r="A299" s="489"/>
      <c r="B299" s="701"/>
      <c r="C299" s="489"/>
      <c r="D299" s="489"/>
      <c r="E299" s="489"/>
      <c r="F299" s="489"/>
      <c r="G299" s="489"/>
      <c r="H299" s="489"/>
      <c r="I299" s="489"/>
      <c r="J299" s="489"/>
      <c r="K299" s="489"/>
      <c r="L299" s="489"/>
      <c r="M299" s="489"/>
      <c r="N299" s="489"/>
      <c r="O299" s="489"/>
      <c r="P299" s="489"/>
      <c r="Q299" s="489"/>
      <c r="R299" s="489"/>
      <c r="S299" s="489"/>
      <c r="T299" s="489"/>
      <c r="U299" s="489"/>
      <c r="V299" s="489"/>
      <c r="W299" s="489"/>
      <c r="X299" s="489"/>
      <c r="Y299" s="489"/>
      <c r="Z299" s="489"/>
      <c r="AA299" s="489"/>
      <c r="AB299" s="489"/>
    </row>
    <row r="300" spans="1:28">
      <c r="A300" s="489"/>
      <c r="B300" s="701"/>
      <c r="C300" s="489"/>
      <c r="D300" s="489"/>
      <c r="E300" s="489"/>
      <c r="F300" s="489"/>
      <c r="G300" s="489"/>
      <c r="H300" s="489"/>
      <c r="I300" s="489"/>
      <c r="J300" s="489"/>
      <c r="K300" s="489"/>
      <c r="L300" s="489"/>
      <c r="M300" s="489"/>
      <c r="N300" s="489"/>
      <c r="O300" s="489"/>
      <c r="P300" s="489"/>
      <c r="Q300" s="489"/>
      <c r="R300" s="489"/>
      <c r="S300" s="489"/>
      <c r="T300" s="489"/>
      <c r="U300" s="489"/>
      <c r="V300" s="489"/>
      <c r="W300" s="489"/>
      <c r="X300" s="489"/>
      <c r="Y300" s="489"/>
      <c r="Z300" s="489"/>
      <c r="AA300" s="489"/>
      <c r="AB300" s="489"/>
    </row>
    <row r="301" spans="1:28">
      <c r="A301" s="489"/>
      <c r="B301" s="701"/>
      <c r="C301" s="489"/>
      <c r="D301" s="489"/>
      <c r="E301" s="489"/>
      <c r="F301" s="489"/>
      <c r="G301" s="489"/>
      <c r="H301" s="489"/>
      <c r="I301" s="489"/>
      <c r="J301" s="489"/>
      <c r="K301" s="489"/>
      <c r="L301" s="489"/>
      <c r="M301" s="489"/>
      <c r="N301" s="489"/>
      <c r="O301" s="489"/>
      <c r="P301" s="489"/>
      <c r="Q301" s="489"/>
      <c r="R301" s="489"/>
      <c r="S301" s="489"/>
      <c r="T301" s="489"/>
      <c r="U301" s="489"/>
      <c r="V301" s="489"/>
      <c r="W301" s="489"/>
      <c r="X301" s="489"/>
      <c r="Y301" s="489"/>
      <c r="Z301" s="489"/>
      <c r="AA301" s="489"/>
      <c r="AB301" s="489"/>
    </row>
    <row r="302" spans="1:28">
      <c r="A302" s="489"/>
      <c r="B302" s="701"/>
      <c r="C302" s="489"/>
      <c r="D302" s="489"/>
      <c r="E302" s="489"/>
      <c r="F302" s="489"/>
      <c r="G302" s="489"/>
      <c r="H302" s="489"/>
      <c r="I302" s="489"/>
      <c r="J302" s="489"/>
      <c r="K302" s="489"/>
      <c r="L302" s="489"/>
      <c r="M302" s="489"/>
      <c r="N302" s="489"/>
      <c r="O302" s="489"/>
      <c r="P302" s="489"/>
      <c r="Q302" s="489"/>
      <c r="R302" s="489"/>
      <c r="S302" s="489"/>
      <c r="T302" s="489"/>
      <c r="U302" s="489"/>
      <c r="V302" s="489"/>
      <c r="W302" s="489"/>
      <c r="X302" s="489"/>
      <c r="Y302" s="489"/>
      <c r="Z302" s="489"/>
      <c r="AA302" s="489"/>
      <c r="AB302" s="489"/>
    </row>
    <row r="303" spans="1:28">
      <c r="A303" s="489"/>
      <c r="B303" s="701"/>
      <c r="C303" s="489"/>
      <c r="D303" s="489"/>
      <c r="E303" s="489"/>
      <c r="F303" s="489"/>
      <c r="G303" s="489"/>
      <c r="H303" s="489"/>
      <c r="I303" s="489"/>
      <c r="J303" s="489"/>
      <c r="K303" s="489"/>
      <c r="L303" s="489"/>
      <c r="M303" s="489"/>
      <c r="N303" s="489"/>
      <c r="O303" s="489"/>
      <c r="P303" s="489"/>
      <c r="Q303" s="489"/>
      <c r="R303" s="489"/>
      <c r="S303" s="489"/>
      <c r="T303" s="489"/>
      <c r="U303" s="489"/>
      <c r="V303" s="489"/>
      <c r="W303" s="489"/>
      <c r="X303" s="489"/>
      <c r="Y303" s="489"/>
      <c r="Z303" s="489"/>
      <c r="AA303" s="489"/>
      <c r="AB303" s="489"/>
    </row>
    <row r="304" spans="1:28">
      <c r="A304" s="489"/>
      <c r="B304" s="701"/>
      <c r="C304" s="489"/>
      <c r="D304" s="489"/>
      <c r="E304" s="489"/>
      <c r="F304" s="489"/>
      <c r="G304" s="489"/>
      <c r="H304" s="489"/>
      <c r="I304" s="489"/>
      <c r="J304" s="489"/>
      <c r="K304" s="489"/>
      <c r="L304" s="489"/>
      <c r="M304" s="489"/>
      <c r="N304" s="489"/>
      <c r="O304" s="489"/>
      <c r="P304" s="489"/>
      <c r="Q304" s="489"/>
      <c r="R304" s="489"/>
      <c r="S304" s="489"/>
      <c r="T304" s="489"/>
      <c r="U304" s="489"/>
      <c r="V304" s="489"/>
      <c r="W304" s="489"/>
      <c r="X304" s="489"/>
      <c r="Y304" s="489"/>
      <c r="Z304" s="489"/>
      <c r="AA304" s="489"/>
      <c r="AB304" s="489"/>
    </row>
    <row r="305" spans="1:28">
      <c r="A305" s="489"/>
      <c r="B305" s="701"/>
      <c r="C305" s="489"/>
      <c r="D305" s="489"/>
      <c r="E305" s="489"/>
      <c r="F305" s="489"/>
      <c r="G305" s="489"/>
      <c r="H305" s="489"/>
      <c r="I305" s="489"/>
      <c r="J305" s="489"/>
      <c r="K305" s="489"/>
      <c r="L305" s="489"/>
      <c r="M305" s="489"/>
      <c r="N305" s="489"/>
      <c r="O305" s="489"/>
      <c r="P305" s="489"/>
      <c r="Q305" s="489"/>
      <c r="R305" s="489"/>
      <c r="S305" s="489"/>
      <c r="T305" s="489"/>
      <c r="U305" s="489"/>
      <c r="V305" s="489"/>
      <c r="W305" s="489"/>
      <c r="X305" s="489"/>
      <c r="Y305" s="489"/>
      <c r="Z305" s="489"/>
      <c r="AA305" s="489"/>
      <c r="AB305" s="489"/>
    </row>
    <row r="306" spans="1:28">
      <c r="A306" s="489"/>
      <c r="B306" s="701"/>
      <c r="C306" s="489"/>
      <c r="D306" s="489"/>
      <c r="E306" s="489"/>
      <c r="F306" s="489"/>
      <c r="G306" s="489"/>
      <c r="H306" s="489"/>
      <c r="I306" s="489"/>
      <c r="J306" s="489"/>
      <c r="K306" s="489"/>
      <c r="L306" s="489"/>
      <c r="M306" s="489"/>
      <c r="N306" s="489"/>
      <c r="O306" s="489"/>
      <c r="P306" s="489"/>
      <c r="Q306" s="489"/>
      <c r="R306" s="489"/>
      <c r="S306" s="489"/>
      <c r="T306" s="489"/>
      <c r="U306" s="489"/>
      <c r="V306" s="489"/>
      <c r="W306" s="489"/>
      <c r="X306" s="489"/>
      <c r="Y306" s="489"/>
      <c r="Z306" s="489"/>
      <c r="AA306" s="489"/>
      <c r="AB306" s="489"/>
    </row>
    <row r="307" spans="1:28">
      <c r="A307" s="489"/>
      <c r="B307" s="701"/>
      <c r="C307" s="489"/>
      <c r="D307" s="489"/>
      <c r="E307" s="489"/>
      <c r="F307" s="489"/>
      <c r="G307" s="489"/>
      <c r="H307" s="489"/>
      <c r="I307" s="489"/>
      <c r="J307" s="489"/>
      <c r="K307" s="489"/>
      <c r="L307" s="489"/>
      <c r="M307" s="489"/>
      <c r="N307" s="489"/>
      <c r="O307" s="489"/>
      <c r="P307" s="489"/>
      <c r="Q307" s="489"/>
      <c r="R307" s="489"/>
      <c r="S307" s="489"/>
      <c r="T307" s="489"/>
      <c r="U307" s="489"/>
      <c r="V307" s="489"/>
      <c r="W307" s="489"/>
      <c r="X307" s="489"/>
      <c r="Y307" s="489"/>
      <c r="Z307" s="489"/>
      <c r="AA307" s="489"/>
      <c r="AB307" s="489"/>
    </row>
    <row r="308" spans="1:28">
      <c r="A308" s="489"/>
      <c r="B308" s="701"/>
      <c r="C308" s="489"/>
      <c r="D308" s="489"/>
      <c r="E308" s="489"/>
      <c r="F308" s="489"/>
      <c r="G308" s="489"/>
      <c r="H308" s="489"/>
      <c r="I308" s="489"/>
      <c r="J308" s="489"/>
      <c r="K308" s="489"/>
      <c r="L308" s="489"/>
      <c r="M308" s="489"/>
      <c r="N308" s="489"/>
      <c r="O308" s="489"/>
      <c r="P308" s="489"/>
      <c r="Q308" s="489"/>
      <c r="R308" s="489"/>
      <c r="S308" s="489"/>
      <c r="T308" s="489"/>
      <c r="U308" s="489"/>
      <c r="V308" s="489"/>
      <c r="W308" s="489"/>
      <c r="X308" s="489"/>
      <c r="Y308" s="489"/>
      <c r="Z308" s="489"/>
      <c r="AA308" s="489"/>
      <c r="AB308" s="489"/>
    </row>
    <row r="309" spans="1:28">
      <c r="A309" s="489"/>
      <c r="B309" s="701"/>
      <c r="C309" s="489"/>
      <c r="D309" s="489"/>
      <c r="E309" s="489"/>
      <c r="F309" s="489"/>
      <c r="G309" s="489"/>
      <c r="H309" s="489"/>
      <c r="I309" s="489"/>
      <c r="J309" s="489"/>
      <c r="K309" s="489"/>
      <c r="L309" s="489"/>
      <c r="M309" s="489"/>
      <c r="N309" s="489"/>
      <c r="O309" s="489"/>
      <c r="P309" s="489"/>
      <c r="Q309" s="489"/>
      <c r="R309" s="489"/>
      <c r="S309" s="489"/>
      <c r="T309" s="489"/>
      <c r="U309" s="489"/>
      <c r="V309" s="489"/>
      <c r="W309" s="489"/>
      <c r="X309" s="489"/>
      <c r="Y309" s="489"/>
      <c r="Z309" s="489"/>
      <c r="AA309" s="489"/>
      <c r="AB309" s="489"/>
    </row>
    <row r="310" spans="1:28">
      <c r="A310" s="489"/>
      <c r="B310" s="701"/>
      <c r="C310" s="489"/>
      <c r="D310" s="489"/>
      <c r="E310" s="489"/>
      <c r="F310" s="489"/>
      <c r="G310" s="489"/>
      <c r="H310" s="489"/>
      <c r="I310" s="489"/>
      <c r="J310" s="489"/>
      <c r="K310" s="489"/>
      <c r="L310" s="489"/>
      <c r="M310" s="489"/>
      <c r="N310" s="489"/>
      <c r="O310" s="489"/>
      <c r="P310" s="489"/>
      <c r="Q310" s="489"/>
      <c r="R310" s="489"/>
      <c r="S310" s="489"/>
      <c r="T310" s="489"/>
      <c r="U310" s="489"/>
      <c r="V310" s="489"/>
      <c r="W310" s="489"/>
      <c r="X310" s="489"/>
      <c r="Y310" s="489"/>
      <c r="Z310" s="489"/>
      <c r="AA310" s="489"/>
      <c r="AB310" s="489"/>
    </row>
    <row r="311" spans="1:28">
      <c r="A311" s="489"/>
      <c r="B311" s="701"/>
      <c r="C311" s="489"/>
      <c r="D311" s="489"/>
      <c r="E311" s="489"/>
      <c r="F311" s="489"/>
      <c r="G311" s="489"/>
      <c r="H311" s="489"/>
      <c r="I311" s="489"/>
      <c r="J311" s="489"/>
      <c r="K311" s="489"/>
      <c r="L311" s="489"/>
      <c r="M311" s="489"/>
      <c r="N311" s="489"/>
      <c r="O311" s="489"/>
      <c r="P311" s="489"/>
      <c r="Q311" s="489"/>
      <c r="R311" s="489"/>
      <c r="S311" s="489"/>
      <c r="T311" s="489"/>
      <c r="U311" s="489"/>
      <c r="V311" s="489"/>
      <c r="W311" s="489"/>
      <c r="X311" s="489"/>
      <c r="Y311" s="489"/>
      <c r="Z311" s="489"/>
      <c r="AA311" s="489"/>
      <c r="AB311" s="489"/>
    </row>
    <row r="312" spans="1:28">
      <c r="A312" s="489"/>
      <c r="B312" s="701"/>
      <c r="C312" s="489"/>
      <c r="D312" s="489"/>
      <c r="E312" s="489"/>
      <c r="F312" s="489"/>
      <c r="G312" s="489"/>
      <c r="H312" s="489"/>
      <c r="I312" s="489"/>
      <c r="J312" s="489"/>
      <c r="K312" s="489"/>
      <c r="L312" s="489"/>
      <c r="M312" s="489"/>
      <c r="N312" s="489"/>
      <c r="O312" s="489"/>
      <c r="P312" s="489"/>
      <c r="Q312" s="489"/>
      <c r="R312" s="489"/>
      <c r="S312" s="489"/>
      <c r="T312" s="489"/>
      <c r="U312" s="489"/>
      <c r="V312" s="489"/>
      <c r="W312" s="489"/>
      <c r="X312" s="489"/>
      <c r="Y312" s="489"/>
      <c r="Z312" s="489"/>
      <c r="AA312" s="489"/>
      <c r="AB312" s="489"/>
    </row>
    <row r="313" spans="1:28">
      <c r="A313" s="489"/>
      <c r="B313" s="701"/>
      <c r="C313" s="489"/>
      <c r="D313" s="489"/>
      <c r="E313" s="489"/>
      <c r="F313" s="489"/>
      <c r="G313" s="489"/>
      <c r="H313" s="489"/>
      <c r="I313" s="489"/>
      <c r="J313" s="489"/>
      <c r="K313" s="489"/>
      <c r="L313" s="489"/>
      <c r="M313" s="489"/>
      <c r="N313" s="489"/>
      <c r="O313" s="489"/>
      <c r="P313" s="489"/>
      <c r="Q313" s="489"/>
      <c r="R313" s="489"/>
      <c r="S313" s="489"/>
      <c r="T313" s="489"/>
      <c r="U313" s="489"/>
      <c r="V313" s="489"/>
      <c r="W313" s="489"/>
      <c r="X313" s="489"/>
      <c r="Y313" s="489"/>
      <c r="Z313" s="489"/>
      <c r="AA313" s="489"/>
      <c r="AB313" s="489"/>
    </row>
    <row r="314" spans="1:28">
      <c r="A314" s="489"/>
      <c r="B314" s="701"/>
      <c r="C314" s="489"/>
      <c r="D314" s="489"/>
      <c r="E314" s="489"/>
      <c r="F314" s="489"/>
      <c r="G314" s="489"/>
      <c r="H314" s="489"/>
      <c r="I314" s="489"/>
      <c r="J314" s="489"/>
      <c r="K314" s="489"/>
      <c r="L314" s="489"/>
      <c r="M314" s="489"/>
      <c r="N314" s="489"/>
      <c r="O314" s="489"/>
      <c r="P314" s="489"/>
      <c r="Q314" s="489"/>
      <c r="R314" s="489"/>
      <c r="S314" s="489"/>
      <c r="T314" s="489"/>
      <c r="U314" s="489"/>
      <c r="V314" s="489"/>
      <c r="W314" s="489"/>
      <c r="X314" s="489"/>
      <c r="Y314" s="489"/>
      <c r="Z314" s="489"/>
      <c r="AA314" s="489"/>
      <c r="AB314" s="489"/>
    </row>
    <row r="315" spans="1:28">
      <c r="A315" s="489"/>
      <c r="B315" s="701"/>
      <c r="C315" s="489"/>
      <c r="D315" s="489"/>
      <c r="E315" s="489"/>
      <c r="F315" s="489"/>
      <c r="G315" s="489"/>
      <c r="H315" s="489"/>
      <c r="I315" s="489"/>
      <c r="J315" s="489"/>
      <c r="K315" s="489"/>
      <c r="L315" s="489"/>
      <c r="M315" s="489"/>
      <c r="N315" s="489"/>
      <c r="O315" s="489"/>
      <c r="P315" s="489"/>
      <c r="Q315" s="489"/>
      <c r="R315" s="489"/>
      <c r="S315" s="489"/>
      <c r="T315" s="489"/>
      <c r="U315" s="489"/>
      <c r="V315" s="489"/>
      <c r="W315" s="489"/>
      <c r="X315" s="489"/>
      <c r="Y315" s="489"/>
      <c r="Z315" s="489"/>
      <c r="AA315" s="489"/>
      <c r="AB315" s="489"/>
    </row>
    <row r="316" spans="1:28">
      <c r="A316" s="489"/>
      <c r="B316" s="701"/>
      <c r="C316" s="489"/>
      <c r="D316" s="489"/>
      <c r="E316" s="489"/>
      <c r="F316" s="489"/>
      <c r="G316" s="489"/>
      <c r="H316" s="489"/>
      <c r="I316" s="489"/>
      <c r="J316" s="489"/>
      <c r="K316" s="489"/>
      <c r="L316" s="489"/>
      <c r="M316" s="489"/>
      <c r="N316" s="489"/>
      <c r="O316" s="489"/>
      <c r="P316" s="489"/>
      <c r="Q316" s="489"/>
      <c r="R316" s="489"/>
      <c r="S316" s="489"/>
      <c r="T316" s="489"/>
      <c r="U316" s="489"/>
      <c r="V316" s="489"/>
      <c r="W316" s="489"/>
      <c r="X316" s="489"/>
      <c r="Y316" s="489"/>
      <c r="Z316" s="489"/>
      <c r="AA316" s="489"/>
      <c r="AB316" s="489"/>
    </row>
    <row r="317" spans="1:28">
      <c r="A317" s="489"/>
      <c r="B317" s="701"/>
      <c r="C317" s="489"/>
      <c r="D317" s="489"/>
      <c r="E317" s="489"/>
      <c r="F317" s="489"/>
      <c r="G317" s="489"/>
      <c r="H317" s="489"/>
      <c r="I317" s="489"/>
      <c r="J317" s="489"/>
      <c r="K317" s="489"/>
      <c r="L317" s="489"/>
      <c r="M317" s="489"/>
      <c r="N317" s="489"/>
      <c r="O317" s="489"/>
      <c r="P317" s="489"/>
      <c r="Q317" s="489"/>
      <c r="R317" s="489"/>
      <c r="S317" s="489"/>
      <c r="T317" s="489"/>
      <c r="U317" s="489"/>
      <c r="V317" s="489"/>
      <c r="W317" s="489"/>
      <c r="X317" s="489"/>
      <c r="Y317" s="489"/>
      <c r="Z317" s="489"/>
      <c r="AA317" s="489"/>
      <c r="AB317" s="489"/>
    </row>
    <row r="318" spans="1:28">
      <c r="A318" s="489"/>
      <c r="B318" s="701"/>
      <c r="C318" s="489"/>
      <c r="D318" s="489"/>
      <c r="E318" s="489"/>
      <c r="F318" s="489"/>
      <c r="G318" s="489"/>
      <c r="H318" s="489"/>
      <c r="I318" s="489"/>
      <c r="J318" s="489"/>
      <c r="K318" s="489"/>
      <c r="L318" s="489"/>
      <c r="M318" s="489"/>
      <c r="N318" s="489"/>
      <c r="O318" s="489"/>
      <c r="P318" s="489"/>
      <c r="Q318" s="489"/>
      <c r="R318" s="489"/>
      <c r="S318" s="489"/>
      <c r="T318" s="489"/>
      <c r="U318" s="489"/>
      <c r="V318" s="489"/>
      <c r="W318" s="489"/>
      <c r="X318" s="489"/>
      <c r="Y318" s="489"/>
      <c r="Z318" s="489"/>
      <c r="AA318" s="489"/>
      <c r="AB318" s="489"/>
    </row>
    <row r="319" spans="1:28">
      <c r="A319" s="489"/>
      <c r="B319" s="701"/>
      <c r="C319" s="489"/>
      <c r="D319" s="489"/>
      <c r="E319" s="489"/>
      <c r="F319" s="489"/>
      <c r="G319" s="489"/>
      <c r="H319" s="489"/>
      <c r="I319" s="489"/>
      <c r="J319" s="489"/>
      <c r="K319" s="489"/>
      <c r="L319" s="489"/>
      <c r="M319" s="489"/>
      <c r="N319" s="489"/>
      <c r="O319" s="489"/>
      <c r="P319" s="489"/>
      <c r="Q319" s="489"/>
      <c r="R319" s="489"/>
      <c r="S319" s="489"/>
      <c r="T319" s="489"/>
      <c r="U319" s="489"/>
      <c r="V319" s="489"/>
      <c r="W319" s="489"/>
      <c r="X319" s="489"/>
      <c r="Y319" s="489"/>
      <c r="Z319" s="489"/>
      <c r="AA319" s="489"/>
      <c r="AB319" s="489"/>
    </row>
    <row r="320" spans="1:28">
      <c r="A320" s="489"/>
      <c r="B320" s="701"/>
      <c r="C320" s="489"/>
      <c r="D320" s="489"/>
      <c r="E320" s="489"/>
      <c r="F320" s="489"/>
      <c r="G320" s="489"/>
      <c r="H320" s="489"/>
      <c r="I320" s="489"/>
      <c r="J320" s="489"/>
      <c r="K320" s="489"/>
      <c r="L320" s="489"/>
      <c r="M320" s="489"/>
      <c r="N320" s="489"/>
      <c r="O320" s="489"/>
      <c r="P320" s="489"/>
      <c r="Q320" s="489"/>
      <c r="R320" s="489"/>
      <c r="S320" s="489"/>
      <c r="T320" s="489"/>
      <c r="U320" s="489"/>
      <c r="V320" s="489"/>
      <c r="W320" s="489"/>
      <c r="X320" s="489"/>
      <c r="Y320" s="489"/>
      <c r="Z320" s="489"/>
      <c r="AA320" s="489"/>
      <c r="AB320" s="489"/>
    </row>
    <row r="321" spans="1:28">
      <c r="A321" s="489"/>
      <c r="B321" s="701"/>
      <c r="C321" s="489"/>
      <c r="D321" s="489"/>
      <c r="E321" s="489"/>
      <c r="F321" s="489"/>
      <c r="G321" s="489"/>
      <c r="H321" s="489"/>
      <c r="I321" s="489"/>
      <c r="J321" s="489"/>
      <c r="K321" s="489"/>
      <c r="L321" s="489"/>
      <c r="M321" s="489"/>
      <c r="N321" s="489"/>
      <c r="O321" s="489"/>
      <c r="P321" s="489"/>
      <c r="Q321" s="489"/>
      <c r="R321" s="489"/>
      <c r="S321" s="489"/>
      <c r="T321" s="489"/>
      <c r="U321" s="489"/>
      <c r="V321" s="489"/>
      <c r="W321" s="489"/>
      <c r="X321" s="489"/>
      <c r="Y321" s="489"/>
      <c r="Z321" s="489"/>
      <c r="AA321" s="489"/>
      <c r="AB321" s="489"/>
    </row>
    <row r="322" spans="1:28">
      <c r="A322" s="489"/>
      <c r="B322" s="701"/>
      <c r="C322" s="489"/>
      <c r="D322" s="489"/>
      <c r="E322" s="489"/>
      <c r="F322" s="489"/>
      <c r="G322" s="489"/>
      <c r="H322" s="489"/>
      <c r="I322" s="489"/>
      <c r="J322" s="489"/>
      <c r="K322" s="489"/>
      <c r="L322" s="489"/>
      <c r="M322" s="489"/>
      <c r="N322" s="489"/>
      <c r="O322" s="489"/>
      <c r="P322" s="489"/>
      <c r="Q322" s="489"/>
      <c r="R322" s="489"/>
      <c r="S322" s="489"/>
      <c r="T322" s="489"/>
      <c r="U322" s="489"/>
      <c r="V322" s="489"/>
      <c r="W322" s="489"/>
      <c r="X322" s="489"/>
      <c r="Y322" s="489"/>
      <c r="Z322" s="489"/>
      <c r="AA322" s="489"/>
      <c r="AB322" s="489"/>
    </row>
    <row r="323" spans="1:28">
      <c r="A323" s="489"/>
      <c r="B323" s="701"/>
      <c r="C323" s="489"/>
      <c r="D323" s="489"/>
      <c r="E323" s="489"/>
      <c r="F323" s="489"/>
      <c r="G323" s="489"/>
      <c r="H323" s="489"/>
      <c r="I323" s="489"/>
      <c r="J323" s="489"/>
      <c r="K323" s="489"/>
      <c r="L323" s="489"/>
      <c r="M323" s="489"/>
      <c r="N323" s="489"/>
      <c r="O323" s="489"/>
      <c r="P323" s="489"/>
      <c r="Q323" s="489"/>
      <c r="R323" s="489"/>
      <c r="S323" s="489"/>
      <c r="T323" s="489"/>
      <c r="U323" s="489"/>
      <c r="V323" s="489"/>
      <c r="W323" s="489"/>
      <c r="X323" s="489"/>
      <c r="Y323" s="489"/>
      <c r="Z323" s="489"/>
      <c r="AA323" s="489"/>
      <c r="AB323" s="489"/>
    </row>
    <row r="324" spans="1:28">
      <c r="A324" s="489"/>
      <c r="B324" s="701"/>
      <c r="C324" s="489"/>
      <c r="D324" s="489"/>
      <c r="E324" s="489"/>
      <c r="F324" s="489"/>
      <c r="G324" s="489"/>
      <c r="H324" s="489"/>
      <c r="I324" s="489"/>
      <c r="J324" s="489"/>
      <c r="K324" s="489"/>
      <c r="L324" s="489"/>
      <c r="M324" s="489"/>
      <c r="N324" s="489"/>
      <c r="O324" s="489"/>
      <c r="P324" s="489"/>
      <c r="Q324" s="489"/>
      <c r="R324" s="489"/>
      <c r="S324" s="489"/>
      <c r="T324" s="489"/>
      <c r="U324" s="489"/>
      <c r="V324" s="489"/>
      <c r="W324" s="489"/>
      <c r="X324" s="489"/>
      <c r="Y324" s="489"/>
      <c r="Z324" s="489"/>
      <c r="AA324" s="489"/>
      <c r="AB324" s="489"/>
    </row>
    <row r="325" spans="1:28">
      <c r="A325" s="489"/>
      <c r="B325" s="701"/>
      <c r="C325" s="489"/>
      <c r="D325" s="489"/>
      <c r="E325" s="489"/>
      <c r="F325" s="489"/>
      <c r="G325" s="489"/>
      <c r="H325" s="489"/>
      <c r="I325" s="489"/>
      <c r="J325" s="489"/>
      <c r="K325" s="489"/>
      <c r="L325" s="489"/>
      <c r="M325" s="489"/>
      <c r="N325" s="489"/>
      <c r="O325" s="489"/>
      <c r="P325" s="489"/>
      <c r="Q325" s="489"/>
      <c r="R325" s="489"/>
      <c r="S325" s="489"/>
      <c r="T325" s="489"/>
      <c r="U325" s="489"/>
      <c r="V325" s="489"/>
      <c r="W325" s="489"/>
      <c r="X325" s="489"/>
      <c r="Y325" s="489"/>
      <c r="Z325" s="489"/>
      <c r="AA325" s="489"/>
      <c r="AB325" s="489"/>
    </row>
    <row r="326" spans="1:28">
      <c r="A326" s="489"/>
      <c r="B326" s="701"/>
      <c r="C326" s="489"/>
      <c r="D326" s="489"/>
      <c r="E326" s="489"/>
      <c r="F326" s="489"/>
      <c r="G326" s="489"/>
      <c r="H326" s="489"/>
      <c r="I326" s="489"/>
      <c r="J326" s="489"/>
      <c r="K326" s="489"/>
      <c r="L326" s="489"/>
      <c r="M326" s="489"/>
      <c r="N326" s="489"/>
      <c r="O326" s="489"/>
      <c r="P326" s="489"/>
      <c r="Q326" s="489"/>
      <c r="R326" s="489"/>
      <c r="S326" s="489"/>
      <c r="T326" s="489"/>
      <c r="U326" s="489"/>
      <c r="V326" s="489"/>
      <c r="W326" s="489"/>
      <c r="X326" s="489"/>
      <c r="Y326" s="489"/>
      <c r="Z326" s="489"/>
      <c r="AA326" s="489"/>
      <c r="AB326" s="489"/>
    </row>
    <row r="327" spans="1:28">
      <c r="A327" s="489"/>
      <c r="B327" s="701"/>
      <c r="C327" s="489"/>
      <c r="D327" s="489"/>
      <c r="E327" s="489"/>
      <c r="F327" s="489"/>
      <c r="G327" s="489"/>
      <c r="H327" s="489"/>
      <c r="I327" s="489"/>
      <c r="J327" s="489"/>
      <c r="K327" s="489"/>
      <c r="L327" s="489"/>
      <c r="M327" s="489"/>
      <c r="N327" s="489"/>
      <c r="O327" s="489"/>
      <c r="P327" s="489"/>
      <c r="Q327" s="489"/>
      <c r="R327" s="489"/>
      <c r="S327" s="489"/>
      <c r="T327" s="489"/>
      <c r="U327" s="489"/>
      <c r="V327" s="489"/>
      <c r="W327" s="489"/>
      <c r="X327" s="489"/>
      <c r="Y327" s="489"/>
      <c r="Z327" s="489"/>
      <c r="AA327" s="489"/>
      <c r="AB327" s="489"/>
    </row>
    <row r="328" spans="1:28">
      <c r="A328" s="489"/>
      <c r="B328" s="701"/>
      <c r="C328" s="489"/>
      <c r="D328" s="489"/>
      <c r="E328" s="489"/>
      <c r="F328" s="489"/>
      <c r="G328" s="489"/>
      <c r="H328" s="489"/>
      <c r="I328" s="489"/>
      <c r="J328" s="489"/>
      <c r="K328" s="489"/>
      <c r="L328" s="489"/>
      <c r="M328" s="489"/>
      <c r="N328" s="489"/>
      <c r="O328" s="489"/>
      <c r="P328" s="489"/>
      <c r="Q328" s="489"/>
      <c r="R328" s="489"/>
      <c r="S328" s="489"/>
      <c r="T328" s="489"/>
      <c r="U328" s="489"/>
      <c r="V328" s="489"/>
      <c r="W328" s="489"/>
      <c r="X328" s="489"/>
      <c r="Y328" s="489"/>
      <c r="Z328" s="489"/>
      <c r="AA328" s="489"/>
      <c r="AB328" s="489"/>
    </row>
    <row r="329" spans="1:28">
      <c r="A329" s="489"/>
      <c r="B329" s="701"/>
      <c r="C329" s="489"/>
      <c r="D329" s="489"/>
      <c r="E329" s="489"/>
      <c r="F329" s="489"/>
      <c r="G329" s="489"/>
      <c r="H329" s="489"/>
      <c r="I329" s="489"/>
      <c r="J329" s="489"/>
      <c r="K329" s="489"/>
      <c r="L329" s="489"/>
      <c r="M329" s="489"/>
      <c r="N329" s="489"/>
      <c r="O329" s="489"/>
      <c r="P329" s="489"/>
      <c r="Q329" s="489"/>
      <c r="R329" s="489"/>
      <c r="S329" s="489"/>
      <c r="T329" s="489"/>
      <c r="U329" s="489"/>
      <c r="V329" s="489"/>
      <c r="W329" s="489"/>
      <c r="X329" s="489"/>
      <c r="Y329" s="489"/>
      <c r="Z329" s="489"/>
      <c r="AA329" s="489"/>
      <c r="AB329" s="489"/>
    </row>
    <row r="330" spans="1:28">
      <c r="A330" s="489"/>
      <c r="B330" s="701"/>
      <c r="C330" s="489"/>
      <c r="D330" s="489"/>
      <c r="E330" s="489"/>
      <c r="F330" s="489"/>
      <c r="G330" s="489"/>
      <c r="H330" s="489"/>
      <c r="I330" s="489"/>
      <c r="J330" s="489"/>
      <c r="K330" s="489"/>
      <c r="L330" s="489"/>
      <c r="M330" s="489"/>
      <c r="N330" s="489"/>
      <c r="O330" s="489"/>
      <c r="P330" s="489"/>
      <c r="Q330" s="489"/>
      <c r="R330" s="489"/>
      <c r="S330" s="489"/>
      <c r="T330" s="489"/>
      <c r="U330" s="489"/>
      <c r="V330" s="489"/>
      <c r="W330" s="489"/>
      <c r="X330" s="489"/>
      <c r="Y330" s="489"/>
      <c r="Z330" s="489"/>
      <c r="AA330" s="489"/>
      <c r="AB330" s="489"/>
    </row>
    <row r="331" spans="1:28">
      <c r="A331" s="489"/>
      <c r="B331" s="701"/>
      <c r="C331" s="489"/>
      <c r="D331" s="489"/>
      <c r="E331" s="489"/>
      <c r="F331" s="489"/>
      <c r="G331" s="489"/>
      <c r="H331" s="489"/>
      <c r="I331" s="489"/>
      <c r="J331" s="489"/>
      <c r="K331" s="489"/>
      <c r="L331" s="489"/>
      <c r="M331" s="489"/>
      <c r="N331" s="489"/>
      <c r="O331" s="489"/>
      <c r="P331" s="489"/>
      <c r="Q331" s="489"/>
      <c r="R331" s="489"/>
      <c r="S331" s="489"/>
      <c r="T331" s="489"/>
      <c r="U331" s="489"/>
      <c r="V331" s="489"/>
      <c r="W331" s="489"/>
      <c r="X331" s="489"/>
      <c r="Y331" s="489"/>
      <c r="Z331" s="489"/>
      <c r="AA331" s="489"/>
      <c r="AB331" s="489"/>
    </row>
    <row r="332" spans="1:28">
      <c r="A332" s="489"/>
      <c r="B332" s="701"/>
      <c r="C332" s="489"/>
      <c r="D332" s="489"/>
      <c r="E332" s="489"/>
      <c r="F332" s="489"/>
      <c r="G332" s="489"/>
      <c r="H332" s="489"/>
      <c r="I332" s="489"/>
      <c r="J332" s="489"/>
      <c r="K332" s="489"/>
      <c r="L332" s="489"/>
      <c r="M332" s="489"/>
      <c r="N332" s="489"/>
      <c r="O332" s="489"/>
      <c r="P332" s="489"/>
      <c r="Q332" s="489"/>
      <c r="R332" s="489"/>
      <c r="S332" s="489"/>
      <c r="T332" s="489"/>
      <c r="U332" s="489"/>
      <c r="V332" s="489"/>
      <c r="W332" s="489"/>
      <c r="X332" s="489"/>
      <c r="Y332" s="489"/>
      <c r="Z332" s="489"/>
      <c r="AA332" s="489"/>
      <c r="AB332" s="489"/>
    </row>
    <row r="333" spans="1:28">
      <c r="A333" s="489"/>
      <c r="B333" s="701"/>
      <c r="C333" s="489"/>
      <c r="D333" s="489"/>
      <c r="E333" s="489"/>
      <c r="F333" s="489"/>
      <c r="G333" s="489"/>
      <c r="H333" s="489"/>
      <c r="I333" s="489"/>
      <c r="J333" s="489"/>
      <c r="K333" s="489"/>
      <c r="L333" s="489"/>
      <c r="M333" s="489"/>
      <c r="N333" s="489"/>
      <c r="O333" s="489"/>
      <c r="P333" s="489"/>
      <c r="Q333" s="489"/>
      <c r="R333" s="489"/>
      <c r="S333" s="489"/>
      <c r="T333" s="489"/>
      <c r="U333" s="489"/>
      <c r="V333" s="489"/>
      <c r="W333" s="489"/>
      <c r="X333" s="489"/>
      <c r="Y333" s="489"/>
      <c r="Z333" s="489"/>
      <c r="AA333" s="489"/>
      <c r="AB333" s="489"/>
    </row>
    <row r="334" spans="1:28">
      <c r="A334" s="489"/>
      <c r="B334" s="701"/>
      <c r="C334" s="489"/>
      <c r="D334" s="489"/>
      <c r="E334" s="489"/>
      <c r="F334" s="489"/>
      <c r="G334" s="489"/>
      <c r="H334" s="489"/>
      <c r="I334" s="489"/>
      <c r="J334" s="489"/>
      <c r="K334" s="489"/>
      <c r="L334" s="489"/>
      <c r="M334" s="489"/>
      <c r="N334" s="489"/>
      <c r="O334" s="489"/>
      <c r="P334" s="489"/>
      <c r="Q334" s="489"/>
      <c r="R334" s="489"/>
      <c r="S334" s="489"/>
      <c r="T334" s="489"/>
      <c r="U334" s="489"/>
      <c r="V334" s="489"/>
      <c r="W334" s="489"/>
      <c r="X334" s="489"/>
      <c r="Y334" s="489"/>
      <c r="Z334" s="489"/>
      <c r="AA334" s="489"/>
      <c r="AB334" s="489"/>
    </row>
    <row r="335" spans="1:28">
      <c r="A335" s="489"/>
      <c r="B335" s="701"/>
      <c r="C335" s="489"/>
      <c r="D335" s="489"/>
      <c r="E335" s="489"/>
      <c r="F335" s="489"/>
      <c r="G335" s="489"/>
      <c r="H335" s="489"/>
      <c r="I335" s="489"/>
      <c r="J335" s="489"/>
      <c r="K335" s="489"/>
      <c r="L335" s="489"/>
      <c r="M335" s="489"/>
      <c r="N335" s="489"/>
      <c r="O335" s="489"/>
      <c r="P335" s="489"/>
      <c r="Q335" s="489"/>
      <c r="R335" s="489"/>
      <c r="S335" s="489"/>
      <c r="T335" s="489"/>
      <c r="U335" s="489"/>
      <c r="V335" s="489"/>
      <c r="W335" s="489"/>
      <c r="X335" s="489"/>
      <c r="Y335" s="489"/>
      <c r="Z335" s="489"/>
      <c r="AA335" s="489"/>
      <c r="AB335" s="489"/>
    </row>
    <row r="336" spans="1:28">
      <c r="A336" s="489"/>
      <c r="B336" s="701"/>
      <c r="C336" s="489"/>
      <c r="D336" s="489"/>
      <c r="E336" s="489"/>
      <c r="F336" s="489"/>
      <c r="G336" s="489"/>
      <c r="H336" s="489"/>
      <c r="I336" s="489"/>
      <c r="J336" s="489"/>
      <c r="K336" s="489"/>
      <c r="L336" s="489"/>
      <c r="M336" s="489"/>
      <c r="N336" s="489"/>
      <c r="O336" s="489"/>
      <c r="P336" s="489"/>
      <c r="Q336" s="489"/>
      <c r="R336" s="489"/>
      <c r="S336" s="489"/>
      <c r="T336" s="489"/>
      <c r="U336" s="489"/>
      <c r="V336" s="489"/>
      <c r="W336" s="489"/>
      <c r="X336" s="489"/>
      <c r="Y336" s="489"/>
      <c r="Z336" s="489"/>
      <c r="AA336" s="489"/>
      <c r="AB336" s="489"/>
    </row>
    <row r="337" spans="1:28">
      <c r="A337" s="489"/>
      <c r="B337" s="701"/>
      <c r="C337" s="489"/>
      <c r="D337" s="489"/>
      <c r="E337" s="489"/>
      <c r="F337" s="489"/>
      <c r="G337" s="489"/>
      <c r="H337" s="489"/>
      <c r="I337" s="489"/>
      <c r="J337" s="489"/>
      <c r="K337" s="489"/>
      <c r="L337" s="489"/>
      <c r="M337" s="489"/>
      <c r="N337" s="489"/>
      <c r="O337" s="489"/>
      <c r="P337" s="489"/>
      <c r="Q337" s="489"/>
      <c r="R337" s="489"/>
      <c r="S337" s="489"/>
      <c r="T337" s="489"/>
      <c r="U337" s="489"/>
      <c r="V337" s="489"/>
      <c r="W337" s="489"/>
      <c r="X337" s="489"/>
      <c r="Y337" s="489"/>
      <c r="Z337" s="489"/>
      <c r="AA337" s="489"/>
      <c r="AB337" s="489"/>
    </row>
    <row r="338" spans="1:28">
      <c r="A338" s="489"/>
      <c r="B338" s="701"/>
      <c r="C338" s="489"/>
      <c r="D338" s="489"/>
      <c r="E338" s="489"/>
      <c r="F338" s="489"/>
      <c r="G338" s="489"/>
      <c r="H338" s="489"/>
      <c r="I338" s="489"/>
      <c r="J338" s="489"/>
      <c r="K338" s="489"/>
      <c r="L338" s="489"/>
      <c r="M338" s="489"/>
      <c r="N338" s="489"/>
      <c r="O338" s="489"/>
      <c r="P338" s="489"/>
      <c r="Q338" s="489"/>
      <c r="R338" s="489"/>
      <c r="S338" s="489"/>
      <c r="T338" s="489"/>
      <c r="U338" s="489"/>
      <c r="V338" s="489"/>
      <c r="W338" s="489"/>
      <c r="X338" s="489"/>
      <c r="Y338" s="489"/>
      <c r="Z338" s="489"/>
      <c r="AA338" s="489"/>
      <c r="AB338" s="489"/>
    </row>
  </sheetData>
  <mergeCells count="61">
    <mergeCell ref="D125:J125"/>
    <mergeCell ref="B58:J59"/>
    <mergeCell ref="B130:J136"/>
    <mergeCell ref="E62:E64"/>
    <mergeCell ref="B3:K3"/>
    <mergeCell ref="D126:J126"/>
    <mergeCell ref="B19:K19"/>
    <mergeCell ref="B29:I29"/>
    <mergeCell ref="B37:K37"/>
    <mergeCell ref="B44:J44"/>
    <mergeCell ref="B61:J61"/>
    <mergeCell ref="B71:E71"/>
    <mergeCell ref="B110:F110"/>
    <mergeCell ref="B122:J122"/>
    <mergeCell ref="B15:K15"/>
    <mergeCell ref="D123:J123"/>
    <mergeCell ref="D124:J124"/>
    <mergeCell ref="E45:E47"/>
    <mergeCell ref="D45:D47"/>
    <mergeCell ref="C45:C47"/>
    <mergeCell ref="B45:B47"/>
    <mergeCell ref="E52:E54"/>
    <mergeCell ref="D52:D54"/>
    <mergeCell ref="C52:C54"/>
    <mergeCell ref="B52:B54"/>
    <mergeCell ref="B81:J81"/>
    <mergeCell ref="B72:B74"/>
    <mergeCell ref="C72:C74"/>
    <mergeCell ref="D72:D74"/>
    <mergeCell ref="E72:E74"/>
    <mergeCell ref="C62:C64"/>
    <mergeCell ref="B62:B64"/>
    <mergeCell ref="E20:E22"/>
    <mergeCell ref="D20:D22"/>
    <mergeCell ref="C20:C22"/>
    <mergeCell ref="B20:B22"/>
    <mergeCell ref="C38:C39"/>
    <mergeCell ref="B38:B39"/>
    <mergeCell ref="D38:D39"/>
    <mergeCell ref="E38:E39"/>
    <mergeCell ref="F62:J62"/>
    <mergeCell ref="F63:F64"/>
    <mergeCell ref="G63:H63"/>
    <mergeCell ref="I63:J63"/>
    <mergeCell ref="D62:D64"/>
    <mergeCell ref="G46:H46"/>
    <mergeCell ref="F46:F47"/>
    <mergeCell ref="F53:G53"/>
    <mergeCell ref="H53:I53"/>
    <mergeCell ref="F52:I52"/>
    <mergeCell ref="I46:J46"/>
    <mergeCell ref="F45:J45"/>
    <mergeCell ref="G20:K20"/>
    <mergeCell ref="H21:I21"/>
    <mergeCell ref="J21:K21"/>
    <mergeCell ref="G21:G22"/>
    <mergeCell ref="I38:K38"/>
    <mergeCell ref="H38:H39"/>
    <mergeCell ref="G38:G39"/>
    <mergeCell ref="F20:F22"/>
    <mergeCell ref="F38:F39"/>
  </mergeCells>
  <phoneticPr fontId="18" type="noConversion"/>
  <pageMargins left="0.5" right="0.5" top="1" bottom="1" header="0.5" footer="0.5"/>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macro="[0]!CheckBox1_Click">
                <anchor moveWithCells="1">
                  <from>
                    <xdr:col>2</xdr:col>
                    <xdr:colOff>381000</xdr:colOff>
                    <xdr:row>4</xdr:row>
                    <xdr:rowOff>19050</xdr:rowOff>
                  </from>
                  <to>
                    <xdr:col>3</xdr:col>
                    <xdr:colOff>0</xdr:colOff>
                    <xdr:row>5</xdr:row>
                    <xdr:rowOff>0</xdr:rowOff>
                  </to>
                </anchor>
              </controlPr>
            </control>
          </mc:Choice>
        </mc:AlternateContent>
        <mc:AlternateContent xmlns:mc="http://schemas.openxmlformats.org/markup-compatibility/2006">
          <mc:Choice Requires="x14">
            <control shapeId="8194" r:id="rId5" name="Check Box 2">
              <controlPr defaultSize="0" autoFill="0" autoLine="0" autoPict="0" macro="[0]!CheckBox2_Click">
                <anchor moveWithCells="1">
                  <from>
                    <xdr:col>2</xdr:col>
                    <xdr:colOff>381000</xdr:colOff>
                    <xdr:row>5</xdr:row>
                    <xdr:rowOff>28575</xdr:rowOff>
                  </from>
                  <to>
                    <xdr:col>3</xdr:col>
                    <xdr:colOff>19050</xdr:colOff>
                    <xdr:row>6</xdr:row>
                    <xdr:rowOff>9525</xdr:rowOff>
                  </to>
                </anchor>
              </controlPr>
            </control>
          </mc:Choice>
        </mc:AlternateContent>
        <mc:AlternateContent xmlns:mc="http://schemas.openxmlformats.org/markup-compatibility/2006">
          <mc:Choice Requires="x14">
            <control shapeId="8195" r:id="rId6" name="Check Box 3">
              <controlPr defaultSize="0" autoFill="0" autoLine="0" autoPict="0" macro="[0]!CheckBox3_Click">
                <anchor moveWithCells="1">
                  <from>
                    <xdr:col>2</xdr:col>
                    <xdr:colOff>371475</xdr:colOff>
                    <xdr:row>6</xdr:row>
                    <xdr:rowOff>38100</xdr:rowOff>
                  </from>
                  <to>
                    <xdr:col>3</xdr:col>
                    <xdr:colOff>47625</xdr:colOff>
                    <xdr:row>7</xdr:row>
                    <xdr:rowOff>19050</xdr:rowOff>
                  </to>
                </anchor>
              </controlPr>
            </control>
          </mc:Choice>
        </mc:AlternateContent>
        <mc:AlternateContent xmlns:mc="http://schemas.openxmlformats.org/markup-compatibility/2006">
          <mc:Choice Requires="x14">
            <control shapeId="8196" r:id="rId7" name="Check Box 4">
              <controlPr defaultSize="0" autoFill="0" autoLine="0" autoPict="0" macro="[0]!CheckBox4_Click">
                <anchor moveWithCells="1">
                  <from>
                    <xdr:col>2</xdr:col>
                    <xdr:colOff>371475</xdr:colOff>
                    <xdr:row>7</xdr:row>
                    <xdr:rowOff>38100</xdr:rowOff>
                  </from>
                  <to>
                    <xdr:col>3</xdr:col>
                    <xdr:colOff>0</xdr:colOff>
                    <xdr:row>8</xdr:row>
                    <xdr:rowOff>19050</xdr:rowOff>
                  </to>
                </anchor>
              </controlPr>
            </control>
          </mc:Choice>
        </mc:AlternateContent>
        <mc:AlternateContent xmlns:mc="http://schemas.openxmlformats.org/markup-compatibility/2006">
          <mc:Choice Requires="x14">
            <control shapeId="8197" r:id="rId8" name="Check Box 5">
              <controlPr defaultSize="0" autoFill="0" autoLine="0" autoPict="0" macro="[0]!CheckBox5_Click">
                <anchor moveWithCells="1">
                  <from>
                    <xdr:col>2</xdr:col>
                    <xdr:colOff>371475</xdr:colOff>
                    <xdr:row>8</xdr:row>
                    <xdr:rowOff>38100</xdr:rowOff>
                  </from>
                  <to>
                    <xdr:col>3</xdr:col>
                    <xdr:colOff>28575</xdr:colOff>
                    <xdr:row>9</xdr:row>
                    <xdr:rowOff>28575</xdr:rowOff>
                  </to>
                </anchor>
              </controlPr>
            </control>
          </mc:Choice>
        </mc:AlternateContent>
        <mc:AlternateContent xmlns:mc="http://schemas.openxmlformats.org/markup-compatibility/2006">
          <mc:Choice Requires="x14">
            <control shapeId="8198" r:id="rId9" name="Check Box 6">
              <controlPr defaultSize="0" autoFill="0" autoLine="0" autoPict="0" macro="[0]!CheckBox6_Click">
                <anchor moveWithCells="1">
                  <from>
                    <xdr:col>2</xdr:col>
                    <xdr:colOff>371475</xdr:colOff>
                    <xdr:row>9</xdr:row>
                    <xdr:rowOff>28575</xdr:rowOff>
                  </from>
                  <to>
                    <xdr:col>3</xdr:col>
                    <xdr:colOff>9525</xdr:colOff>
                    <xdr:row>10</xdr:row>
                    <xdr:rowOff>19050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0"/>
    <pageSetUpPr fitToPage="1"/>
  </sheetPr>
  <dimension ref="A1:AA83"/>
  <sheetViews>
    <sheetView zoomScaleNormal="100" workbookViewId="0">
      <selection activeCell="M16" sqref="M16"/>
    </sheetView>
  </sheetViews>
  <sheetFormatPr defaultRowHeight="12"/>
  <cols>
    <col min="1" max="1" width="4.5" customWidth="1"/>
    <col min="2" max="2" width="7.75" customWidth="1"/>
    <col min="3" max="3" width="8.375" customWidth="1"/>
    <col min="4" max="4" width="75.5" customWidth="1"/>
    <col min="7" max="7" width="3.875" customWidth="1"/>
  </cols>
  <sheetData>
    <row r="1" spans="1:27" ht="12.75" thickBot="1">
      <c r="A1" s="255"/>
      <c r="B1" s="255"/>
      <c r="C1" s="255"/>
      <c r="D1" s="255"/>
      <c r="E1" s="255"/>
      <c r="F1" s="255"/>
      <c r="G1" s="255"/>
      <c r="H1" s="255"/>
      <c r="I1" s="255"/>
      <c r="J1" s="255"/>
      <c r="K1" s="255"/>
      <c r="L1" s="255"/>
      <c r="M1" s="255"/>
      <c r="N1" s="255"/>
      <c r="O1" s="255"/>
      <c r="P1" s="255"/>
      <c r="Q1" s="255"/>
      <c r="R1" s="255"/>
      <c r="S1" s="255"/>
      <c r="T1" s="255"/>
      <c r="U1" s="255"/>
      <c r="V1" s="255"/>
      <c r="W1" s="255"/>
      <c r="X1" s="255"/>
      <c r="Y1" s="255"/>
      <c r="Z1" s="255"/>
      <c r="AA1" s="255"/>
    </row>
    <row r="2" spans="1:27" ht="15.75">
      <c r="A2" s="255"/>
      <c r="B2" s="1429" t="s">
        <v>718</v>
      </c>
      <c r="C2" s="1430"/>
      <c r="D2" s="1430"/>
      <c r="E2" s="1430"/>
      <c r="F2" s="1431"/>
      <c r="G2" s="255"/>
      <c r="H2" s="255"/>
      <c r="I2" s="255"/>
      <c r="J2" s="255"/>
      <c r="K2" s="255"/>
      <c r="L2" s="255"/>
      <c r="M2" s="255"/>
      <c r="N2" s="255"/>
      <c r="O2" s="255"/>
      <c r="P2" s="255"/>
      <c r="Q2" s="255"/>
      <c r="R2" s="255"/>
      <c r="S2" s="255"/>
      <c r="T2" s="255"/>
      <c r="U2" s="255"/>
      <c r="V2" s="255"/>
      <c r="W2" s="255"/>
      <c r="X2" s="255"/>
      <c r="Y2" s="255"/>
      <c r="Z2" s="255"/>
      <c r="AA2" s="255"/>
    </row>
    <row r="3" spans="1:27" ht="15.75">
      <c r="A3" s="255"/>
      <c r="B3" s="1432">
        <f>Name</f>
        <v>0</v>
      </c>
      <c r="C3" s="1433"/>
      <c r="D3" s="1433"/>
      <c r="E3" s="1433"/>
      <c r="F3" s="1434"/>
      <c r="G3" s="255"/>
      <c r="H3" s="255"/>
      <c r="I3" s="255"/>
      <c r="J3" s="255"/>
      <c r="K3" s="255"/>
      <c r="L3" s="255"/>
      <c r="M3" s="255"/>
      <c r="N3" s="255"/>
      <c r="O3" s="255"/>
      <c r="P3" s="255"/>
      <c r="Q3" s="255"/>
      <c r="R3" s="255"/>
      <c r="S3" s="255"/>
      <c r="T3" s="255"/>
      <c r="U3" s="255"/>
      <c r="V3" s="255"/>
      <c r="W3" s="255"/>
      <c r="X3" s="255"/>
      <c r="Y3" s="255"/>
      <c r="Z3" s="255"/>
      <c r="AA3" s="255"/>
    </row>
    <row r="4" spans="1:27" ht="15.75">
      <c r="A4" s="255"/>
      <c r="B4" s="1435" t="str">
        <f>Date</f>
        <v/>
      </c>
      <c r="C4" s="1436"/>
      <c r="D4" s="1436"/>
      <c r="E4" s="1436"/>
      <c r="F4" s="1437"/>
      <c r="G4" s="255"/>
      <c r="H4" s="255"/>
      <c r="I4" s="255"/>
      <c r="J4" s="255"/>
      <c r="K4" s="255"/>
      <c r="L4" s="255"/>
      <c r="M4" s="255"/>
      <c r="N4" s="255"/>
      <c r="O4" s="255"/>
      <c r="P4" s="255"/>
      <c r="Q4" s="255"/>
      <c r="R4" s="255"/>
      <c r="S4" s="255"/>
      <c r="T4" s="255"/>
      <c r="U4" s="255"/>
      <c r="V4" s="255"/>
      <c r="W4" s="255"/>
      <c r="X4" s="255"/>
      <c r="Y4" s="255"/>
      <c r="Z4" s="255"/>
      <c r="AA4" s="255"/>
    </row>
    <row r="5" spans="1:27" ht="26.25">
      <c r="A5" s="255"/>
      <c r="B5" s="975" t="s">
        <v>284</v>
      </c>
      <c r="C5" s="976" t="s">
        <v>285</v>
      </c>
      <c r="D5" s="977" t="s">
        <v>720</v>
      </c>
      <c r="E5" s="970"/>
      <c r="F5" s="971"/>
      <c r="G5" s="255"/>
      <c r="H5" s="255"/>
      <c r="I5" s="255"/>
      <c r="J5" s="255"/>
      <c r="K5" s="255"/>
      <c r="L5" s="255"/>
      <c r="M5" s="255"/>
      <c r="N5" s="255"/>
      <c r="O5" s="255"/>
      <c r="P5" s="255"/>
      <c r="Q5" s="255"/>
      <c r="R5" s="255"/>
      <c r="S5" s="255"/>
      <c r="T5" s="255"/>
      <c r="U5" s="255"/>
      <c r="V5" s="255"/>
      <c r="W5" s="255"/>
      <c r="X5" s="255"/>
      <c r="Y5" s="255"/>
      <c r="Z5" s="255"/>
      <c r="AA5" s="255"/>
    </row>
    <row r="6" spans="1:27" ht="18.75" customHeight="1">
      <c r="A6" s="255"/>
      <c r="B6" s="966"/>
      <c r="C6" s="965"/>
      <c r="D6" s="978" t="s">
        <v>706</v>
      </c>
      <c r="E6" s="270"/>
      <c r="F6" s="942"/>
      <c r="G6" s="255"/>
      <c r="H6" s="255"/>
      <c r="I6" s="255"/>
      <c r="J6" s="255"/>
      <c r="K6" s="255"/>
      <c r="L6" s="255"/>
      <c r="M6" s="255"/>
      <c r="N6" s="255"/>
      <c r="O6" s="255"/>
      <c r="P6" s="255"/>
      <c r="Q6" s="255"/>
      <c r="R6" s="255"/>
      <c r="S6" s="255"/>
      <c r="T6" s="255"/>
      <c r="U6" s="255"/>
      <c r="V6" s="255"/>
      <c r="W6" s="255"/>
      <c r="X6" s="255"/>
      <c r="Y6" s="255"/>
      <c r="Z6" s="255"/>
      <c r="AA6" s="255"/>
    </row>
    <row r="7" spans="1:27" ht="127.15" customHeight="1">
      <c r="A7" s="255"/>
      <c r="B7" s="941"/>
      <c r="C7" s="270"/>
      <c r="D7" s="1438" t="s">
        <v>713</v>
      </c>
      <c r="E7" s="1439"/>
      <c r="F7" s="1440"/>
      <c r="G7" s="255"/>
      <c r="H7" s="255"/>
      <c r="I7" s="255"/>
      <c r="J7" s="255"/>
      <c r="K7" s="255"/>
      <c r="L7" s="255"/>
      <c r="M7" s="255"/>
      <c r="N7" s="255"/>
      <c r="O7" s="255"/>
      <c r="P7" s="255"/>
      <c r="Q7" s="255"/>
      <c r="R7" s="255"/>
      <c r="S7" s="255"/>
      <c r="T7" s="255"/>
      <c r="U7" s="255"/>
      <c r="V7" s="255"/>
      <c r="W7" s="255"/>
      <c r="X7" s="255"/>
      <c r="Y7" s="255"/>
      <c r="Z7" s="255"/>
      <c r="AA7" s="255"/>
    </row>
    <row r="8" spans="1:27" ht="6" customHeight="1">
      <c r="A8" s="255"/>
      <c r="B8" s="972"/>
      <c r="C8" s="968"/>
      <c r="D8" s="973"/>
      <c r="E8" s="968"/>
      <c r="F8" s="969"/>
      <c r="G8" s="255"/>
      <c r="H8" s="255"/>
      <c r="I8" s="255"/>
      <c r="J8" s="255"/>
      <c r="K8" s="255"/>
      <c r="L8" s="255"/>
      <c r="M8" s="255"/>
      <c r="N8" s="255"/>
      <c r="O8" s="255"/>
      <c r="P8" s="255"/>
      <c r="Q8" s="255"/>
      <c r="R8" s="255"/>
      <c r="S8" s="255"/>
      <c r="T8" s="255"/>
      <c r="U8" s="255"/>
      <c r="V8" s="255"/>
      <c r="W8" s="255"/>
      <c r="X8" s="255"/>
      <c r="Y8" s="255"/>
      <c r="Z8" s="255"/>
      <c r="AA8" s="255"/>
    </row>
    <row r="9" spans="1:27" ht="18.75" customHeight="1">
      <c r="A9" s="255"/>
      <c r="B9" s="941"/>
      <c r="C9" s="270"/>
      <c r="D9" s="979" t="s">
        <v>707</v>
      </c>
      <c r="E9" s="270"/>
      <c r="F9" s="942"/>
      <c r="G9" s="255"/>
      <c r="H9" s="255"/>
      <c r="I9" s="255"/>
      <c r="J9" s="255"/>
      <c r="K9" s="255"/>
      <c r="L9" s="255"/>
      <c r="M9" s="255"/>
      <c r="N9" s="255"/>
      <c r="O9" s="255"/>
      <c r="P9" s="255"/>
      <c r="Q9" s="255"/>
      <c r="R9" s="255"/>
      <c r="S9" s="255"/>
      <c r="T9" s="255"/>
      <c r="U9" s="255"/>
      <c r="V9" s="255"/>
      <c r="W9" s="255"/>
      <c r="X9" s="255"/>
      <c r="Y9" s="255"/>
      <c r="Z9" s="255"/>
      <c r="AA9" s="255"/>
    </row>
    <row r="10" spans="1:27" ht="45" customHeight="1">
      <c r="A10" s="255"/>
      <c r="B10" s="941"/>
      <c r="C10" s="270"/>
      <c r="D10" s="1438" t="s">
        <v>712</v>
      </c>
      <c r="E10" s="1439"/>
      <c r="F10" s="1440"/>
      <c r="G10" s="255"/>
      <c r="H10" s="255"/>
      <c r="I10" s="255"/>
      <c r="J10" s="255"/>
      <c r="K10" s="255"/>
      <c r="L10" s="255"/>
      <c r="M10" s="255"/>
      <c r="N10" s="255"/>
      <c r="O10" s="255"/>
      <c r="P10" s="255"/>
      <c r="Q10" s="255"/>
      <c r="R10" s="255"/>
      <c r="S10" s="255"/>
      <c r="T10" s="255"/>
      <c r="U10" s="255"/>
      <c r="V10" s="255"/>
      <c r="W10" s="255"/>
      <c r="X10" s="255"/>
      <c r="Y10" s="255"/>
      <c r="Z10" s="255"/>
      <c r="AA10" s="255"/>
    </row>
    <row r="11" spans="1:27" ht="6" customHeight="1">
      <c r="A11" s="255"/>
      <c r="B11" s="972"/>
      <c r="C11" s="968"/>
      <c r="D11" s="973"/>
      <c r="E11" s="968"/>
      <c r="F11" s="969"/>
      <c r="G11" s="255"/>
      <c r="H11" s="255"/>
      <c r="I11" s="255"/>
      <c r="J11" s="255"/>
      <c r="K11" s="255"/>
      <c r="L11" s="255"/>
      <c r="M11" s="255"/>
      <c r="N11" s="255"/>
      <c r="O11" s="255"/>
      <c r="P11" s="255"/>
      <c r="Q11" s="255"/>
      <c r="R11" s="255"/>
      <c r="S11" s="255"/>
      <c r="T11" s="255"/>
      <c r="U11" s="255"/>
      <c r="V11" s="255"/>
      <c r="W11" s="255"/>
      <c r="X11" s="255"/>
      <c r="Y11" s="255"/>
      <c r="Z11" s="255"/>
      <c r="AA11" s="255"/>
    </row>
    <row r="12" spans="1:27" ht="18.75" customHeight="1">
      <c r="A12" s="255"/>
      <c r="B12" s="941"/>
      <c r="C12" s="270"/>
      <c r="D12" s="979" t="s">
        <v>708</v>
      </c>
      <c r="E12" s="270"/>
      <c r="F12" s="942"/>
      <c r="G12" s="255"/>
      <c r="H12" s="255"/>
      <c r="I12" s="255"/>
      <c r="J12" s="255"/>
      <c r="K12" s="255"/>
      <c r="L12" s="255"/>
      <c r="M12" s="255"/>
      <c r="N12" s="255"/>
      <c r="O12" s="255"/>
      <c r="P12" s="255"/>
      <c r="Q12" s="255"/>
      <c r="R12" s="255"/>
      <c r="S12" s="255"/>
      <c r="T12" s="255"/>
      <c r="U12" s="255"/>
      <c r="V12" s="255"/>
      <c r="W12" s="255"/>
      <c r="X12" s="255"/>
      <c r="Y12" s="255"/>
      <c r="Z12" s="255"/>
      <c r="AA12" s="255"/>
    </row>
    <row r="13" spans="1:27" ht="33" customHeight="1">
      <c r="A13" s="255"/>
      <c r="B13" s="941"/>
      <c r="C13" s="270"/>
      <c r="D13" s="1438" t="s">
        <v>714</v>
      </c>
      <c r="E13" s="1439"/>
      <c r="F13" s="1440"/>
      <c r="G13" s="255"/>
      <c r="H13" s="255"/>
      <c r="I13" s="255"/>
      <c r="J13" s="255"/>
      <c r="K13" s="255"/>
      <c r="L13" s="255"/>
      <c r="M13" s="255"/>
      <c r="N13" s="255"/>
      <c r="O13" s="255"/>
      <c r="P13" s="255"/>
      <c r="Q13" s="255"/>
      <c r="R13" s="255"/>
      <c r="S13" s="255"/>
      <c r="T13" s="255"/>
      <c r="U13" s="255"/>
      <c r="V13" s="255"/>
      <c r="W13" s="255"/>
      <c r="X13" s="255"/>
      <c r="Y13" s="255"/>
      <c r="Z13" s="255"/>
      <c r="AA13" s="255"/>
    </row>
    <row r="14" spans="1:27" ht="6" customHeight="1">
      <c r="A14" s="255"/>
      <c r="B14" s="972"/>
      <c r="C14" s="968"/>
      <c r="D14" s="973"/>
      <c r="E14" s="968"/>
      <c r="F14" s="969"/>
      <c r="G14" s="255"/>
      <c r="H14" s="255"/>
      <c r="I14" s="255"/>
      <c r="J14" s="255"/>
      <c r="K14" s="255"/>
      <c r="L14" s="255"/>
      <c r="M14" s="255"/>
      <c r="N14" s="255"/>
      <c r="O14" s="255"/>
      <c r="P14" s="255"/>
      <c r="Q14" s="255"/>
      <c r="R14" s="255"/>
      <c r="S14" s="255"/>
      <c r="T14" s="255"/>
      <c r="U14" s="255"/>
      <c r="V14" s="255"/>
      <c r="W14" s="255"/>
      <c r="X14" s="255"/>
      <c r="Y14" s="255"/>
      <c r="Z14" s="255"/>
      <c r="AA14" s="255"/>
    </row>
    <row r="15" spans="1:27" ht="18.75" customHeight="1">
      <c r="A15" s="255"/>
      <c r="B15" s="941"/>
      <c r="C15" s="270"/>
      <c r="D15" s="979" t="s">
        <v>697</v>
      </c>
      <c r="E15" s="270"/>
      <c r="F15" s="942"/>
      <c r="G15" s="255"/>
      <c r="H15" s="255"/>
      <c r="I15" s="255"/>
      <c r="J15" s="255"/>
      <c r="K15" s="255"/>
      <c r="L15" s="255"/>
      <c r="M15" s="255"/>
      <c r="N15" s="255"/>
      <c r="O15" s="255"/>
      <c r="P15" s="255"/>
      <c r="Q15" s="255"/>
      <c r="R15" s="255"/>
      <c r="S15" s="255"/>
      <c r="T15" s="255"/>
      <c r="U15" s="255"/>
      <c r="V15" s="255"/>
      <c r="W15" s="255"/>
      <c r="X15" s="255"/>
      <c r="Y15" s="255"/>
      <c r="Z15" s="255"/>
      <c r="AA15" s="255"/>
    </row>
    <row r="16" spans="1:27" ht="46.5" customHeight="1">
      <c r="A16" s="255"/>
      <c r="B16" s="941"/>
      <c r="C16" s="270"/>
      <c r="D16" s="1438" t="s">
        <v>715</v>
      </c>
      <c r="E16" s="1439"/>
      <c r="F16" s="1440"/>
      <c r="G16" s="255"/>
      <c r="H16" s="255"/>
      <c r="I16" s="255"/>
      <c r="J16" s="255"/>
      <c r="K16" s="255"/>
      <c r="L16" s="255"/>
      <c r="M16" s="255"/>
      <c r="N16" s="255"/>
      <c r="O16" s="255"/>
      <c r="P16" s="255"/>
      <c r="Q16" s="255"/>
      <c r="R16" s="255"/>
      <c r="S16" s="255"/>
      <c r="T16" s="255"/>
      <c r="U16" s="255"/>
      <c r="V16" s="255"/>
      <c r="W16" s="255"/>
      <c r="X16" s="255"/>
      <c r="Y16" s="255"/>
      <c r="Z16" s="255"/>
      <c r="AA16" s="255"/>
    </row>
    <row r="17" spans="1:27" ht="6" customHeight="1">
      <c r="A17" s="255"/>
      <c r="B17" s="972"/>
      <c r="C17" s="968"/>
      <c r="D17" s="973"/>
      <c r="E17" s="968"/>
      <c r="F17" s="969"/>
      <c r="G17" s="255"/>
      <c r="H17" s="255"/>
      <c r="I17" s="255"/>
      <c r="J17" s="255"/>
      <c r="K17" s="255"/>
      <c r="L17" s="255"/>
      <c r="M17" s="255"/>
      <c r="N17" s="255"/>
      <c r="O17" s="255"/>
      <c r="P17" s="255"/>
      <c r="Q17" s="255"/>
      <c r="R17" s="255"/>
      <c r="S17" s="255"/>
      <c r="T17" s="255"/>
      <c r="U17" s="255"/>
      <c r="V17" s="255"/>
      <c r="W17" s="255"/>
      <c r="X17" s="255"/>
      <c r="Y17" s="255"/>
      <c r="Z17" s="255"/>
      <c r="AA17" s="255"/>
    </row>
    <row r="18" spans="1:27" ht="18.75" customHeight="1">
      <c r="A18" s="255"/>
      <c r="B18" s="966"/>
      <c r="C18" s="965"/>
      <c r="D18" s="979" t="s">
        <v>710</v>
      </c>
      <c r="E18" s="270"/>
      <c r="F18" s="942"/>
      <c r="G18" s="255"/>
      <c r="H18" s="255"/>
      <c r="I18" s="255"/>
      <c r="J18" s="255"/>
      <c r="K18" s="255"/>
      <c r="L18" s="255"/>
      <c r="M18" s="255"/>
      <c r="N18" s="255"/>
      <c r="O18" s="255"/>
      <c r="P18" s="255"/>
      <c r="Q18" s="255"/>
      <c r="R18" s="255"/>
      <c r="S18" s="255"/>
      <c r="T18" s="255"/>
      <c r="U18" s="255"/>
      <c r="V18" s="255"/>
      <c r="W18" s="255"/>
      <c r="X18" s="255"/>
      <c r="Y18" s="255"/>
      <c r="Z18" s="255"/>
      <c r="AA18" s="255"/>
    </row>
    <row r="19" spans="1:27" ht="105" customHeight="1">
      <c r="A19" s="255"/>
      <c r="B19" s="941"/>
      <c r="C19" s="270"/>
      <c r="D19" s="1438" t="s">
        <v>716</v>
      </c>
      <c r="E19" s="1439"/>
      <c r="F19" s="1440"/>
      <c r="G19" s="255"/>
      <c r="H19" s="255"/>
      <c r="I19" s="255"/>
      <c r="J19" s="255"/>
      <c r="K19" s="255"/>
      <c r="L19" s="255"/>
      <c r="M19" s="255"/>
      <c r="N19" s="255"/>
      <c r="O19" s="255"/>
      <c r="P19" s="255"/>
      <c r="Q19" s="255"/>
      <c r="R19" s="255"/>
      <c r="S19" s="255"/>
      <c r="T19" s="255"/>
      <c r="U19" s="255"/>
      <c r="V19" s="255"/>
      <c r="W19" s="255"/>
      <c r="X19" s="255"/>
      <c r="Y19" s="255"/>
      <c r="Z19" s="255"/>
      <c r="AA19" s="255"/>
    </row>
    <row r="20" spans="1:27" ht="6" customHeight="1">
      <c r="A20" s="255"/>
      <c r="B20" s="972"/>
      <c r="C20" s="968"/>
      <c r="D20" s="974"/>
      <c r="E20" s="968"/>
      <c r="F20" s="969"/>
      <c r="G20" s="255"/>
      <c r="H20" s="255"/>
      <c r="I20" s="255"/>
      <c r="J20" s="255"/>
      <c r="K20" s="255"/>
      <c r="L20" s="255"/>
      <c r="M20" s="255"/>
      <c r="N20" s="255"/>
      <c r="O20" s="255"/>
      <c r="P20" s="255"/>
      <c r="Q20" s="255"/>
      <c r="R20" s="255"/>
      <c r="S20" s="255"/>
      <c r="T20" s="255"/>
      <c r="U20" s="255"/>
      <c r="V20" s="255"/>
      <c r="W20" s="255"/>
      <c r="X20" s="255"/>
      <c r="Y20" s="255"/>
      <c r="Z20" s="255"/>
      <c r="AA20" s="255"/>
    </row>
    <row r="21" spans="1:27" ht="18.75" customHeight="1">
      <c r="A21" s="255"/>
      <c r="B21" s="941"/>
      <c r="C21" s="270"/>
      <c r="D21" s="978" t="s">
        <v>709</v>
      </c>
      <c r="E21" s="270"/>
      <c r="F21" s="942"/>
      <c r="G21" s="255"/>
      <c r="H21" s="255"/>
      <c r="I21" s="255"/>
      <c r="J21" s="255"/>
      <c r="K21" s="255"/>
      <c r="L21" s="255"/>
      <c r="M21" s="255"/>
      <c r="N21" s="255"/>
      <c r="O21" s="255"/>
      <c r="P21" s="255"/>
      <c r="Q21" s="255"/>
      <c r="R21" s="255"/>
      <c r="S21" s="255"/>
      <c r="T21" s="255"/>
      <c r="U21" s="255"/>
      <c r="V21" s="255"/>
      <c r="W21" s="255"/>
      <c r="X21" s="255"/>
      <c r="Y21" s="255"/>
      <c r="Z21" s="255"/>
      <c r="AA21" s="255"/>
    </row>
    <row r="22" spans="1:27" ht="34.5" customHeight="1">
      <c r="A22" s="255"/>
      <c r="B22" s="941"/>
      <c r="C22" s="270"/>
      <c r="D22" s="1438" t="s">
        <v>719</v>
      </c>
      <c r="E22" s="1439"/>
      <c r="F22" s="1440"/>
      <c r="G22" s="255"/>
      <c r="H22" s="255"/>
      <c r="I22" s="255"/>
      <c r="J22" s="255"/>
      <c r="K22" s="255"/>
      <c r="L22" s="255"/>
      <c r="M22" s="255"/>
      <c r="N22" s="255"/>
      <c r="O22" s="255"/>
      <c r="P22" s="255"/>
      <c r="Q22" s="255"/>
      <c r="R22" s="255"/>
      <c r="S22" s="255"/>
      <c r="T22" s="255"/>
      <c r="U22" s="255"/>
      <c r="V22" s="255"/>
      <c r="W22" s="255"/>
      <c r="X22" s="255"/>
      <c r="Y22" s="255"/>
      <c r="Z22" s="255"/>
      <c r="AA22" s="255"/>
    </row>
    <row r="23" spans="1:27" ht="6" customHeight="1">
      <c r="A23" s="255"/>
      <c r="B23" s="972"/>
      <c r="C23" s="968"/>
      <c r="D23" s="974"/>
      <c r="E23" s="968"/>
      <c r="F23" s="969"/>
      <c r="G23" s="255"/>
      <c r="H23" s="255"/>
      <c r="I23" s="255"/>
      <c r="J23" s="255"/>
      <c r="K23" s="255"/>
      <c r="L23" s="255"/>
      <c r="M23" s="255"/>
      <c r="N23" s="255"/>
      <c r="O23" s="255"/>
      <c r="P23" s="255"/>
      <c r="Q23" s="255"/>
      <c r="R23" s="255"/>
      <c r="S23" s="255"/>
      <c r="T23" s="255"/>
      <c r="U23" s="255"/>
      <c r="V23" s="255"/>
      <c r="W23" s="255"/>
      <c r="X23" s="255"/>
      <c r="Y23" s="255"/>
      <c r="Z23" s="255"/>
      <c r="AA23" s="255"/>
    </row>
    <row r="24" spans="1:27" ht="18.75" customHeight="1">
      <c r="A24" s="255"/>
      <c r="B24" s="966"/>
      <c r="C24" s="965"/>
      <c r="D24" s="979" t="s">
        <v>287</v>
      </c>
      <c r="E24" s="270"/>
      <c r="F24" s="942"/>
      <c r="G24" s="255"/>
      <c r="H24" s="255"/>
      <c r="I24" s="255"/>
      <c r="J24" s="255"/>
      <c r="K24" s="255"/>
      <c r="L24" s="255"/>
      <c r="M24" s="255"/>
      <c r="N24" s="255"/>
      <c r="O24" s="255"/>
      <c r="P24" s="255"/>
      <c r="Q24" s="255"/>
      <c r="R24" s="255"/>
      <c r="S24" s="255"/>
      <c r="T24" s="255"/>
      <c r="U24" s="255"/>
      <c r="V24" s="255"/>
      <c r="W24" s="255"/>
      <c r="X24" s="255"/>
      <c r="Y24" s="255"/>
      <c r="Z24" s="255"/>
      <c r="AA24" s="255"/>
    </row>
    <row r="25" spans="1:27" ht="142.5" customHeight="1">
      <c r="A25" s="255"/>
      <c r="B25" s="941"/>
      <c r="C25" s="270"/>
      <c r="D25" s="1438" t="s">
        <v>831</v>
      </c>
      <c r="E25" s="1439"/>
      <c r="F25" s="1440"/>
      <c r="G25" s="255"/>
      <c r="H25" s="255"/>
      <c r="I25" s="255"/>
      <c r="J25" s="255"/>
      <c r="K25" s="255"/>
      <c r="L25" s="255"/>
      <c r="M25" s="255"/>
      <c r="N25" s="255"/>
      <c r="O25" s="255"/>
      <c r="P25" s="255"/>
      <c r="Q25" s="255"/>
      <c r="R25" s="255"/>
      <c r="S25" s="255"/>
      <c r="T25" s="255"/>
      <c r="U25" s="255"/>
      <c r="V25" s="255"/>
      <c r="W25" s="255"/>
      <c r="X25" s="255"/>
      <c r="Y25" s="255"/>
      <c r="Z25" s="255"/>
      <c r="AA25" s="255"/>
    </row>
    <row r="26" spans="1:27" ht="7.5" customHeight="1">
      <c r="A26" s="255"/>
      <c r="B26" s="972"/>
      <c r="C26" s="968"/>
      <c r="D26" s="973"/>
      <c r="E26" s="968"/>
      <c r="F26" s="969"/>
      <c r="G26" s="255"/>
      <c r="H26" s="255"/>
      <c r="I26" s="255"/>
      <c r="J26" s="255"/>
      <c r="K26" s="255"/>
      <c r="L26" s="255"/>
      <c r="M26" s="255"/>
      <c r="N26" s="255"/>
      <c r="O26" s="255"/>
      <c r="P26" s="255"/>
      <c r="Q26" s="255"/>
      <c r="R26" s="255"/>
      <c r="S26" s="255"/>
      <c r="T26" s="255"/>
      <c r="U26" s="255"/>
      <c r="V26" s="255"/>
      <c r="W26" s="255"/>
      <c r="X26" s="255"/>
      <c r="Y26" s="255"/>
      <c r="Z26" s="255"/>
      <c r="AA26" s="255"/>
    </row>
    <row r="27" spans="1:27" ht="18.75" customHeight="1">
      <c r="A27" s="255"/>
      <c r="B27" s="966"/>
      <c r="C27" s="965"/>
      <c r="D27" s="979" t="s">
        <v>711</v>
      </c>
      <c r="E27" s="270"/>
      <c r="F27" s="942"/>
      <c r="G27" s="255"/>
      <c r="H27" s="255"/>
      <c r="I27" s="255"/>
      <c r="J27" s="255"/>
      <c r="K27" s="255"/>
      <c r="L27" s="255"/>
      <c r="M27" s="255"/>
      <c r="N27" s="255"/>
      <c r="O27" s="255"/>
      <c r="P27" s="255"/>
      <c r="Q27" s="255"/>
      <c r="R27" s="255"/>
      <c r="S27" s="255"/>
      <c r="T27" s="255"/>
      <c r="U27" s="255"/>
      <c r="V27" s="255"/>
      <c r="W27" s="255"/>
      <c r="X27" s="255"/>
      <c r="Y27" s="255"/>
      <c r="Z27" s="255"/>
      <c r="AA27" s="255"/>
    </row>
    <row r="28" spans="1:27" ht="75" customHeight="1">
      <c r="A28" s="255"/>
      <c r="B28" s="941"/>
      <c r="C28" s="270"/>
      <c r="D28" s="1438" t="s">
        <v>717</v>
      </c>
      <c r="E28" s="1439"/>
      <c r="F28" s="1440"/>
      <c r="G28" s="255"/>
      <c r="H28" s="255"/>
      <c r="I28" s="255"/>
      <c r="J28" s="255"/>
      <c r="K28" s="255"/>
      <c r="L28" s="255"/>
      <c r="M28" s="255"/>
      <c r="N28" s="255"/>
      <c r="O28" s="255"/>
      <c r="P28" s="255"/>
      <c r="Q28" s="255"/>
      <c r="R28" s="255"/>
      <c r="S28" s="255"/>
      <c r="T28" s="255"/>
      <c r="U28" s="255"/>
      <c r="V28" s="255"/>
      <c r="W28" s="255"/>
      <c r="X28" s="255"/>
      <c r="Y28" s="255"/>
      <c r="Z28" s="255"/>
      <c r="AA28" s="255"/>
    </row>
    <row r="29" spans="1:27">
      <c r="A29" s="255"/>
      <c r="B29" s="972"/>
      <c r="C29" s="968"/>
      <c r="D29" s="973"/>
      <c r="E29" s="968"/>
      <c r="F29" s="969"/>
      <c r="G29" s="255"/>
      <c r="H29" s="255"/>
      <c r="I29" s="255"/>
      <c r="J29" s="255"/>
      <c r="K29" s="255"/>
      <c r="L29" s="255"/>
      <c r="M29" s="255"/>
      <c r="N29" s="255"/>
      <c r="O29" s="255"/>
      <c r="P29" s="255"/>
      <c r="Q29" s="255"/>
      <c r="R29" s="255"/>
      <c r="S29" s="255"/>
      <c r="T29" s="255"/>
      <c r="U29" s="255"/>
      <c r="V29" s="255"/>
      <c r="W29" s="255"/>
      <c r="X29" s="255"/>
      <c r="Y29" s="255"/>
      <c r="Z29" s="255"/>
      <c r="AA29" s="255"/>
    </row>
    <row r="30" spans="1:27" ht="57.75" customHeight="1">
      <c r="A30" s="255"/>
      <c r="B30" s="1441" t="s">
        <v>288</v>
      </c>
      <c r="C30" s="1439"/>
      <c r="D30" s="1439"/>
      <c r="E30" s="1439"/>
      <c r="F30" s="1440"/>
      <c r="G30" s="255"/>
      <c r="H30" s="255"/>
      <c r="I30" s="255"/>
      <c r="J30" s="255"/>
      <c r="K30" s="255"/>
      <c r="L30" s="255"/>
      <c r="M30" s="255"/>
      <c r="N30" s="255"/>
      <c r="O30" s="255"/>
      <c r="P30" s="255"/>
      <c r="Q30" s="255"/>
      <c r="R30" s="255"/>
      <c r="S30" s="255"/>
      <c r="T30" s="255"/>
      <c r="U30" s="255"/>
      <c r="V30" s="255"/>
      <c r="W30" s="255"/>
      <c r="X30" s="255"/>
      <c r="Y30" s="255"/>
      <c r="Z30" s="255"/>
      <c r="AA30" s="255"/>
    </row>
    <row r="31" spans="1:27" ht="12.75" thickBot="1">
      <c r="A31" s="255"/>
      <c r="B31" s="967"/>
      <c r="C31" s="906"/>
      <c r="D31" s="906"/>
      <c r="E31" s="906"/>
      <c r="F31" s="943"/>
      <c r="G31" s="255"/>
      <c r="H31" s="255"/>
      <c r="I31" s="255"/>
      <c r="J31" s="255"/>
      <c r="K31" s="255"/>
      <c r="L31" s="255"/>
      <c r="M31" s="255"/>
      <c r="N31" s="255"/>
      <c r="O31" s="255"/>
      <c r="P31" s="255"/>
      <c r="Q31" s="255"/>
      <c r="R31" s="255"/>
      <c r="S31" s="255"/>
      <c r="T31" s="255"/>
      <c r="U31" s="255"/>
      <c r="V31" s="255"/>
      <c r="W31" s="255"/>
      <c r="X31" s="255"/>
      <c r="Y31" s="255"/>
      <c r="Z31" s="255"/>
      <c r="AA31" s="255"/>
    </row>
    <row r="32" spans="1:27">
      <c r="A32" s="255"/>
      <c r="B32" s="255"/>
      <c r="C32" s="255"/>
      <c r="D32" s="255"/>
      <c r="E32" s="255"/>
      <c r="F32" s="255"/>
      <c r="G32" s="255"/>
      <c r="H32" s="255"/>
      <c r="I32" s="255"/>
      <c r="J32" s="255"/>
      <c r="K32" s="255"/>
      <c r="L32" s="255"/>
      <c r="M32" s="255"/>
      <c r="N32" s="255"/>
      <c r="O32" s="255"/>
      <c r="P32" s="255"/>
      <c r="Q32" s="255"/>
      <c r="R32" s="255"/>
      <c r="S32" s="255"/>
      <c r="T32" s="255"/>
      <c r="U32" s="255"/>
      <c r="V32" s="255"/>
      <c r="W32" s="255"/>
      <c r="X32" s="255"/>
      <c r="Y32" s="255"/>
      <c r="Z32" s="255"/>
      <c r="AA32" s="255"/>
    </row>
    <row r="33" spans="1:27">
      <c r="A33" s="255"/>
      <c r="B33" s="255"/>
      <c r="C33" s="255"/>
      <c r="D33" s="255"/>
      <c r="E33" s="255"/>
      <c r="F33" s="255"/>
      <c r="G33" s="255"/>
      <c r="H33" s="255"/>
      <c r="I33" s="255"/>
      <c r="J33" s="255"/>
      <c r="K33" s="255"/>
      <c r="L33" s="255"/>
      <c r="M33" s="255"/>
      <c r="N33" s="255"/>
      <c r="O33" s="255"/>
      <c r="P33" s="255"/>
      <c r="Q33" s="255"/>
      <c r="R33" s="255"/>
      <c r="S33" s="255"/>
      <c r="T33" s="255"/>
      <c r="U33" s="255"/>
      <c r="V33" s="255"/>
      <c r="W33" s="255"/>
      <c r="X33" s="255"/>
      <c r="Y33" s="255"/>
      <c r="Z33" s="255"/>
      <c r="AA33" s="255"/>
    </row>
    <row r="34" spans="1:27">
      <c r="A34" s="255"/>
      <c r="B34" s="255"/>
      <c r="C34" s="255"/>
      <c r="D34" s="255"/>
      <c r="E34" s="255"/>
      <c r="F34" s="255"/>
      <c r="G34" s="255"/>
      <c r="H34" s="255"/>
      <c r="I34" s="255"/>
      <c r="J34" s="255"/>
      <c r="K34" s="255"/>
      <c r="L34" s="255"/>
      <c r="M34" s="255"/>
      <c r="N34" s="255"/>
      <c r="O34" s="255"/>
      <c r="P34" s="255"/>
      <c r="Q34" s="255"/>
      <c r="R34" s="255"/>
      <c r="S34" s="255"/>
      <c r="T34" s="255"/>
      <c r="U34" s="255"/>
      <c r="V34" s="255"/>
      <c r="W34" s="255"/>
      <c r="X34" s="255"/>
      <c r="Y34" s="255"/>
      <c r="Z34" s="255"/>
      <c r="AA34" s="255"/>
    </row>
    <row r="35" spans="1:27">
      <c r="A35" s="255"/>
      <c r="B35" s="255"/>
      <c r="C35" s="255"/>
      <c r="D35" s="255"/>
      <c r="E35" s="255"/>
      <c r="F35" s="255"/>
      <c r="G35" s="255"/>
      <c r="H35" s="255"/>
      <c r="I35" s="255"/>
      <c r="J35" s="255"/>
      <c r="K35" s="255"/>
      <c r="L35" s="255"/>
      <c r="M35" s="255"/>
      <c r="N35" s="255"/>
      <c r="O35" s="255"/>
      <c r="P35" s="255"/>
      <c r="Q35" s="255"/>
      <c r="R35" s="255"/>
      <c r="S35" s="255"/>
      <c r="T35" s="255"/>
      <c r="U35" s="255"/>
      <c r="V35" s="255"/>
      <c r="W35" s="255"/>
      <c r="X35" s="255"/>
      <c r="Y35" s="255"/>
      <c r="Z35" s="255"/>
      <c r="AA35" s="255"/>
    </row>
    <row r="36" spans="1:27">
      <c r="A36" s="255"/>
      <c r="B36" s="255"/>
      <c r="C36" s="255"/>
      <c r="D36" s="255"/>
      <c r="E36" s="255"/>
      <c r="F36" s="255"/>
      <c r="G36" s="255"/>
      <c r="H36" s="255"/>
      <c r="I36" s="255"/>
      <c r="J36" s="255"/>
      <c r="K36" s="255"/>
      <c r="L36" s="255"/>
      <c r="M36" s="255"/>
      <c r="N36" s="255"/>
      <c r="O36" s="255"/>
      <c r="P36" s="255"/>
      <c r="Q36" s="255"/>
      <c r="R36" s="255"/>
      <c r="S36" s="255"/>
      <c r="T36" s="255"/>
      <c r="U36" s="255"/>
      <c r="V36" s="255"/>
      <c r="W36" s="255"/>
      <c r="X36" s="255"/>
      <c r="Y36" s="255"/>
      <c r="Z36" s="255"/>
      <c r="AA36" s="255"/>
    </row>
    <row r="37" spans="1:27">
      <c r="A37" s="255"/>
      <c r="B37" s="255"/>
      <c r="C37" s="255"/>
      <c r="D37" s="255"/>
      <c r="E37" s="255"/>
      <c r="F37" s="255"/>
      <c r="G37" s="255"/>
      <c r="H37" s="255"/>
      <c r="I37" s="255"/>
      <c r="J37" s="255"/>
      <c r="K37" s="255"/>
      <c r="L37" s="255"/>
      <c r="M37" s="255"/>
      <c r="N37" s="255"/>
      <c r="O37" s="255"/>
      <c r="P37" s="255"/>
      <c r="Q37" s="255"/>
      <c r="R37" s="255"/>
      <c r="S37" s="255"/>
      <c r="T37" s="255"/>
      <c r="U37" s="255"/>
      <c r="V37" s="255"/>
      <c r="W37" s="255"/>
      <c r="X37" s="255"/>
      <c r="Y37" s="255"/>
      <c r="Z37" s="255"/>
      <c r="AA37" s="255"/>
    </row>
    <row r="38" spans="1:27">
      <c r="A38" s="255"/>
      <c r="B38" s="255"/>
      <c r="C38" s="255"/>
      <c r="D38" s="255"/>
      <c r="E38" s="255"/>
      <c r="F38" s="255"/>
      <c r="G38" s="255"/>
      <c r="H38" s="255"/>
      <c r="I38" s="255"/>
      <c r="J38" s="255"/>
      <c r="K38" s="255"/>
      <c r="L38" s="255"/>
      <c r="M38" s="255"/>
      <c r="N38" s="255"/>
      <c r="O38" s="255"/>
      <c r="P38" s="255"/>
      <c r="Q38" s="255"/>
      <c r="R38" s="255"/>
      <c r="S38" s="255"/>
      <c r="T38" s="255"/>
      <c r="U38" s="255"/>
      <c r="V38" s="255"/>
      <c r="W38" s="255"/>
      <c r="X38" s="255"/>
      <c r="Y38" s="255"/>
      <c r="Z38" s="255"/>
      <c r="AA38" s="255"/>
    </row>
    <row r="39" spans="1:27">
      <c r="A39" s="255"/>
      <c r="B39" s="255"/>
      <c r="C39" s="255"/>
      <c r="D39" s="255"/>
      <c r="E39" s="255"/>
      <c r="F39" s="255"/>
      <c r="G39" s="255"/>
      <c r="H39" s="255"/>
      <c r="I39" s="255"/>
      <c r="J39" s="255"/>
      <c r="K39" s="255"/>
      <c r="L39" s="255"/>
      <c r="M39" s="255"/>
      <c r="N39" s="255"/>
      <c r="O39" s="255"/>
      <c r="P39" s="255"/>
      <c r="Q39" s="255"/>
      <c r="R39" s="255"/>
      <c r="S39" s="255"/>
      <c r="T39" s="255"/>
      <c r="U39" s="255"/>
      <c r="V39" s="255"/>
      <c r="W39" s="255"/>
      <c r="X39" s="255"/>
      <c r="Y39" s="255"/>
      <c r="Z39" s="255"/>
      <c r="AA39" s="255"/>
    </row>
    <row r="40" spans="1:27">
      <c r="A40" s="255"/>
      <c r="B40" s="255"/>
      <c r="C40" s="255"/>
      <c r="D40" s="255"/>
      <c r="E40" s="255"/>
      <c r="F40" s="255"/>
      <c r="G40" s="255"/>
      <c r="H40" s="255"/>
      <c r="I40" s="255"/>
      <c r="J40" s="255"/>
      <c r="K40" s="255"/>
      <c r="L40" s="255"/>
      <c r="M40" s="255"/>
      <c r="N40" s="255"/>
      <c r="O40" s="255"/>
      <c r="P40" s="255"/>
      <c r="Q40" s="255"/>
      <c r="R40" s="255"/>
      <c r="S40" s="255"/>
      <c r="T40" s="255"/>
      <c r="U40" s="255"/>
      <c r="V40" s="255"/>
      <c r="W40" s="255"/>
      <c r="X40" s="255"/>
      <c r="Y40" s="255"/>
      <c r="Z40" s="255"/>
      <c r="AA40" s="255"/>
    </row>
    <row r="41" spans="1:27">
      <c r="A41" s="255"/>
      <c r="B41" s="255"/>
      <c r="C41" s="255"/>
      <c r="D41" s="255"/>
      <c r="E41" s="255"/>
      <c r="F41" s="255"/>
      <c r="G41" s="255"/>
      <c r="H41" s="255"/>
      <c r="I41" s="255"/>
      <c r="J41" s="255"/>
      <c r="K41" s="255"/>
      <c r="L41" s="255"/>
      <c r="M41" s="255"/>
      <c r="N41" s="255"/>
      <c r="O41" s="255"/>
      <c r="P41" s="255"/>
      <c r="Q41" s="255"/>
      <c r="R41" s="255"/>
      <c r="S41" s="255"/>
      <c r="T41" s="255"/>
      <c r="U41" s="255"/>
      <c r="V41" s="255"/>
      <c r="W41" s="255"/>
      <c r="X41" s="255"/>
      <c r="Y41" s="255"/>
      <c r="Z41" s="255"/>
      <c r="AA41" s="255"/>
    </row>
    <row r="42" spans="1:27">
      <c r="A42" s="255"/>
      <c r="B42" s="255"/>
      <c r="C42" s="255"/>
      <c r="D42" s="255"/>
      <c r="E42" s="255"/>
      <c r="F42" s="255"/>
      <c r="G42" s="255"/>
      <c r="H42" s="255"/>
      <c r="I42" s="255"/>
      <c r="J42" s="255"/>
      <c r="K42" s="255"/>
      <c r="L42" s="255"/>
      <c r="M42" s="255"/>
      <c r="N42" s="255"/>
      <c r="O42" s="255"/>
      <c r="P42" s="255"/>
      <c r="Q42" s="255"/>
      <c r="R42" s="255"/>
      <c r="S42" s="255"/>
      <c r="T42" s="255"/>
      <c r="U42" s="255"/>
      <c r="V42" s="255"/>
      <c r="W42" s="255"/>
      <c r="X42" s="255"/>
      <c r="Y42" s="255"/>
      <c r="Z42" s="255"/>
      <c r="AA42" s="255"/>
    </row>
    <row r="43" spans="1:27">
      <c r="A43" s="255"/>
      <c r="B43" s="255"/>
      <c r="C43" s="255"/>
      <c r="D43" s="255"/>
      <c r="E43" s="255"/>
      <c r="F43" s="255"/>
      <c r="G43" s="255"/>
      <c r="H43" s="255"/>
      <c r="I43" s="255"/>
      <c r="J43" s="255"/>
      <c r="K43" s="255"/>
      <c r="L43" s="255"/>
      <c r="M43" s="255"/>
      <c r="N43" s="255"/>
      <c r="O43" s="255"/>
      <c r="P43" s="255"/>
      <c r="Q43" s="255"/>
      <c r="R43" s="255"/>
      <c r="S43" s="255"/>
      <c r="T43" s="255"/>
      <c r="U43" s="255"/>
      <c r="V43" s="255"/>
      <c r="W43" s="255"/>
      <c r="X43" s="255"/>
      <c r="Y43" s="255"/>
      <c r="Z43" s="255"/>
      <c r="AA43" s="255"/>
    </row>
    <row r="44" spans="1:27">
      <c r="A44" s="255"/>
      <c r="B44" s="255"/>
      <c r="C44" s="255"/>
      <c r="D44" s="255"/>
      <c r="E44" s="255"/>
      <c r="F44" s="255"/>
      <c r="G44" s="255"/>
      <c r="H44" s="255"/>
      <c r="I44" s="255"/>
      <c r="J44" s="255"/>
      <c r="K44" s="255"/>
      <c r="L44" s="255"/>
      <c r="M44" s="255"/>
      <c r="N44" s="255"/>
      <c r="O44" s="255"/>
      <c r="P44" s="255"/>
      <c r="Q44" s="255"/>
      <c r="R44" s="255"/>
      <c r="S44" s="255"/>
      <c r="T44" s="255"/>
      <c r="U44" s="255"/>
      <c r="V44" s="255"/>
      <c r="W44" s="255"/>
      <c r="X44" s="255"/>
      <c r="Y44" s="255"/>
      <c r="Z44" s="255"/>
      <c r="AA44" s="255"/>
    </row>
    <row r="45" spans="1:27">
      <c r="A45" s="255"/>
      <c r="B45" s="255"/>
      <c r="C45" s="255"/>
      <c r="D45" s="255"/>
      <c r="E45" s="255"/>
      <c r="F45" s="255"/>
      <c r="G45" s="255"/>
      <c r="H45" s="255"/>
      <c r="I45" s="255"/>
      <c r="J45" s="255"/>
      <c r="K45" s="255"/>
      <c r="L45" s="255"/>
      <c r="M45" s="255"/>
      <c r="N45" s="255"/>
      <c r="O45" s="255"/>
      <c r="P45" s="255"/>
      <c r="Q45" s="255"/>
      <c r="R45" s="255"/>
      <c r="S45" s="255"/>
      <c r="T45" s="255"/>
      <c r="U45" s="255"/>
      <c r="V45" s="255"/>
      <c r="W45" s="255"/>
      <c r="X45" s="255"/>
      <c r="Y45" s="255"/>
      <c r="Z45" s="255"/>
      <c r="AA45" s="255"/>
    </row>
    <row r="46" spans="1:27">
      <c r="A46" s="255"/>
      <c r="B46" s="255"/>
      <c r="C46" s="255"/>
      <c r="D46" s="255"/>
      <c r="E46" s="255"/>
      <c r="F46" s="255"/>
      <c r="G46" s="255"/>
      <c r="H46" s="255"/>
      <c r="I46" s="255"/>
      <c r="J46" s="255"/>
      <c r="K46" s="255"/>
      <c r="L46" s="255"/>
      <c r="M46" s="255"/>
      <c r="N46" s="255"/>
      <c r="O46" s="255"/>
      <c r="P46" s="255"/>
      <c r="Q46" s="255"/>
      <c r="R46" s="255"/>
      <c r="S46" s="255"/>
      <c r="T46" s="255"/>
      <c r="U46" s="255"/>
      <c r="V46" s="255"/>
      <c r="W46" s="255"/>
      <c r="X46" s="255"/>
      <c r="Y46" s="255"/>
      <c r="Z46" s="255"/>
      <c r="AA46" s="255"/>
    </row>
    <row r="47" spans="1:27">
      <c r="A47" s="255"/>
      <c r="B47" s="255"/>
      <c r="C47" s="255"/>
      <c r="D47" s="255"/>
      <c r="E47" s="255"/>
      <c r="F47" s="255"/>
      <c r="G47" s="255"/>
      <c r="H47" s="255"/>
      <c r="I47" s="255"/>
      <c r="J47" s="255"/>
      <c r="K47" s="255"/>
      <c r="L47" s="255"/>
      <c r="M47" s="255"/>
      <c r="N47" s="255"/>
      <c r="O47" s="255"/>
      <c r="P47" s="255"/>
      <c r="Q47" s="255"/>
      <c r="R47" s="255"/>
      <c r="S47" s="255"/>
      <c r="T47" s="255"/>
      <c r="U47" s="255"/>
      <c r="V47" s="255"/>
      <c r="W47" s="255"/>
      <c r="X47" s="255"/>
      <c r="Y47" s="255"/>
      <c r="Z47" s="255"/>
      <c r="AA47" s="255"/>
    </row>
    <row r="48" spans="1:27">
      <c r="A48" s="255"/>
      <c r="B48" s="255"/>
      <c r="C48" s="255"/>
      <c r="D48" s="255"/>
      <c r="E48" s="255"/>
      <c r="F48" s="255"/>
      <c r="G48" s="255"/>
      <c r="H48" s="255"/>
      <c r="I48" s="255"/>
      <c r="J48" s="255"/>
      <c r="K48" s="255"/>
      <c r="L48" s="255"/>
      <c r="M48" s="255"/>
      <c r="N48" s="255"/>
      <c r="O48" s="255"/>
      <c r="P48" s="255"/>
      <c r="Q48" s="255"/>
      <c r="R48" s="255"/>
      <c r="S48" s="255"/>
      <c r="T48" s="255"/>
      <c r="U48" s="255"/>
      <c r="V48" s="255"/>
      <c r="W48" s="255"/>
      <c r="X48" s="255"/>
      <c r="Y48" s="255"/>
      <c r="Z48" s="255"/>
      <c r="AA48" s="255"/>
    </row>
    <row r="49" spans="1:27">
      <c r="A49" s="255"/>
      <c r="B49" s="255"/>
      <c r="C49" s="255"/>
      <c r="D49" s="255"/>
      <c r="E49" s="255"/>
      <c r="F49" s="255"/>
      <c r="G49" s="255"/>
      <c r="H49" s="255"/>
      <c r="I49" s="255"/>
      <c r="J49" s="255"/>
      <c r="K49" s="255"/>
      <c r="L49" s="255"/>
      <c r="M49" s="255"/>
      <c r="N49" s="255"/>
      <c r="O49" s="255"/>
      <c r="P49" s="255"/>
      <c r="Q49" s="255"/>
      <c r="R49" s="255"/>
      <c r="S49" s="255"/>
      <c r="T49" s="255"/>
      <c r="U49" s="255"/>
      <c r="V49" s="255"/>
      <c r="W49" s="255"/>
      <c r="X49" s="255"/>
      <c r="Y49" s="255"/>
      <c r="Z49" s="255"/>
      <c r="AA49" s="255"/>
    </row>
    <row r="50" spans="1:27">
      <c r="A50" s="255"/>
      <c r="B50" s="255"/>
      <c r="C50" s="255"/>
      <c r="D50" s="255"/>
      <c r="E50" s="255"/>
      <c r="F50" s="255"/>
      <c r="G50" s="255"/>
      <c r="H50" s="255"/>
      <c r="I50" s="255"/>
      <c r="J50" s="255"/>
      <c r="K50" s="255"/>
      <c r="L50" s="255"/>
      <c r="M50" s="255"/>
      <c r="N50" s="255"/>
      <c r="O50" s="255"/>
      <c r="P50" s="255"/>
      <c r="Q50" s="255"/>
      <c r="R50" s="255"/>
      <c r="S50" s="255"/>
      <c r="T50" s="255"/>
      <c r="U50" s="255"/>
      <c r="V50" s="255"/>
      <c r="W50" s="255"/>
      <c r="X50" s="255"/>
      <c r="Y50" s="255"/>
      <c r="Z50" s="255"/>
      <c r="AA50" s="255"/>
    </row>
    <row r="51" spans="1:27">
      <c r="A51" s="255"/>
      <c r="B51" s="255"/>
      <c r="C51" s="255"/>
      <c r="D51" s="255"/>
      <c r="E51" s="255"/>
      <c r="F51" s="255"/>
      <c r="G51" s="255"/>
      <c r="H51" s="255"/>
      <c r="I51" s="255"/>
      <c r="J51" s="255"/>
      <c r="K51" s="255"/>
      <c r="L51" s="255"/>
      <c r="M51" s="255"/>
      <c r="N51" s="255"/>
      <c r="O51" s="255"/>
      <c r="P51" s="255"/>
      <c r="Q51" s="255"/>
      <c r="R51" s="255"/>
      <c r="S51" s="255"/>
      <c r="T51" s="255"/>
      <c r="U51" s="255"/>
      <c r="V51" s="255"/>
      <c r="W51" s="255"/>
      <c r="X51" s="255"/>
      <c r="Y51" s="255"/>
      <c r="Z51" s="255"/>
      <c r="AA51" s="255"/>
    </row>
    <row r="52" spans="1:27">
      <c r="A52" s="255"/>
      <c r="B52" s="255"/>
      <c r="C52" s="255"/>
      <c r="D52" s="255"/>
      <c r="E52" s="255"/>
      <c r="F52" s="255"/>
      <c r="G52" s="255"/>
      <c r="H52" s="255"/>
      <c r="I52" s="255"/>
      <c r="J52" s="255"/>
      <c r="K52" s="255"/>
      <c r="L52" s="255"/>
      <c r="M52" s="255"/>
      <c r="N52" s="255"/>
      <c r="O52" s="255"/>
      <c r="P52" s="255"/>
      <c r="Q52" s="255"/>
      <c r="R52" s="255"/>
      <c r="S52" s="255"/>
      <c r="T52" s="255"/>
      <c r="U52" s="255"/>
      <c r="V52" s="255"/>
      <c r="W52" s="255"/>
      <c r="X52" s="255"/>
      <c r="Y52" s="255"/>
      <c r="Z52" s="255"/>
      <c r="AA52" s="255"/>
    </row>
    <row r="53" spans="1:27">
      <c r="A53" s="255"/>
      <c r="B53" s="255"/>
      <c r="C53" s="255"/>
      <c r="D53" s="255"/>
      <c r="E53" s="255"/>
      <c r="F53" s="255"/>
      <c r="G53" s="255"/>
      <c r="H53" s="255"/>
      <c r="I53" s="255"/>
      <c r="J53" s="255"/>
      <c r="K53" s="255"/>
      <c r="L53" s="255"/>
      <c r="M53" s="255"/>
      <c r="N53" s="255"/>
      <c r="O53" s="255"/>
      <c r="P53" s="255"/>
      <c r="Q53" s="255"/>
      <c r="R53" s="255"/>
      <c r="S53" s="255"/>
      <c r="T53" s="255"/>
      <c r="U53" s="255"/>
      <c r="V53" s="255"/>
      <c r="W53" s="255"/>
      <c r="X53" s="255"/>
      <c r="Y53" s="255"/>
      <c r="Z53" s="255"/>
      <c r="AA53" s="255"/>
    </row>
    <row r="54" spans="1:27">
      <c r="A54" s="255"/>
      <c r="B54" s="255"/>
      <c r="C54" s="255"/>
      <c r="D54" s="255"/>
      <c r="E54" s="255"/>
      <c r="F54" s="255"/>
      <c r="G54" s="255"/>
      <c r="H54" s="255"/>
      <c r="I54" s="255"/>
      <c r="J54" s="255"/>
      <c r="K54" s="255"/>
      <c r="L54" s="255"/>
      <c r="M54" s="255"/>
      <c r="N54" s="255"/>
      <c r="O54" s="255"/>
      <c r="P54" s="255"/>
      <c r="Q54" s="255"/>
      <c r="R54" s="255"/>
      <c r="S54" s="255"/>
      <c r="T54" s="255"/>
      <c r="U54" s="255"/>
      <c r="V54" s="255"/>
      <c r="W54" s="255"/>
      <c r="X54" s="255"/>
      <c r="Y54" s="255"/>
      <c r="Z54" s="255"/>
      <c r="AA54" s="255"/>
    </row>
    <row r="55" spans="1:27">
      <c r="A55" s="255"/>
      <c r="B55" s="255"/>
      <c r="C55" s="255"/>
      <c r="D55" s="255"/>
      <c r="E55" s="255"/>
      <c r="F55" s="255"/>
      <c r="G55" s="255"/>
      <c r="H55" s="255"/>
      <c r="I55" s="255"/>
      <c r="J55" s="255"/>
      <c r="K55" s="255"/>
      <c r="L55" s="255"/>
      <c r="M55" s="255"/>
      <c r="N55" s="255"/>
      <c r="O55" s="255"/>
      <c r="P55" s="255"/>
      <c r="Q55" s="255"/>
      <c r="R55" s="255"/>
      <c r="S55" s="255"/>
      <c r="T55" s="255"/>
      <c r="U55" s="255"/>
      <c r="V55" s="255"/>
      <c r="W55" s="255"/>
      <c r="X55" s="255"/>
      <c r="Y55" s="255"/>
      <c r="Z55" s="255"/>
      <c r="AA55" s="255"/>
    </row>
    <row r="56" spans="1:27">
      <c r="A56" s="255"/>
      <c r="B56" s="255"/>
      <c r="C56" s="255"/>
      <c r="D56" s="255"/>
      <c r="E56" s="255"/>
      <c r="F56" s="255"/>
      <c r="G56" s="255"/>
      <c r="H56" s="255"/>
      <c r="I56" s="255"/>
      <c r="J56" s="255"/>
      <c r="K56" s="255"/>
      <c r="L56" s="255"/>
      <c r="M56" s="255"/>
      <c r="N56" s="255"/>
      <c r="O56" s="255"/>
      <c r="P56" s="255"/>
      <c r="Q56" s="255"/>
      <c r="R56" s="255"/>
      <c r="S56" s="255"/>
      <c r="T56" s="255"/>
      <c r="U56" s="255"/>
      <c r="V56" s="255"/>
      <c r="W56" s="255"/>
      <c r="X56" s="255"/>
      <c r="Y56" s="255"/>
      <c r="Z56" s="255"/>
      <c r="AA56" s="255"/>
    </row>
    <row r="57" spans="1:27">
      <c r="A57" s="255"/>
      <c r="B57" s="255"/>
      <c r="C57" s="255"/>
      <c r="D57" s="255"/>
      <c r="E57" s="255"/>
      <c r="F57" s="255"/>
      <c r="G57" s="255"/>
      <c r="H57" s="255"/>
      <c r="I57" s="255"/>
      <c r="J57" s="255"/>
      <c r="K57" s="255"/>
      <c r="L57" s="255"/>
      <c r="M57" s="255"/>
      <c r="N57" s="255"/>
      <c r="O57" s="255"/>
      <c r="P57" s="255"/>
      <c r="Q57" s="255"/>
      <c r="R57" s="255"/>
      <c r="S57" s="255"/>
      <c r="T57" s="255"/>
      <c r="U57" s="255"/>
      <c r="V57" s="255"/>
      <c r="W57" s="255"/>
      <c r="X57" s="255"/>
      <c r="Y57" s="255"/>
      <c r="Z57" s="255"/>
      <c r="AA57" s="255"/>
    </row>
    <row r="58" spans="1:27">
      <c r="A58" s="255"/>
      <c r="B58" s="255"/>
      <c r="C58" s="255"/>
      <c r="D58" s="255"/>
      <c r="E58" s="255"/>
      <c r="F58" s="255"/>
      <c r="G58" s="255"/>
      <c r="H58" s="255"/>
      <c r="I58" s="255"/>
      <c r="J58" s="255"/>
      <c r="K58" s="255"/>
      <c r="L58" s="255"/>
      <c r="M58" s="255"/>
      <c r="N58" s="255"/>
      <c r="O58" s="255"/>
      <c r="P58" s="255"/>
      <c r="Q58" s="255"/>
      <c r="R58" s="255"/>
      <c r="S58" s="255"/>
      <c r="T58" s="255"/>
      <c r="U58" s="255"/>
      <c r="V58" s="255"/>
      <c r="W58" s="255"/>
      <c r="X58" s="255"/>
      <c r="Y58" s="255"/>
      <c r="Z58" s="255"/>
      <c r="AA58" s="255"/>
    </row>
    <row r="59" spans="1:27">
      <c r="A59" s="255"/>
      <c r="B59" s="255"/>
      <c r="C59" s="255"/>
      <c r="D59" s="255"/>
      <c r="E59" s="255"/>
      <c r="F59" s="255"/>
      <c r="G59" s="255"/>
      <c r="H59" s="255"/>
      <c r="I59" s="255"/>
      <c r="J59" s="255"/>
      <c r="K59" s="255"/>
      <c r="L59" s="255"/>
      <c r="M59" s="255"/>
      <c r="N59" s="255"/>
      <c r="O59" s="255"/>
      <c r="P59" s="255"/>
      <c r="Q59" s="255"/>
      <c r="R59" s="255"/>
      <c r="S59" s="255"/>
      <c r="T59" s="255"/>
      <c r="U59" s="255"/>
      <c r="V59" s="255"/>
      <c r="W59" s="255"/>
      <c r="X59" s="255"/>
      <c r="Y59" s="255"/>
      <c r="Z59" s="255"/>
      <c r="AA59" s="255"/>
    </row>
    <row r="60" spans="1:27">
      <c r="A60" s="255"/>
      <c r="B60" s="255"/>
      <c r="C60" s="255"/>
      <c r="D60" s="255"/>
      <c r="E60" s="255"/>
      <c r="F60" s="255"/>
      <c r="G60" s="255"/>
      <c r="H60" s="255"/>
      <c r="I60" s="255"/>
      <c r="J60" s="255"/>
      <c r="K60" s="255"/>
      <c r="L60" s="255"/>
      <c r="M60" s="255"/>
      <c r="N60" s="255"/>
      <c r="O60" s="255"/>
      <c r="P60" s="255"/>
      <c r="Q60" s="255"/>
      <c r="R60" s="255"/>
      <c r="S60" s="255"/>
      <c r="T60" s="255"/>
      <c r="U60" s="255"/>
      <c r="V60" s="255"/>
      <c r="W60" s="255"/>
      <c r="X60" s="255"/>
      <c r="Y60" s="255"/>
      <c r="Z60" s="255"/>
      <c r="AA60" s="255"/>
    </row>
    <row r="61" spans="1:27">
      <c r="A61" s="255"/>
      <c r="B61" s="255"/>
      <c r="C61" s="255"/>
      <c r="D61" s="255"/>
      <c r="E61" s="255"/>
      <c r="F61" s="255"/>
      <c r="G61" s="255"/>
      <c r="H61" s="255"/>
      <c r="I61" s="255"/>
      <c r="J61" s="255"/>
      <c r="K61" s="255"/>
      <c r="L61" s="255"/>
      <c r="M61" s="255"/>
      <c r="N61" s="255"/>
      <c r="O61" s="255"/>
      <c r="P61" s="255"/>
      <c r="Q61" s="255"/>
      <c r="R61" s="255"/>
      <c r="S61" s="255"/>
      <c r="T61" s="255"/>
      <c r="U61" s="255"/>
      <c r="V61" s="255"/>
      <c r="W61" s="255"/>
      <c r="X61" s="255"/>
      <c r="Y61" s="255"/>
      <c r="Z61" s="255"/>
      <c r="AA61" s="255"/>
    </row>
    <row r="62" spans="1:27">
      <c r="A62" s="255"/>
      <c r="B62" s="255"/>
      <c r="C62" s="255"/>
      <c r="D62" s="255"/>
      <c r="E62" s="255"/>
      <c r="F62" s="255"/>
      <c r="G62" s="255"/>
      <c r="H62" s="255"/>
      <c r="I62" s="255"/>
      <c r="J62" s="255"/>
      <c r="K62" s="255"/>
      <c r="L62" s="255"/>
      <c r="M62" s="255"/>
      <c r="N62" s="255"/>
      <c r="O62" s="255"/>
      <c r="P62" s="255"/>
      <c r="Q62" s="255"/>
      <c r="R62" s="255"/>
      <c r="S62" s="255"/>
      <c r="T62" s="255"/>
      <c r="U62" s="255"/>
      <c r="V62" s="255"/>
      <c r="W62" s="255"/>
      <c r="X62" s="255"/>
      <c r="Y62" s="255"/>
      <c r="Z62" s="255"/>
      <c r="AA62" s="255"/>
    </row>
    <row r="63" spans="1:27">
      <c r="A63" s="255"/>
      <c r="B63" s="255"/>
      <c r="C63" s="255"/>
      <c r="D63" s="255"/>
      <c r="E63" s="255"/>
      <c r="F63" s="255"/>
      <c r="G63" s="255"/>
      <c r="H63" s="255"/>
      <c r="I63" s="255"/>
      <c r="J63" s="255"/>
      <c r="K63" s="255"/>
      <c r="L63" s="255"/>
      <c r="M63" s="255"/>
      <c r="N63" s="255"/>
      <c r="O63" s="255"/>
      <c r="P63" s="255"/>
      <c r="Q63" s="255"/>
      <c r="R63" s="255"/>
      <c r="S63" s="255"/>
      <c r="T63" s="255"/>
      <c r="U63" s="255"/>
      <c r="V63" s="255"/>
      <c r="W63" s="255"/>
      <c r="X63" s="255"/>
      <c r="Y63" s="255"/>
      <c r="Z63" s="255"/>
      <c r="AA63" s="255"/>
    </row>
    <row r="64" spans="1:27">
      <c r="A64" s="255"/>
      <c r="B64" s="255"/>
      <c r="C64" s="255"/>
      <c r="D64" s="255"/>
      <c r="E64" s="255"/>
      <c r="F64" s="255"/>
      <c r="G64" s="255"/>
      <c r="H64" s="255"/>
      <c r="I64" s="255"/>
      <c r="J64" s="255"/>
      <c r="K64" s="255"/>
      <c r="L64" s="255"/>
      <c r="M64" s="255"/>
      <c r="N64" s="255"/>
      <c r="O64" s="255"/>
      <c r="P64" s="255"/>
      <c r="Q64" s="255"/>
      <c r="R64" s="255"/>
      <c r="S64" s="255"/>
      <c r="T64" s="255"/>
      <c r="U64" s="255"/>
      <c r="V64" s="255"/>
      <c r="W64" s="255"/>
      <c r="X64" s="255"/>
      <c r="Y64" s="255"/>
      <c r="Z64" s="255"/>
      <c r="AA64" s="255"/>
    </row>
    <row r="65" spans="1:27">
      <c r="A65" s="255"/>
      <c r="B65" s="255"/>
      <c r="C65" s="255"/>
      <c r="D65" s="255"/>
      <c r="E65" s="255"/>
      <c r="F65" s="255"/>
      <c r="G65" s="255"/>
      <c r="H65" s="255"/>
      <c r="I65" s="255"/>
      <c r="J65" s="255"/>
      <c r="K65" s="255"/>
      <c r="L65" s="255"/>
      <c r="M65" s="255"/>
      <c r="N65" s="255"/>
      <c r="O65" s="255"/>
      <c r="P65" s="255"/>
      <c r="Q65" s="255"/>
      <c r="R65" s="255"/>
      <c r="S65" s="255"/>
      <c r="T65" s="255"/>
      <c r="U65" s="255"/>
      <c r="V65" s="255"/>
      <c r="W65" s="255"/>
      <c r="X65" s="255"/>
      <c r="Y65" s="255"/>
      <c r="Z65" s="255"/>
      <c r="AA65" s="255"/>
    </row>
    <row r="66" spans="1:27">
      <c r="A66" s="255"/>
      <c r="B66" s="255"/>
      <c r="C66" s="255"/>
      <c r="D66" s="255"/>
      <c r="E66" s="255"/>
      <c r="F66" s="255"/>
      <c r="G66" s="255"/>
      <c r="H66" s="255"/>
      <c r="I66" s="255"/>
      <c r="J66" s="255"/>
      <c r="K66" s="255"/>
      <c r="L66" s="255"/>
      <c r="M66" s="255"/>
      <c r="N66" s="255"/>
      <c r="O66" s="255"/>
      <c r="P66" s="255"/>
      <c r="Q66" s="255"/>
      <c r="R66" s="255"/>
      <c r="S66" s="255"/>
      <c r="T66" s="255"/>
      <c r="U66" s="255"/>
      <c r="V66" s="255"/>
      <c r="W66" s="255"/>
      <c r="X66" s="255"/>
      <c r="Y66" s="255"/>
      <c r="Z66" s="255"/>
      <c r="AA66" s="255"/>
    </row>
    <row r="67" spans="1:27">
      <c r="A67" s="255"/>
      <c r="B67" s="255"/>
      <c r="C67" s="255"/>
      <c r="D67" s="255"/>
      <c r="E67" s="255"/>
      <c r="F67" s="255"/>
      <c r="G67" s="255"/>
      <c r="H67" s="255"/>
      <c r="I67" s="255"/>
      <c r="J67" s="255"/>
      <c r="K67" s="255"/>
      <c r="L67" s="255"/>
      <c r="M67" s="255"/>
      <c r="N67" s="255"/>
      <c r="O67" s="255"/>
      <c r="P67" s="255"/>
      <c r="Q67" s="255"/>
      <c r="R67" s="255"/>
      <c r="S67" s="255"/>
      <c r="T67" s="255"/>
      <c r="U67" s="255"/>
      <c r="V67" s="255"/>
      <c r="W67" s="255"/>
      <c r="X67" s="255"/>
      <c r="Y67" s="255"/>
      <c r="Z67" s="255"/>
      <c r="AA67" s="255"/>
    </row>
    <row r="68" spans="1:27">
      <c r="A68" s="255"/>
      <c r="B68" s="255"/>
      <c r="C68" s="255"/>
      <c r="D68" s="255"/>
      <c r="E68" s="255"/>
      <c r="F68" s="255"/>
      <c r="G68" s="255"/>
      <c r="H68" s="255"/>
      <c r="I68" s="255"/>
      <c r="J68" s="255"/>
      <c r="K68" s="255"/>
      <c r="L68" s="255"/>
      <c r="M68" s="255"/>
      <c r="N68" s="255"/>
      <c r="O68" s="255"/>
      <c r="P68" s="255"/>
      <c r="Q68" s="255"/>
      <c r="R68" s="255"/>
      <c r="S68" s="255"/>
      <c r="T68" s="255"/>
      <c r="U68" s="255"/>
      <c r="V68" s="255"/>
      <c r="W68" s="255"/>
      <c r="X68" s="255"/>
      <c r="Y68" s="255"/>
      <c r="Z68" s="255"/>
      <c r="AA68" s="255"/>
    </row>
    <row r="69" spans="1:27">
      <c r="A69" s="255"/>
      <c r="B69" s="255"/>
      <c r="C69" s="255"/>
      <c r="D69" s="255"/>
      <c r="E69" s="255"/>
      <c r="F69" s="255"/>
      <c r="G69" s="255"/>
      <c r="H69" s="255"/>
      <c r="I69" s="255"/>
      <c r="J69" s="255"/>
      <c r="K69" s="255"/>
      <c r="L69" s="255"/>
      <c r="M69" s="255"/>
      <c r="N69" s="255"/>
      <c r="O69" s="255"/>
      <c r="P69" s="255"/>
      <c r="Q69" s="255"/>
      <c r="R69" s="255"/>
      <c r="S69" s="255"/>
      <c r="T69" s="255"/>
      <c r="U69" s="255"/>
      <c r="V69" s="255"/>
      <c r="W69" s="255"/>
      <c r="X69" s="255"/>
      <c r="Y69" s="255"/>
      <c r="Z69" s="255"/>
      <c r="AA69" s="255"/>
    </row>
    <row r="70" spans="1:27">
      <c r="A70" s="255"/>
      <c r="B70" s="255"/>
      <c r="C70" s="255"/>
      <c r="D70" s="255"/>
      <c r="E70" s="255"/>
      <c r="F70" s="255"/>
      <c r="G70" s="255"/>
      <c r="H70" s="255"/>
      <c r="I70" s="255"/>
      <c r="J70" s="255"/>
      <c r="K70" s="255"/>
      <c r="L70" s="255"/>
      <c r="M70" s="255"/>
      <c r="N70" s="255"/>
      <c r="O70" s="255"/>
      <c r="P70" s="255"/>
      <c r="Q70" s="255"/>
      <c r="R70" s="255"/>
      <c r="S70" s="255"/>
      <c r="T70" s="255"/>
      <c r="U70" s="255"/>
      <c r="V70" s="255"/>
      <c r="W70" s="255"/>
      <c r="X70" s="255"/>
      <c r="Y70" s="255"/>
      <c r="Z70" s="255"/>
      <c r="AA70" s="255"/>
    </row>
    <row r="71" spans="1:27">
      <c r="A71" s="255"/>
      <c r="B71" s="255"/>
      <c r="C71" s="255"/>
      <c r="D71" s="255"/>
      <c r="E71" s="255"/>
      <c r="F71" s="255"/>
      <c r="G71" s="255"/>
      <c r="H71" s="255"/>
      <c r="I71" s="255"/>
      <c r="J71" s="255"/>
      <c r="K71" s="255"/>
      <c r="L71" s="255"/>
      <c r="M71" s="255"/>
      <c r="N71" s="255"/>
      <c r="O71" s="255"/>
      <c r="P71" s="255"/>
      <c r="Q71" s="255"/>
      <c r="R71" s="255"/>
      <c r="S71" s="255"/>
      <c r="T71" s="255"/>
      <c r="U71" s="255"/>
      <c r="V71" s="255"/>
      <c r="W71" s="255"/>
      <c r="X71" s="255"/>
      <c r="Y71" s="255"/>
      <c r="Z71" s="255"/>
      <c r="AA71" s="255"/>
    </row>
    <row r="72" spans="1:27">
      <c r="A72" s="255"/>
      <c r="B72" s="255"/>
      <c r="C72" s="255"/>
      <c r="D72" s="255"/>
      <c r="E72" s="255"/>
      <c r="F72" s="255"/>
      <c r="G72" s="255"/>
      <c r="H72" s="255"/>
      <c r="I72" s="255"/>
      <c r="J72" s="255"/>
      <c r="K72" s="255"/>
      <c r="L72" s="255"/>
      <c r="M72" s="255"/>
      <c r="N72" s="255"/>
      <c r="O72" s="255"/>
      <c r="P72" s="255"/>
      <c r="Q72" s="255"/>
      <c r="R72" s="255"/>
      <c r="S72" s="255"/>
      <c r="T72" s="255"/>
      <c r="U72" s="255"/>
      <c r="V72" s="255"/>
      <c r="W72" s="255"/>
      <c r="X72" s="255"/>
      <c r="Y72" s="255"/>
      <c r="Z72" s="255"/>
      <c r="AA72" s="255"/>
    </row>
    <row r="73" spans="1:27">
      <c r="A73" s="255"/>
      <c r="B73" s="255"/>
      <c r="C73" s="255"/>
      <c r="D73" s="255"/>
      <c r="E73" s="255"/>
      <c r="F73" s="255"/>
      <c r="G73" s="255"/>
      <c r="H73" s="255"/>
      <c r="I73" s="255"/>
      <c r="J73" s="255"/>
      <c r="K73" s="255"/>
      <c r="L73" s="255"/>
      <c r="M73" s="255"/>
      <c r="N73" s="255"/>
      <c r="O73" s="255"/>
      <c r="P73" s="255"/>
      <c r="Q73" s="255"/>
      <c r="R73" s="255"/>
      <c r="S73" s="255"/>
      <c r="T73" s="255"/>
      <c r="U73" s="255"/>
      <c r="V73" s="255"/>
      <c r="W73" s="255"/>
      <c r="X73" s="255"/>
      <c r="Y73" s="255"/>
      <c r="Z73" s="255"/>
      <c r="AA73" s="255"/>
    </row>
    <row r="74" spans="1:27">
      <c r="A74" s="255"/>
      <c r="B74" s="255"/>
      <c r="C74" s="255"/>
      <c r="D74" s="255"/>
      <c r="E74" s="255"/>
      <c r="F74" s="255"/>
      <c r="G74" s="255"/>
      <c r="H74" s="255"/>
      <c r="I74" s="255"/>
      <c r="J74" s="255"/>
      <c r="K74" s="255"/>
      <c r="L74" s="255"/>
      <c r="M74" s="255"/>
      <c r="N74" s="255"/>
      <c r="O74" s="255"/>
      <c r="P74" s="255"/>
      <c r="Q74" s="255"/>
      <c r="R74" s="255"/>
      <c r="S74" s="255"/>
      <c r="T74" s="255"/>
      <c r="U74" s="255"/>
      <c r="V74" s="255"/>
      <c r="W74" s="255"/>
      <c r="X74" s="255"/>
      <c r="Y74" s="255"/>
      <c r="Z74" s="255"/>
      <c r="AA74" s="255"/>
    </row>
    <row r="75" spans="1:27">
      <c r="A75" s="255"/>
      <c r="B75" s="255"/>
      <c r="C75" s="255"/>
      <c r="D75" s="255"/>
      <c r="E75" s="255"/>
      <c r="F75" s="255"/>
      <c r="G75" s="255"/>
      <c r="H75" s="255"/>
      <c r="I75" s="255"/>
      <c r="J75" s="255"/>
      <c r="K75" s="255"/>
      <c r="L75" s="255"/>
      <c r="M75" s="255"/>
      <c r="N75" s="255"/>
      <c r="O75" s="255"/>
      <c r="P75" s="255"/>
      <c r="Q75" s="255"/>
      <c r="R75" s="255"/>
      <c r="S75" s="255"/>
      <c r="T75" s="255"/>
      <c r="U75" s="255"/>
      <c r="V75" s="255"/>
      <c r="W75" s="255"/>
      <c r="X75" s="255"/>
      <c r="Y75" s="255"/>
      <c r="Z75" s="255"/>
      <c r="AA75" s="255"/>
    </row>
    <row r="76" spans="1:27">
      <c r="A76" s="255"/>
      <c r="B76" s="255"/>
      <c r="C76" s="255"/>
      <c r="D76" s="255"/>
      <c r="E76" s="255"/>
      <c r="F76" s="255"/>
      <c r="G76" s="255"/>
      <c r="H76" s="255"/>
      <c r="I76" s="255"/>
      <c r="J76" s="255"/>
      <c r="K76" s="255"/>
      <c r="L76" s="255"/>
      <c r="M76" s="255"/>
      <c r="N76" s="255"/>
      <c r="O76" s="255"/>
      <c r="P76" s="255"/>
      <c r="Q76" s="255"/>
      <c r="R76" s="255"/>
      <c r="S76" s="255"/>
      <c r="T76" s="255"/>
      <c r="U76" s="255"/>
      <c r="V76" s="255"/>
      <c r="W76" s="255"/>
      <c r="X76" s="255"/>
      <c r="Y76" s="255"/>
      <c r="Z76" s="255"/>
      <c r="AA76" s="255"/>
    </row>
    <row r="77" spans="1:27">
      <c r="A77" s="255"/>
      <c r="B77" s="255"/>
      <c r="C77" s="255"/>
      <c r="D77" s="255"/>
      <c r="E77" s="255"/>
      <c r="F77" s="255"/>
      <c r="G77" s="255"/>
      <c r="H77" s="255"/>
      <c r="I77" s="255"/>
      <c r="J77" s="255"/>
      <c r="K77" s="255"/>
      <c r="L77" s="255"/>
      <c r="M77" s="255"/>
      <c r="N77" s="255"/>
      <c r="O77" s="255"/>
      <c r="P77" s="255"/>
      <c r="Q77" s="255"/>
      <c r="R77" s="255"/>
      <c r="S77" s="255"/>
      <c r="T77" s="255"/>
      <c r="U77" s="255"/>
      <c r="V77" s="255"/>
      <c r="W77" s="255"/>
      <c r="X77" s="255"/>
      <c r="Y77" s="255"/>
      <c r="Z77" s="255"/>
      <c r="AA77" s="255"/>
    </row>
    <row r="78" spans="1:27">
      <c r="A78" s="255"/>
      <c r="B78" s="255"/>
      <c r="C78" s="255"/>
      <c r="D78" s="255"/>
      <c r="E78" s="255"/>
      <c r="F78" s="255"/>
      <c r="G78" s="255"/>
      <c r="H78" s="255"/>
      <c r="I78" s="255"/>
      <c r="J78" s="255"/>
      <c r="K78" s="255"/>
      <c r="L78" s="255"/>
      <c r="M78" s="255"/>
      <c r="N78" s="255"/>
      <c r="O78" s="255"/>
      <c r="P78" s="255"/>
      <c r="Q78" s="255"/>
      <c r="R78" s="255"/>
      <c r="S78" s="255"/>
      <c r="T78" s="255"/>
      <c r="U78" s="255"/>
      <c r="V78" s="255"/>
      <c r="W78" s="255"/>
      <c r="X78" s="255"/>
      <c r="Y78" s="255"/>
      <c r="Z78" s="255"/>
      <c r="AA78" s="255"/>
    </row>
    <row r="79" spans="1:27">
      <c r="A79" s="255"/>
      <c r="B79" s="255"/>
      <c r="C79" s="255"/>
      <c r="D79" s="255"/>
      <c r="E79" s="255"/>
      <c r="F79" s="255"/>
      <c r="G79" s="255"/>
      <c r="H79" s="255"/>
      <c r="I79" s="255"/>
      <c r="J79" s="255"/>
      <c r="K79" s="255"/>
      <c r="L79" s="255"/>
      <c r="M79" s="255"/>
      <c r="N79" s="255"/>
      <c r="O79" s="255"/>
      <c r="P79" s="255"/>
      <c r="Q79" s="255"/>
      <c r="R79" s="255"/>
      <c r="S79" s="255"/>
      <c r="T79" s="255"/>
      <c r="U79" s="255"/>
      <c r="V79" s="255"/>
      <c r="W79" s="255"/>
      <c r="X79" s="255"/>
      <c r="Y79" s="255"/>
      <c r="Z79" s="255"/>
      <c r="AA79" s="255"/>
    </row>
    <row r="80" spans="1:27">
      <c r="A80" s="255"/>
      <c r="B80" s="255"/>
      <c r="C80" s="255"/>
      <c r="D80" s="255"/>
      <c r="E80" s="255"/>
      <c r="F80" s="255"/>
      <c r="G80" s="255"/>
      <c r="H80" s="255"/>
      <c r="I80" s="255"/>
      <c r="J80" s="255"/>
      <c r="K80" s="255"/>
      <c r="L80" s="255"/>
      <c r="M80" s="255"/>
      <c r="N80" s="255"/>
      <c r="O80" s="255"/>
      <c r="P80" s="255"/>
      <c r="Q80" s="255"/>
      <c r="R80" s="255"/>
      <c r="S80" s="255"/>
      <c r="T80" s="255"/>
      <c r="U80" s="255"/>
      <c r="V80" s="255"/>
      <c r="W80" s="255"/>
      <c r="X80" s="255"/>
      <c r="Y80" s="255"/>
      <c r="Z80" s="255"/>
      <c r="AA80" s="255"/>
    </row>
    <row r="81" spans="1:27">
      <c r="A81" s="255"/>
      <c r="B81" s="255"/>
      <c r="C81" s="255"/>
      <c r="D81" s="255"/>
      <c r="E81" s="255"/>
      <c r="F81" s="255"/>
      <c r="G81" s="255"/>
      <c r="H81" s="255"/>
      <c r="I81" s="255"/>
      <c r="J81" s="255"/>
      <c r="K81" s="255"/>
      <c r="L81" s="255"/>
      <c r="M81" s="255"/>
      <c r="N81" s="255"/>
      <c r="O81" s="255"/>
      <c r="P81" s="255"/>
      <c r="Q81" s="255"/>
      <c r="R81" s="255"/>
      <c r="S81" s="255"/>
      <c r="T81" s="255"/>
      <c r="U81" s="255"/>
      <c r="V81" s="255"/>
      <c r="W81" s="255"/>
      <c r="X81" s="255"/>
      <c r="Y81" s="255"/>
      <c r="Z81" s="255"/>
      <c r="AA81" s="255"/>
    </row>
    <row r="82" spans="1:27">
      <c r="A82" s="255"/>
      <c r="B82" s="255"/>
      <c r="C82" s="255"/>
      <c r="D82" s="255"/>
      <c r="E82" s="255"/>
      <c r="F82" s="255"/>
      <c r="G82" s="255"/>
      <c r="H82" s="255"/>
      <c r="I82" s="255"/>
      <c r="J82" s="255"/>
      <c r="K82" s="255"/>
      <c r="L82" s="255"/>
      <c r="M82" s="255"/>
      <c r="N82" s="255"/>
      <c r="O82" s="255"/>
      <c r="P82" s="255"/>
      <c r="Q82" s="255"/>
      <c r="R82" s="255"/>
      <c r="S82" s="255"/>
      <c r="T82" s="255"/>
      <c r="U82" s="255"/>
      <c r="V82" s="255"/>
      <c r="W82" s="255"/>
      <c r="X82" s="255"/>
      <c r="Y82" s="255"/>
      <c r="Z82" s="255"/>
      <c r="AA82" s="255"/>
    </row>
    <row r="83" spans="1:27">
      <c r="A83" s="255"/>
      <c r="B83" s="255"/>
      <c r="C83" s="255"/>
      <c r="D83" s="255"/>
      <c r="E83" s="255"/>
      <c r="F83" s="255"/>
      <c r="G83" s="255"/>
      <c r="H83" s="255"/>
      <c r="I83" s="255"/>
      <c r="J83" s="255"/>
      <c r="K83" s="255"/>
      <c r="L83" s="255"/>
      <c r="M83" s="255"/>
      <c r="N83" s="255"/>
      <c r="O83" s="255"/>
      <c r="P83" s="255"/>
      <c r="Q83" s="255"/>
      <c r="R83" s="255"/>
      <c r="S83" s="255"/>
      <c r="T83" s="255"/>
      <c r="U83" s="255"/>
      <c r="V83" s="255"/>
      <c r="W83" s="255"/>
      <c r="X83" s="255"/>
      <c r="Y83" s="255"/>
      <c r="Z83" s="255"/>
      <c r="AA83" s="255"/>
    </row>
  </sheetData>
  <mergeCells count="12">
    <mergeCell ref="D22:F22"/>
    <mergeCell ref="D25:F25"/>
    <mergeCell ref="D28:F28"/>
    <mergeCell ref="B30:F30"/>
    <mergeCell ref="D7:F7"/>
    <mergeCell ref="D10:F10"/>
    <mergeCell ref="D13:F13"/>
    <mergeCell ref="B2:F2"/>
    <mergeCell ref="B3:F3"/>
    <mergeCell ref="B4:F4"/>
    <mergeCell ref="D16:F16"/>
    <mergeCell ref="D19:F19"/>
  </mergeCells>
  <phoneticPr fontId="18" type="noConversion"/>
  <pageMargins left="0.53" right="0.44" top="0.62" bottom="0.48" header="0.5" footer="0.5"/>
  <pageSetup scale="8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Check Box 1">
              <controlPr locked="0" defaultSize="0" autoFill="0" autoLine="0" autoPict="0">
                <anchor moveWithCells="1">
                  <from>
                    <xdr:col>1</xdr:col>
                    <xdr:colOff>142875</xdr:colOff>
                    <xdr:row>4</xdr:row>
                    <xdr:rowOff>295275</xdr:rowOff>
                  </from>
                  <to>
                    <xdr:col>1</xdr:col>
                    <xdr:colOff>409575</xdr:colOff>
                    <xdr:row>6</xdr:row>
                    <xdr:rowOff>47625</xdr:rowOff>
                  </to>
                </anchor>
              </controlPr>
            </control>
          </mc:Choice>
        </mc:AlternateContent>
        <mc:AlternateContent xmlns:mc="http://schemas.openxmlformats.org/markup-compatibility/2006">
          <mc:Choice Requires="x14">
            <control shapeId="12290" r:id="rId5" name="Check Box 2">
              <controlPr locked="0" defaultSize="0" autoFill="0" autoLine="0" autoPict="0">
                <anchor moveWithCells="1">
                  <from>
                    <xdr:col>2</xdr:col>
                    <xdr:colOff>190500</xdr:colOff>
                    <xdr:row>4</xdr:row>
                    <xdr:rowOff>304800</xdr:rowOff>
                  </from>
                  <to>
                    <xdr:col>2</xdr:col>
                    <xdr:colOff>457200</xdr:colOff>
                    <xdr:row>6</xdr:row>
                    <xdr:rowOff>57150</xdr:rowOff>
                  </to>
                </anchor>
              </controlPr>
            </control>
          </mc:Choice>
        </mc:AlternateContent>
        <mc:AlternateContent xmlns:mc="http://schemas.openxmlformats.org/markup-compatibility/2006">
          <mc:Choice Requires="x14">
            <control shapeId="12291" r:id="rId6" name="Check Box 3">
              <controlPr locked="0" defaultSize="0" autoFill="0" autoLine="0" autoPict="0">
                <anchor moveWithCells="1">
                  <from>
                    <xdr:col>1</xdr:col>
                    <xdr:colOff>123825</xdr:colOff>
                    <xdr:row>7</xdr:row>
                    <xdr:rowOff>57150</xdr:rowOff>
                  </from>
                  <to>
                    <xdr:col>1</xdr:col>
                    <xdr:colOff>390525</xdr:colOff>
                    <xdr:row>9</xdr:row>
                    <xdr:rowOff>66675</xdr:rowOff>
                  </to>
                </anchor>
              </controlPr>
            </control>
          </mc:Choice>
        </mc:AlternateContent>
        <mc:AlternateContent xmlns:mc="http://schemas.openxmlformats.org/markup-compatibility/2006">
          <mc:Choice Requires="x14">
            <control shapeId="12292" r:id="rId7" name="Check Box 4">
              <controlPr locked="0" defaultSize="0" autoFill="0" autoLine="0" autoPict="0">
                <anchor moveWithCells="1">
                  <from>
                    <xdr:col>2</xdr:col>
                    <xdr:colOff>142875</xdr:colOff>
                    <xdr:row>7</xdr:row>
                    <xdr:rowOff>57150</xdr:rowOff>
                  </from>
                  <to>
                    <xdr:col>2</xdr:col>
                    <xdr:colOff>409575</xdr:colOff>
                    <xdr:row>9</xdr:row>
                    <xdr:rowOff>66675</xdr:rowOff>
                  </to>
                </anchor>
              </controlPr>
            </control>
          </mc:Choice>
        </mc:AlternateContent>
        <mc:AlternateContent xmlns:mc="http://schemas.openxmlformats.org/markup-compatibility/2006">
          <mc:Choice Requires="x14">
            <control shapeId="12293" r:id="rId8" name="Check Box 5">
              <controlPr locked="0" defaultSize="0" autoFill="0" autoLine="0" autoPict="0">
                <anchor moveWithCells="1">
                  <from>
                    <xdr:col>1</xdr:col>
                    <xdr:colOff>142875</xdr:colOff>
                    <xdr:row>10</xdr:row>
                    <xdr:rowOff>57150</xdr:rowOff>
                  </from>
                  <to>
                    <xdr:col>1</xdr:col>
                    <xdr:colOff>409575</xdr:colOff>
                    <xdr:row>12</xdr:row>
                    <xdr:rowOff>66675</xdr:rowOff>
                  </to>
                </anchor>
              </controlPr>
            </control>
          </mc:Choice>
        </mc:AlternateContent>
        <mc:AlternateContent xmlns:mc="http://schemas.openxmlformats.org/markup-compatibility/2006">
          <mc:Choice Requires="x14">
            <control shapeId="12294" r:id="rId9" name="Check Box 6">
              <controlPr locked="0" defaultSize="0" autoFill="0" autoLine="0" autoPict="0">
                <anchor moveWithCells="1">
                  <from>
                    <xdr:col>2</xdr:col>
                    <xdr:colOff>142875</xdr:colOff>
                    <xdr:row>11</xdr:row>
                    <xdr:rowOff>0</xdr:rowOff>
                  </from>
                  <to>
                    <xdr:col>2</xdr:col>
                    <xdr:colOff>409575</xdr:colOff>
                    <xdr:row>12</xdr:row>
                    <xdr:rowOff>85725</xdr:rowOff>
                  </to>
                </anchor>
              </controlPr>
            </control>
          </mc:Choice>
        </mc:AlternateContent>
        <mc:AlternateContent xmlns:mc="http://schemas.openxmlformats.org/markup-compatibility/2006">
          <mc:Choice Requires="x14">
            <control shapeId="12295" r:id="rId10" name="Check Box 7">
              <controlPr locked="0" defaultSize="0" autoFill="0" autoLine="0" autoPict="0">
                <anchor moveWithCells="1">
                  <from>
                    <xdr:col>1</xdr:col>
                    <xdr:colOff>152400</xdr:colOff>
                    <xdr:row>13</xdr:row>
                    <xdr:rowOff>57150</xdr:rowOff>
                  </from>
                  <to>
                    <xdr:col>1</xdr:col>
                    <xdr:colOff>419100</xdr:colOff>
                    <xdr:row>15</xdr:row>
                    <xdr:rowOff>66675</xdr:rowOff>
                  </to>
                </anchor>
              </controlPr>
            </control>
          </mc:Choice>
        </mc:AlternateContent>
        <mc:AlternateContent xmlns:mc="http://schemas.openxmlformats.org/markup-compatibility/2006">
          <mc:Choice Requires="x14">
            <control shapeId="12296" r:id="rId11" name="Check Box 8">
              <controlPr locked="0" defaultSize="0" autoFill="0" autoLine="0" autoPict="0">
                <anchor moveWithCells="1">
                  <from>
                    <xdr:col>2</xdr:col>
                    <xdr:colOff>142875</xdr:colOff>
                    <xdr:row>13</xdr:row>
                    <xdr:rowOff>57150</xdr:rowOff>
                  </from>
                  <to>
                    <xdr:col>2</xdr:col>
                    <xdr:colOff>409575</xdr:colOff>
                    <xdr:row>15</xdr:row>
                    <xdr:rowOff>66675</xdr:rowOff>
                  </to>
                </anchor>
              </controlPr>
            </control>
          </mc:Choice>
        </mc:AlternateContent>
        <mc:AlternateContent xmlns:mc="http://schemas.openxmlformats.org/markup-compatibility/2006">
          <mc:Choice Requires="x14">
            <control shapeId="12297" r:id="rId12" name="Check Box 9">
              <controlPr locked="0" defaultSize="0" autoFill="0" autoLine="0" autoPict="0">
                <anchor moveWithCells="1">
                  <from>
                    <xdr:col>1</xdr:col>
                    <xdr:colOff>152400</xdr:colOff>
                    <xdr:row>16</xdr:row>
                    <xdr:rowOff>66675</xdr:rowOff>
                  </from>
                  <to>
                    <xdr:col>1</xdr:col>
                    <xdr:colOff>419100</xdr:colOff>
                    <xdr:row>18</xdr:row>
                    <xdr:rowOff>76200</xdr:rowOff>
                  </to>
                </anchor>
              </controlPr>
            </control>
          </mc:Choice>
        </mc:AlternateContent>
        <mc:AlternateContent xmlns:mc="http://schemas.openxmlformats.org/markup-compatibility/2006">
          <mc:Choice Requires="x14">
            <control shapeId="12298" r:id="rId13" name="Check Box 10">
              <controlPr locked="0" defaultSize="0" autoFill="0" autoLine="0" autoPict="0">
                <anchor moveWithCells="1">
                  <from>
                    <xdr:col>2</xdr:col>
                    <xdr:colOff>161925</xdr:colOff>
                    <xdr:row>16</xdr:row>
                    <xdr:rowOff>66675</xdr:rowOff>
                  </from>
                  <to>
                    <xdr:col>2</xdr:col>
                    <xdr:colOff>428625</xdr:colOff>
                    <xdr:row>18</xdr:row>
                    <xdr:rowOff>76200</xdr:rowOff>
                  </to>
                </anchor>
              </controlPr>
            </control>
          </mc:Choice>
        </mc:AlternateContent>
        <mc:AlternateContent xmlns:mc="http://schemas.openxmlformats.org/markup-compatibility/2006">
          <mc:Choice Requires="x14">
            <control shapeId="12299" r:id="rId14" name="Check Box 11">
              <controlPr locked="0" defaultSize="0" autoFill="0" autoLine="0" autoPict="0">
                <anchor moveWithCells="1">
                  <from>
                    <xdr:col>1</xdr:col>
                    <xdr:colOff>142875</xdr:colOff>
                    <xdr:row>23</xdr:row>
                    <xdr:rowOff>9525</xdr:rowOff>
                  </from>
                  <to>
                    <xdr:col>1</xdr:col>
                    <xdr:colOff>409575</xdr:colOff>
                    <xdr:row>24</xdr:row>
                    <xdr:rowOff>57150</xdr:rowOff>
                  </to>
                </anchor>
              </controlPr>
            </control>
          </mc:Choice>
        </mc:AlternateContent>
        <mc:AlternateContent xmlns:mc="http://schemas.openxmlformats.org/markup-compatibility/2006">
          <mc:Choice Requires="x14">
            <control shapeId="12300" r:id="rId15" name="Check Box 12">
              <controlPr locked="0" defaultSize="0" autoFill="0" autoLine="0" autoPict="0">
                <anchor moveWithCells="1">
                  <from>
                    <xdr:col>2</xdr:col>
                    <xdr:colOff>161925</xdr:colOff>
                    <xdr:row>22</xdr:row>
                    <xdr:rowOff>47625</xdr:rowOff>
                  </from>
                  <to>
                    <xdr:col>2</xdr:col>
                    <xdr:colOff>428625</xdr:colOff>
                    <xdr:row>24</xdr:row>
                    <xdr:rowOff>57150</xdr:rowOff>
                  </to>
                </anchor>
              </controlPr>
            </control>
          </mc:Choice>
        </mc:AlternateContent>
        <mc:AlternateContent xmlns:mc="http://schemas.openxmlformats.org/markup-compatibility/2006">
          <mc:Choice Requires="x14">
            <control shapeId="12301" r:id="rId16" name="Check Box 13">
              <controlPr locked="0" defaultSize="0" autoFill="0" autoLine="0" autoPict="0">
                <anchor moveWithCells="1">
                  <from>
                    <xdr:col>1</xdr:col>
                    <xdr:colOff>142875</xdr:colOff>
                    <xdr:row>19</xdr:row>
                    <xdr:rowOff>57150</xdr:rowOff>
                  </from>
                  <to>
                    <xdr:col>1</xdr:col>
                    <xdr:colOff>409575</xdr:colOff>
                    <xdr:row>21</xdr:row>
                    <xdr:rowOff>66675</xdr:rowOff>
                  </to>
                </anchor>
              </controlPr>
            </control>
          </mc:Choice>
        </mc:AlternateContent>
        <mc:AlternateContent xmlns:mc="http://schemas.openxmlformats.org/markup-compatibility/2006">
          <mc:Choice Requires="x14">
            <control shapeId="12302" r:id="rId17" name="Check Box 14">
              <controlPr locked="0" defaultSize="0" autoFill="0" autoLine="0" autoPict="0">
                <anchor moveWithCells="1">
                  <from>
                    <xdr:col>2</xdr:col>
                    <xdr:colOff>152400</xdr:colOff>
                    <xdr:row>19</xdr:row>
                    <xdr:rowOff>57150</xdr:rowOff>
                  </from>
                  <to>
                    <xdr:col>2</xdr:col>
                    <xdr:colOff>419100</xdr:colOff>
                    <xdr:row>21</xdr:row>
                    <xdr:rowOff>66675</xdr:rowOff>
                  </to>
                </anchor>
              </controlPr>
            </control>
          </mc:Choice>
        </mc:AlternateContent>
        <mc:AlternateContent xmlns:mc="http://schemas.openxmlformats.org/markup-compatibility/2006">
          <mc:Choice Requires="x14">
            <control shapeId="12303" r:id="rId18" name="Check Box 15">
              <controlPr locked="0" defaultSize="0" autoFill="0" autoLine="0" autoPict="0">
                <anchor moveWithCells="1">
                  <from>
                    <xdr:col>1</xdr:col>
                    <xdr:colOff>142875</xdr:colOff>
                    <xdr:row>25</xdr:row>
                    <xdr:rowOff>66675</xdr:rowOff>
                  </from>
                  <to>
                    <xdr:col>1</xdr:col>
                    <xdr:colOff>409575</xdr:colOff>
                    <xdr:row>27</xdr:row>
                    <xdr:rowOff>57150</xdr:rowOff>
                  </to>
                </anchor>
              </controlPr>
            </control>
          </mc:Choice>
        </mc:AlternateContent>
        <mc:AlternateContent xmlns:mc="http://schemas.openxmlformats.org/markup-compatibility/2006">
          <mc:Choice Requires="x14">
            <control shapeId="12304" r:id="rId19" name="Check Box 16">
              <controlPr locked="0" defaultSize="0" autoFill="0" autoLine="0" autoPict="0">
                <anchor moveWithCells="1">
                  <from>
                    <xdr:col>2</xdr:col>
                    <xdr:colOff>161925</xdr:colOff>
                    <xdr:row>25</xdr:row>
                    <xdr:rowOff>66675</xdr:rowOff>
                  </from>
                  <to>
                    <xdr:col>2</xdr:col>
                    <xdr:colOff>428625</xdr:colOff>
                    <xdr:row>27</xdr:row>
                    <xdr:rowOff>57150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U133"/>
  <sheetViews>
    <sheetView topLeftCell="E100" workbookViewId="0">
      <selection activeCell="U116" sqref="U116"/>
    </sheetView>
  </sheetViews>
  <sheetFormatPr defaultColWidth="9" defaultRowHeight="12.75"/>
  <cols>
    <col min="1" max="1" width="15" style="61" customWidth="1"/>
    <col min="2" max="2" width="9.375" style="61" bestFit="1" customWidth="1"/>
    <col min="3" max="3" width="9.125" style="61" bestFit="1" customWidth="1"/>
    <col min="4" max="10" width="9" style="61"/>
    <col min="11" max="11" width="17.75" style="61" customWidth="1"/>
    <col min="12" max="20" width="9" style="61"/>
    <col min="21" max="21" width="17.375" style="61" bestFit="1" customWidth="1"/>
    <col min="22" max="16384" width="9" style="61"/>
  </cols>
  <sheetData>
    <row r="1" spans="1:21">
      <c r="A1" s="61" t="s">
        <v>311</v>
      </c>
    </row>
    <row r="2" spans="1:21">
      <c r="U2" s="119" t="s">
        <v>762</v>
      </c>
    </row>
    <row r="3" spans="1:21">
      <c r="A3" s="60" t="s">
        <v>312</v>
      </c>
      <c r="U3" s="119" t="s">
        <v>763</v>
      </c>
    </row>
    <row r="4" spans="1:21">
      <c r="A4" s="82"/>
      <c r="B4" s="83">
        <v>1</v>
      </c>
      <c r="C4" s="83">
        <v>2</v>
      </c>
      <c r="D4" s="83">
        <v>3</v>
      </c>
      <c r="E4" s="83">
        <v>4</v>
      </c>
      <c r="F4" s="83">
        <v>5</v>
      </c>
      <c r="G4" s="83">
        <v>6</v>
      </c>
      <c r="H4" s="83">
        <v>7</v>
      </c>
      <c r="I4" s="83">
        <v>8</v>
      </c>
      <c r="J4" s="83">
        <v>9</v>
      </c>
      <c r="K4" s="83">
        <v>10</v>
      </c>
      <c r="L4" s="83">
        <v>11</v>
      </c>
      <c r="M4" s="83">
        <v>12</v>
      </c>
      <c r="N4" s="61" t="s">
        <v>120</v>
      </c>
      <c r="U4" s="119" t="s">
        <v>764</v>
      </c>
    </row>
    <row r="5" spans="1:21">
      <c r="A5" s="84">
        <f>SUM(B5:M5)/12</f>
        <v>1</v>
      </c>
      <c r="B5" s="85">
        <v>1.1679999999999999</v>
      </c>
      <c r="C5" s="85">
        <v>1.1830000000000001</v>
      </c>
      <c r="D5" s="85">
        <v>1.163</v>
      </c>
      <c r="E5" s="85">
        <v>1.141</v>
      </c>
      <c r="F5" s="85">
        <v>1.079</v>
      </c>
      <c r="G5" s="85">
        <v>1.0069999999999999</v>
      </c>
      <c r="H5" s="85">
        <v>0.94699999999999995</v>
      </c>
      <c r="I5" s="85">
        <v>0.79100000000000004</v>
      </c>
      <c r="J5" s="85">
        <v>0.80600000000000005</v>
      </c>
      <c r="K5" s="85">
        <v>0.82099999999999995</v>
      </c>
      <c r="L5" s="85">
        <v>0.89300000000000002</v>
      </c>
      <c r="M5" s="85">
        <v>1.0009999999999999</v>
      </c>
      <c r="N5" s="61" t="s">
        <v>121</v>
      </c>
      <c r="U5" s="119" t="s">
        <v>191</v>
      </c>
    </row>
    <row r="6" spans="1:21">
      <c r="A6" s="84"/>
      <c r="B6" s="86"/>
      <c r="C6" s="86"/>
      <c r="D6" s="86"/>
      <c r="E6" s="86"/>
      <c r="F6" s="86"/>
      <c r="G6" s="86"/>
      <c r="H6" s="86"/>
      <c r="I6" s="86"/>
      <c r="J6" s="86"/>
      <c r="K6" s="86"/>
      <c r="L6" s="86"/>
      <c r="M6" s="86"/>
      <c r="U6" s="119" t="s">
        <v>765</v>
      </c>
    </row>
    <row r="7" spans="1:21">
      <c r="A7" s="84"/>
      <c r="B7" s="83" t="s">
        <v>107</v>
      </c>
      <c r="C7" s="83" t="s">
        <v>40</v>
      </c>
      <c r="D7" s="83" t="s">
        <v>41</v>
      </c>
      <c r="E7" s="83" t="s">
        <v>42</v>
      </c>
      <c r="F7" s="83" t="s">
        <v>108</v>
      </c>
      <c r="G7" s="83" t="s">
        <v>109</v>
      </c>
      <c r="H7" s="83" t="s">
        <v>110</v>
      </c>
      <c r="I7" s="83" t="s">
        <v>111</v>
      </c>
      <c r="J7" s="83" t="s">
        <v>112</v>
      </c>
      <c r="K7" s="83" t="s">
        <v>113</v>
      </c>
      <c r="L7" s="83" t="s">
        <v>114</v>
      </c>
      <c r="M7" s="83" t="s">
        <v>115</v>
      </c>
      <c r="U7" s="119" t="s">
        <v>766</v>
      </c>
    </row>
    <row r="8" spans="1:21">
      <c r="A8" s="93" t="s">
        <v>297</v>
      </c>
      <c r="B8" s="87">
        <f>HLOOKUP(IF(17-Calculations!$B$16&gt;12,17-Calculations!$B$16-12,17-Calculations!$B$16),$B$4:$M$5,2,FALSE)*((365/12)/30)</f>
        <v>1.1842222222222221</v>
      </c>
      <c r="C8" s="87">
        <f>HLOOKUP(IF(18-Calculations!$B$16&gt;12,18-Calculations!$B$16-12,18-Calculations!$B$16),$B$4:$M$5,2,FALSE)*((365/12)/31)</f>
        <v>1.1607392473118281</v>
      </c>
      <c r="D8" s="87">
        <f>HLOOKUP(IF(19-Calculations!$B$16&gt;12,19-Calculations!$B$16-12,19-Calculations!$B$16),$B$4:$M$5,2,FALSE)*((365/12)/30)</f>
        <v>1.1791527777777777</v>
      </c>
      <c r="E8" s="87">
        <f>HLOOKUP(IF(20-Calculations!$B$16&gt;12,20-Calculations!$B$16-12,20-Calculations!$B$16),$B$4:$M$5,2,FALSE)*((365/12)/31)</f>
        <v>1.1195295698924732</v>
      </c>
      <c r="F8" s="87">
        <f>HLOOKUP(IF(21-Calculations!$B$16&gt;12,21-Calculations!$B$16-12,21-Calculations!$B$16),$B$4:$M$5,2,FALSE)*((365/12)/31)</f>
        <v>1.0586962365591397</v>
      </c>
      <c r="G8" s="87">
        <f>HLOOKUP(IF(22-Calculations!$B$16&gt;12,22-Calculations!$B$16-12,22-Calculations!$B$16),$B$4:$M$5,2,FALSE)*((365/12)/30)</f>
        <v>1.0209861111111109</v>
      </c>
      <c r="H8" s="87">
        <f>HLOOKUP(IF(23-Calculations!$B$16&gt;12,23-Calculations!$B$16-12,23-Calculations!$B$16),$B$4:$M$5,2,FALSE)*((365/12)/31)</f>
        <v>0.92918010752688174</v>
      </c>
      <c r="I8" s="87">
        <f>HLOOKUP(IF(24-Calculations!$B$16&gt;12,24-Calculations!$B$16-12,24-Calculations!$B$16),$B$4:$M$5,2,FALSE)*((365/12)/30)</f>
        <v>0.80198611111111107</v>
      </c>
      <c r="J8" s="87">
        <f>HLOOKUP(IF(25-Calculations!$B$16&gt;12,25-Calculations!$B$16-12,25-Calculations!$B$16),$B$4:$M$5,2,FALSE)*((365/12)/31)</f>
        <v>0.79083333333333339</v>
      </c>
      <c r="K8" s="87">
        <f>HLOOKUP(IF(14-Calculations!$B$16&gt;12,14-Calculations!$B$16-12,14-Calculations!$B$16),$B$4:$M$5,2,FALSE)*((365/12)/31)</f>
        <v>0.8055510752688172</v>
      </c>
      <c r="L8" s="87">
        <f>HLOOKUP(IF(15-Calculations!$B$16&gt;12,15-Calculations!$B$16-12,15-Calculations!$B$16),$B$4:$M$5,2,FALSE)*((365/12)/28)</f>
        <v>0.97007440476190487</v>
      </c>
      <c r="M8" s="88">
        <f>HLOOKUP(IF(16-Calculations!$B$16&gt;12,16-Calculations!$B$16-12,16-Calculations!$B$16),$B$4:$M$5,2,FALSE)*((365/12)/31)</f>
        <v>0.98216397849462356</v>
      </c>
      <c r="R8" s="61" t="s">
        <v>504</v>
      </c>
      <c r="U8" s="119" t="s">
        <v>767</v>
      </c>
    </row>
    <row r="9" spans="1:21">
      <c r="A9" s="89">
        <f>SUM(B9:M9)/365</f>
        <v>1</v>
      </c>
      <c r="B9" s="90">
        <f>B8*30</f>
        <v>35.526666666666664</v>
      </c>
      <c r="C9" s="90">
        <f>C8*31</f>
        <v>35.982916666666668</v>
      </c>
      <c r="D9" s="90">
        <f>D8*30</f>
        <v>35.374583333333334</v>
      </c>
      <c r="E9" s="90">
        <f>E8*31</f>
        <v>34.705416666666672</v>
      </c>
      <c r="F9" s="90">
        <f>F8*31</f>
        <v>32.819583333333327</v>
      </c>
      <c r="G9" s="90">
        <f>G8*30</f>
        <v>30.629583333333329</v>
      </c>
      <c r="H9" s="90">
        <f>H8*31</f>
        <v>28.804583333333333</v>
      </c>
      <c r="I9" s="90">
        <f>I8*30</f>
        <v>24.059583333333332</v>
      </c>
      <c r="J9" s="90">
        <f>J8*31</f>
        <v>24.515833333333337</v>
      </c>
      <c r="K9" s="90">
        <f>K8*31</f>
        <v>24.972083333333334</v>
      </c>
      <c r="L9" s="90">
        <f>L8*28</f>
        <v>27.162083333333335</v>
      </c>
      <c r="M9" s="91">
        <f>M8*31</f>
        <v>30.447083333333332</v>
      </c>
      <c r="R9" s="61">
        <v>1</v>
      </c>
      <c r="U9" s="119" t="s">
        <v>192</v>
      </c>
    </row>
    <row r="10" spans="1:21">
      <c r="A10" s="92" t="s">
        <v>292</v>
      </c>
      <c r="B10" s="87">
        <f>HLOOKUP(IF(17-Calculations!$B$17&gt;12,17-Calculations!$B$17-12,17-Calculations!$B$17),$B$4:$M$5,2,FALSE)*((365/12)/30)</f>
        <v>0.96015277777777763</v>
      </c>
      <c r="C10" s="87">
        <f>HLOOKUP(IF(18-Calculations!$B$17&gt;12,18-Calculations!$B$17-12,18-Calculations!$B$17),$B$4:$M$5,2,FALSE)*((365/12)/31)</f>
        <v>0.77611559139784947</v>
      </c>
      <c r="D10" s="87">
        <f>HLOOKUP(IF(19-Calculations!$B$17&gt;12,19-Calculations!$B$17-12,19-Calculations!$B$17),$B$4:$M$5,2,FALSE)*((365/12)/30)</f>
        <v>0.81719444444444445</v>
      </c>
      <c r="E10" s="87">
        <f>HLOOKUP(IF(20-Calculations!$B$17&gt;12,20-Calculations!$B$17-12,20-Calculations!$B$17),$B$4:$M$5,2,FALSE)*((365/12)/31)</f>
        <v>0.8055510752688172</v>
      </c>
      <c r="F10" s="87">
        <f>HLOOKUP(IF(21-Calculations!$B$17&gt;12,21-Calculations!$B$17-12,21-Calculations!$B$17),$B$4:$M$5,2,FALSE)*((365/12)/31)</f>
        <v>0.87619623655913981</v>
      </c>
      <c r="G10" s="87">
        <f>HLOOKUP(IF(22-Calculations!$B$17&gt;12,22-Calculations!$B$17-12,22-Calculations!$B$17),$B$4:$M$5,2,FALSE)*((365/12)/30)</f>
        <v>1.0149027777777777</v>
      </c>
      <c r="H10" s="87">
        <f>HLOOKUP(IF(23-Calculations!$B$17&gt;12,23-Calculations!$B$17-12,23-Calculations!$B$17),$B$4:$M$5,2,FALSE)*((365/12)/31)</f>
        <v>1.1460215053763441</v>
      </c>
      <c r="I10" s="87">
        <f>HLOOKUP(IF(24-Calculations!$B$17&gt;12,24-Calculations!$B$17-12,24-Calculations!$B$17),$B$4:$M$5,2,FALSE)*((365/12)/30)</f>
        <v>1.1994305555555556</v>
      </c>
      <c r="J10" s="87">
        <f>HLOOKUP(IF(25-Calculations!$B$17&gt;12,25-Calculations!$B$17-12,25-Calculations!$B$17),$B$4:$M$5,2,FALSE)*((365/12)/31)</f>
        <v>1.1411155913978495</v>
      </c>
      <c r="K10" s="87">
        <f>HLOOKUP(IF(14-Calculations!$B$17&gt;12,14-Calculations!$B$17-12,14-Calculations!$B$17),$B$4:$M$5,2,FALSE)*((365/12)/31)</f>
        <v>1.1195295698924732</v>
      </c>
      <c r="L10" s="87">
        <f>HLOOKUP(IF(15-Calculations!$B$17&gt;12,15-Calculations!$B$17-12,15-Calculations!$B$17),$B$4:$M$5,2,FALSE)*((365/12)/28)</f>
        <v>1.1721279761904764</v>
      </c>
      <c r="M10" s="88">
        <f>HLOOKUP(IF(16-Calculations!$B$17&gt;12,16-Calculations!$B$17-12,16-Calculations!$B$17),$B$4:$M$5,2,FALSE)*((365/12)/31)</f>
        <v>0.98805107526881708</v>
      </c>
      <c r="R10" s="61">
        <v>2</v>
      </c>
      <c r="U10" s="119" t="s">
        <v>193</v>
      </c>
    </row>
    <row r="11" spans="1:21">
      <c r="A11" s="89">
        <f>SUM(B11:M11)/365</f>
        <v>1</v>
      </c>
      <c r="B11" s="90">
        <f>B10*30</f>
        <v>28.80458333333333</v>
      </c>
      <c r="C11" s="90">
        <f>C10*31</f>
        <v>24.059583333333332</v>
      </c>
      <c r="D11" s="90">
        <f>D10*30</f>
        <v>24.515833333333333</v>
      </c>
      <c r="E11" s="90">
        <f>E10*31</f>
        <v>24.972083333333334</v>
      </c>
      <c r="F11" s="90">
        <f>F10*31</f>
        <v>27.162083333333335</v>
      </c>
      <c r="G11" s="90">
        <f>G10*30</f>
        <v>30.447083333333332</v>
      </c>
      <c r="H11" s="90">
        <f>H10*31</f>
        <v>35.526666666666664</v>
      </c>
      <c r="I11" s="90">
        <f>I10*30</f>
        <v>35.982916666666668</v>
      </c>
      <c r="J11" s="90">
        <f>J10*31</f>
        <v>35.374583333333334</v>
      </c>
      <c r="K11" s="90">
        <f>K10*31</f>
        <v>34.705416666666672</v>
      </c>
      <c r="L11" s="90">
        <f>L10*28</f>
        <v>32.819583333333341</v>
      </c>
      <c r="M11" s="91">
        <f>M10*31</f>
        <v>30.629583333333329</v>
      </c>
      <c r="R11" s="61">
        <v>3</v>
      </c>
      <c r="U11" s="119" t="s">
        <v>768</v>
      </c>
    </row>
    <row r="12" spans="1:21">
      <c r="A12" s="92" t="s">
        <v>293</v>
      </c>
      <c r="B12" s="87">
        <f>HLOOKUP(IF(17-Calculations!$B$18&gt;12,17-Calculations!$B$18-12,17-Calculations!$B$18),$B$4:$M$5,2,FALSE)*((365/12)/30)</f>
        <v>1.1842222222222221</v>
      </c>
      <c r="C12" s="87">
        <f>HLOOKUP(IF(18-Calculations!$B$18&gt;12,18-Calculations!$B$18-12,18-Calculations!$B$18),$B$4:$M$5,2,FALSE)*((365/12)/31)</f>
        <v>1.1607392473118281</v>
      </c>
      <c r="D12" s="87">
        <f>HLOOKUP(IF(19-Calculations!$B$18&gt;12,19-Calculations!$B$18-12,19-Calculations!$B$18),$B$4:$M$5,2,FALSE)*((365/12)/30)</f>
        <v>1.1791527777777777</v>
      </c>
      <c r="E12" s="87">
        <f>HLOOKUP(IF(20-Calculations!$B$18&gt;12,20-Calculations!$B$18-12,20-Calculations!$B$18),$B$4:$M$5,2,FALSE)*((365/12)/31)</f>
        <v>1.1195295698924732</v>
      </c>
      <c r="F12" s="87">
        <f>HLOOKUP(IF(21-Calculations!$B$18&gt;12,21-Calculations!$B$18-12,21-Calculations!$B$18),$B$4:$M$5,2,FALSE)*((365/12)/31)</f>
        <v>1.0586962365591397</v>
      </c>
      <c r="G12" s="87">
        <f>HLOOKUP(IF(22-Calculations!$B$18&gt;12,22-Calculations!$B$18-12,22-Calculations!$B$18),$B$4:$M$5,2,FALSE)*((365/12)/30)</f>
        <v>1.0209861111111109</v>
      </c>
      <c r="H12" s="87">
        <f>HLOOKUP(IF(23-Calculations!$B$18&gt;12,23-Calculations!$B$18-12,23-Calculations!$B$18),$B$4:$M$5,2,FALSE)*((365/12)/31)</f>
        <v>0.92918010752688174</v>
      </c>
      <c r="I12" s="87">
        <f>HLOOKUP(IF(24-Calculations!$B$18&gt;12,24-Calculations!$B$18-12,24-Calculations!$B$18),$B$4:$M$5,2,FALSE)*((365/12)/30)</f>
        <v>0.80198611111111107</v>
      </c>
      <c r="J12" s="87">
        <f>HLOOKUP(IF(25-Calculations!$B$18&gt;12,25-Calculations!$B$18-12,25-Calculations!$B$18),$B$4:$M$5,2,FALSE)*((365/12)/31)</f>
        <v>0.79083333333333339</v>
      </c>
      <c r="K12" s="87">
        <f>HLOOKUP(IF(14-Calculations!$B$18&gt;12,14-Calculations!$B$18-12,14-Calculations!$B$18),$B$4:$M$5,2,FALSE)*((365/12)/31)</f>
        <v>0.8055510752688172</v>
      </c>
      <c r="L12" s="87">
        <f>HLOOKUP(IF(15-Calculations!$B$18&gt;12,15-Calculations!$B$18-12,15-Calculations!$B$18),$B$4:$M$5,2,FALSE)*((365/12)/28)</f>
        <v>0.97007440476190487</v>
      </c>
      <c r="M12" s="88">
        <f>HLOOKUP(IF(16-Calculations!$B$18&gt;12,16-Calculations!$B$18-12,16-Calculations!$B$18),$B$4:$M$5,2,FALSE)*((365/12)/31)</f>
        <v>0.98216397849462356</v>
      </c>
      <c r="R12" s="61">
        <v>4</v>
      </c>
      <c r="U12" s="119" t="s">
        <v>194</v>
      </c>
    </row>
    <row r="13" spans="1:21">
      <c r="A13" s="89">
        <f>SUM(B13:M13)/365</f>
        <v>1</v>
      </c>
      <c r="B13" s="90">
        <f>B12*30</f>
        <v>35.526666666666664</v>
      </c>
      <c r="C13" s="90">
        <f>C12*31</f>
        <v>35.982916666666668</v>
      </c>
      <c r="D13" s="90">
        <f>D12*30</f>
        <v>35.374583333333334</v>
      </c>
      <c r="E13" s="90">
        <f>E12*31</f>
        <v>34.705416666666672</v>
      </c>
      <c r="F13" s="90">
        <f>F12*31</f>
        <v>32.819583333333327</v>
      </c>
      <c r="G13" s="90">
        <f>G12*30</f>
        <v>30.629583333333329</v>
      </c>
      <c r="H13" s="90">
        <f>H12*31</f>
        <v>28.804583333333333</v>
      </c>
      <c r="I13" s="90">
        <f>I12*30</f>
        <v>24.059583333333332</v>
      </c>
      <c r="J13" s="90">
        <f>J12*31</f>
        <v>24.515833333333337</v>
      </c>
      <c r="K13" s="90">
        <f>K12*31</f>
        <v>24.972083333333334</v>
      </c>
      <c r="L13" s="90">
        <f>L12*28</f>
        <v>27.162083333333335</v>
      </c>
      <c r="M13" s="91">
        <f>M12*31</f>
        <v>30.447083333333332</v>
      </c>
      <c r="R13" s="61">
        <v>5</v>
      </c>
      <c r="U13" s="119" t="s">
        <v>195</v>
      </c>
    </row>
    <row r="14" spans="1:21">
      <c r="R14" s="61">
        <v>6</v>
      </c>
      <c r="U14" s="119" t="s">
        <v>196</v>
      </c>
    </row>
    <row r="15" spans="1:21">
      <c r="A15" s="94" t="s">
        <v>298</v>
      </c>
      <c r="B15" s="95"/>
      <c r="C15" s="95"/>
      <c r="D15" s="95"/>
      <c r="E15" s="95"/>
      <c r="F15" s="96"/>
      <c r="R15" s="61">
        <v>7</v>
      </c>
      <c r="U15" s="119" t="s">
        <v>197</v>
      </c>
    </row>
    <row r="16" spans="1:21">
      <c r="A16" s="97" t="s">
        <v>297</v>
      </c>
      <c r="B16" s="98">
        <v>4</v>
      </c>
      <c r="C16" s="68" t="s">
        <v>294</v>
      </c>
      <c r="D16" s="68"/>
      <c r="E16" s="68"/>
      <c r="F16" s="99"/>
      <c r="R16" s="61">
        <v>8</v>
      </c>
      <c r="U16" s="119" t="s">
        <v>769</v>
      </c>
    </row>
    <row r="17" spans="1:21">
      <c r="A17" s="97" t="s">
        <v>292</v>
      </c>
      <c r="B17" s="98">
        <v>10</v>
      </c>
      <c r="C17" s="68" t="s">
        <v>295</v>
      </c>
      <c r="D17" s="68"/>
      <c r="E17" s="68"/>
      <c r="F17" s="99"/>
      <c r="R17" s="61">
        <v>9</v>
      </c>
      <c r="U17" s="119" t="s">
        <v>770</v>
      </c>
    </row>
    <row r="18" spans="1:21">
      <c r="A18" s="100" t="s">
        <v>293</v>
      </c>
      <c r="B18" s="101">
        <v>4</v>
      </c>
      <c r="C18" s="90" t="s">
        <v>296</v>
      </c>
      <c r="D18" s="90"/>
      <c r="E18" s="90"/>
      <c r="F18" s="102"/>
      <c r="R18" s="61">
        <v>10</v>
      </c>
      <c r="U18" s="119" t="s">
        <v>198</v>
      </c>
    </row>
    <row r="19" spans="1:21">
      <c r="R19" s="61">
        <v>11</v>
      </c>
      <c r="U19" s="119" t="s">
        <v>771</v>
      </c>
    </row>
    <row r="20" spans="1:21">
      <c r="A20" s="60" t="s">
        <v>56</v>
      </c>
      <c r="R20" s="61">
        <v>12</v>
      </c>
      <c r="U20" s="119" t="s">
        <v>199</v>
      </c>
    </row>
    <row r="21" spans="1:21">
      <c r="U21" s="119" t="s">
        <v>772</v>
      </c>
    </row>
    <row r="22" spans="1:21">
      <c r="A22" s="103" t="s">
        <v>107</v>
      </c>
      <c r="B22" s="104" t="s">
        <v>40</v>
      </c>
      <c r="C22" s="104" t="s">
        <v>41</v>
      </c>
      <c r="D22" s="104" t="s">
        <v>42</v>
      </c>
      <c r="E22" s="104" t="s">
        <v>108</v>
      </c>
      <c r="F22" s="104" t="s">
        <v>109</v>
      </c>
      <c r="G22" s="104" t="s">
        <v>110</v>
      </c>
      <c r="H22" s="104" t="s">
        <v>111</v>
      </c>
      <c r="I22" s="104" t="s">
        <v>112</v>
      </c>
      <c r="J22" s="104" t="s">
        <v>113</v>
      </c>
      <c r="K22" s="104" t="s">
        <v>114</v>
      </c>
      <c r="L22" s="104" t="s">
        <v>115</v>
      </c>
      <c r="M22" s="105"/>
      <c r="N22" s="105"/>
      <c r="O22" s="106"/>
      <c r="U22" s="119" t="s">
        <v>200</v>
      </c>
    </row>
    <row r="23" spans="1:21">
      <c r="A23" s="107">
        <v>30</v>
      </c>
      <c r="B23" s="108">
        <v>31</v>
      </c>
      <c r="C23" s="108">
        <v>30</v>
      </c>
      <c r="D23" s="108">
        <v>31</v>
      </c>
      <c r="E23" s="108">
        <v>31</v>
      </c>
      <c r="F23" s="108">
        <v>30</v>
      </c>
      <c r="G23" s="108">
        <v>31</v>
      </c>
      <c r="H23" s="108">
        <v>30</v>
      </c>
      <c r="I23" s="108">
        <v>31</v>
      </c>
      <c r="J23" s="108">
        <v>31</v>
      </c>
      <c r="K23" s="108">
        <v>28</v>
      </c>
      <c r="L23" s="108">
        <v>31</v>
      </c>
      <c r="M23" s="90" t="s">
        <v>116</v>
      </c>
      <c r="N23" s="90"/>
      <c r="O23" s="91"/>
      <c r="U23" s="119" t="s">
        <v>773</v>
      </c>
    </row>
    <row r="24" spans="1:21">
      <c r="A24" s="109">
        <f>IF(Calculations!$D34=4,0,IF(Calculations!$D34&lt;Calculations!$D35, IF(Calculations!$D34&lt;4,IF(Calculations!$D35&gt;=4,L23+L24,0),0),IF(Calculations!$D34&gt;Calculations!$D35,IF(Calculations!$D35&gt;=4,L23+L24,IF(Calculations!$D34&lt;=4,L23+L24,0)),0)))</f>
        <v>0</v>
      </c>
      <c r="B24" s="110">
        <f>IF(Calculations!$D34=5,0,IF(Calculations!$D34&lt;Calculations!$D35, IF(Calculations!$D34&lt;5,IF(Calculations!$D35&gt;=5,A23+A24,0),0),IF(Calculations!$D34&gt;Calculations!$D35,IF(Calculations!$D35&gt;=5,A23+A24,IF(Calculations!$D34&lt;=5,A23+A24,0)),0)))</f>
        <v>30</v>
      </c>
      <c r="C24" s="110">
        <f>IF(Calculations!$D34=6,0,IF(Calculations!$D34&lt;Calculations!$D35, IF(Calculations!$D34&lt;6,IF(Calculations!$D35&gt;=6,B23+B24,0),0),IF(Calculations!$D34&gt;Calculations!$D35,IF(Calculations!$D35&gt;=6,B23+B24,IF(Calculations!$D34&lt;=6,B23+B24,0)),0)))</f>
        <v>61</v>
      </c>
      <c r="D24" s="110">
        <f>IF(Calculations!$D34=7,0,IF(Calculations!$D34&lt;Calculations!$D35, IF(Calculations!$D34&lt;7,IF(Calculations!$D35&gt;=7,C23+C24,0),0),IF(Calculations!$D34&gt;Calculations!$D35,IF(Calculations!$D35&gt;=7,C23+C24,IF(Calculations!$D34&lt;=7,C23+C24,0)),0)))</f>
        <v>91</v>
      </c>
      <c r="E24" s="110">
        <f>IF(Calculations!$D34=8,0,IF(Calculations!$D34&lt;Calculations!$D35, IF(Calculations!$D34&lt;8,IF(Calculations!$D35&gt;=8,D23+D24,0),0),IF(Calculations!$D34&gt;Calculations!$D35,IF(Calculations!$D35&gt;=8,D23+D24,IF(Calculations!$D34&lt;=8,D23+D24,0)),0)))</f>
        <v>0</v>
      </c>
      <c r="F24" s="110">
        <f>IF(Calculations!$D34=9,0,IF(Calculations!$D34&lt;Calculations!$D35, IF(Calculations!$D34&lt;9,IF(Calculations!$D35&gt;=9,E23+E24,0),0),IF(Calculations!$D34&gt;Calculations!$D35,IF(Calculations!$D35&gt;=9,E23+E24,IF(Calculations!$D34&lt;=9,E23+E24,0)),0)))</f>
        <v>0</v>
      </c>
      <c r="G24" s="110">
        <f>IF(Calculations!$D34=10,0,IF(Calculations!$D34&lt;Calculations!$D35, IF(Calculations!$D34&lt;10,IF(Calculations!$D35&gt;=10,F23+F24,0),0),IF(Calculations!$D34&gt;Calculations!$D35,IF(Calculations!$D35&gt;=10,F23+F24,IF(Calculations!$D34&lt;=10,F23+F24,0)),0)))</f>
        <v>0</v>
      </c>
      <c r="H24" s="110">
        <f>IF(Calculations!$D34=11,0,IF(Calculations!$D34&lt;Calculations!$D35, IF(Calculations!$D34&lt;11,IF(Calculations!$D35&gt;=11,G23+G24,0),0),IF(Calculations!$D34&gt;Calculations!$D35,IF(Calculations!$D35&gt;=11,G23+G24,IF(Calculations!$D34&lt;=11,G23+G24,0)),0)))</f>
        <v>0</v>
      </c>
      <c r="I24" s="110">
        <f>IF(Calculations!$D34=12,0,IF(Calculations!$D34&lt;Calculations!$D35, IF(Calculations!$D34&lt;12,IF(Calculations!$D35&gt;=12,H23+H24,0),0),IF(Calculations!$D34&gt;Calculations!$D35,IF(Calculations!$D35&gt;=12,H23+H24,IF(Calculations!$D34&lt;=12,H23+H24,0)),0)))</f>
        <v>0</v>
      </c>
      <c r="J24" s="110">
        <f>IF(Calculations!$D34=1,0,IF(Calculations!$D34&lt;Calculations!$D35, IF(Calculations!$D34&lt;1,IF(Calculations!$D35&gt;=1,I23+I24,0),0),IF(Calculations!$D34&gt;Calculations!$D35,IF(Calculations!$D35&gt;=1,I23+I24,IF(Calculations!$D34&lt;=1,I23+I24,0)),0)))</f>
        <v>0</v>
      </c>
      <c r="K24" s="110">
        <f>IF(Calculations!$D34=2,0,IF(Calculations!$D34&lt;Calculations!$D35, IF(Calculations!$D34&lt;2,IF(Calculations!$D35&gt;=2,J23+J24,0),0),IF(Calculations!$D34&gt;Calculations!$D35,IF(Calculations!$D35&gt;=2,J23+J24,IF(Calculations!$D34&lt;=2,J23+J24,0)),0)))</f>
        <v>0</v>
      </c>
      <c r="L24" s="110">
        <f>IF(Calculations!$D34=3,0,IF(Calculations!$D34&lt;Calculations!$D35, IF(Calculations!$D34&lt;3,IF(Calculations!$D35&gt;=3,K23+K24,0),0),IF(Calculations!$D34&gt;Calculations!$D35,IF(Calculations!$D35&gt;=3,K23+K24,IF(Calculations!$D34&lt;=3,K23+K24,0)),0)))</f>
        <v>0</v>
      </c>
      <c r="M24" s="105" t="s">
        <v>300</v>
      </c>
      <c r="N24" s="105" t="s">
        <v>117</v>
      </c>
      <c r="O24" s="106"/>
      <c r="U24" s="119" t="s">
        <v>774</v>
      </c>
    </row>
    <row r="25" spans="1:21">
      <c r="A25" s="111">
        <f>IF(Calculations!$D34&lt;Calculations!$D35,IF(Calculations!$D34&lt;=4,IF(Calculations!$D35&gt;=4,((2*(Calculations!$D32+(A24*Calculations!$D33))+Calculations!$D33*A23)/2),0),0),IF(Calculations!$D34&gt;Calculations!$D35,IF(Calculations!$D34&lt;=4,((2*(Calculations!$D32+(A24*Calculations!$D33))+Calculations!$D33*A23)/2),IF(Calculations!$D35&gt;=4,((2*(Calculations!$D32+(A24*Calculations!$D33))+Calculations!$D33*A23)/2),0))))</f>
        <v>415</v>
      </c>
      <c r="B25" s="112">
        <f>IF(Calculations!$D34&lt;Calculations!$D35,IF(Calculations!$D34&lt;=5,IF(Calculations!$D35&gt;=5,((2*(Calculations!$D32+(B24*Calculations!$D33))+Calculations!$D33*B23)/2),0),0),IF(Calculations!$D34&gt;Calculations!$D35,IF(Calculations!$D34&lt;=5,((2*(Calculations!$D32+(B24*Calculations!$D33))+Calculations!$D33*B23)/2),IF(Calculations!$D35&gt;=5,((2*(Calculations!$D32+(B24*Calculations!$D33))+Calculations!$D33*B23)/2),0))))</f>
        <v>445.5</v>
      </c>
      <c r="C25" s="112">
        <f>IF(Calculations!$D34&lt;Calculations!$D35,IF(Calculations!$D34&lt;=6,IF(Calculations!$D35&gt;=6,((2*(Calculations!$D32+(C24*Calculations!$D33))+Calculations!$D33*C23)/2),0),0),IF(Calculations!$D34&gt;Calculations!$D35,IF(Calculations!$D34&lt;=6,((2*(Calculations!$D32+(C24*Calculations!$D33))+Calculations!$D33*C23)/2),IF(Calculations!$D35&gt;=6,((2*(Calculations!$D32+(C24*Calculations!$D33))+Calculations!$D33*C23)/2),0))))</f>
        <v>476</v>
      </c>
      <c r="D25" s="112">
        <f>IF(Calculations!$D34&lt;Calculations!$D35,IF(Calculations!$D34&lt;=7,IF(Calculations!$D35&gt;=7,((2*(Calculations!$D32+(D24*Calculations!$D33))+Calculations!$D33*D23)/2),0),0),IF(Calculations!$D34&gt;Calculations!$D35,IF(Calculations!$D34&lt;=7,((2*(Calculations!$D32+(D24*Calculations!$D33))+Calculations!$D33*D23)/2),IF(Calculations!$D35&gt;=7,((2*(Calculations!$D32+(D24*Calculations!$D33))+Calculations!$D33*D23)/2),0))))</f>
        <v>506.5</v>
      </c>
      <c r="E25" s="112">
        <f>IF(Calculations!$D34&lt;Calculations!$D35,IF(Calculations!$D34&lt;=8,IF(Calculations!$D35&gt;=8,((2*(Calculations!$D32+(E24*Calculations!$D33))+Calculations!$D33*E23)/2),0),0),IF(Calculations!$D34&gt;Calculations!$D35,IF(Calculations!$D34&lt;=8,((2*(Calculations!$D32+(E24*Calculations!$D33))+Calculations!$D33*E23)/2),IF(Calculations!$D35&gt;=8,((2*(Calculations!$D32+(E24*Calculations!$D33))+Calculations!$D33*E23)/2),0))))</f>
        <v>0</v>
      </c>
      <c r="F25" s="112">
        <f>IF(Calculations!$D34&lt;Calculations!$D35,IF(Calculations!$D34&lt;=9,IF(Calculations!$D35&gt;=9,((2*(Calculations!$D32+(F24*Calculations!$D33))+Calculations!$D33*F23)/2),0),0),IF(Calculations!$D34&gt;Calculations!$D35,IF(Calculations!$D34&lt;=9,((2*(Calculations!$D32+(F24*Calculations!$D33))+Calculations!$D33*F23)/2),IF(Calculations!$D35&gt;=9,((2*(Calculations!$D32+(F24*Calculations!$D33))+Calculations!$D33*F23)/2),0))))</f>
        <v>0</v>
      </c>
      <c r="G25" s="112">
        <f>IF(Calculations!$D34&lt;Calculations!$D35,IF(Calculations!$D34&lt;=10,IF(Calculations!$D35&gt;=10,((2*(Calculations!$D32+(G24*Calculations!$D33))+Calculations!$D33*G23)/2),0),0),IF(Calculations!$D34&gt;Calculations!$D35,IF(Calculations!$D34&lt;=10,((2*(Calculations!$D32+(G24*Calculations!$D33))+Calculations!$D33*G23)/2),IF(Calculations!$D35&gt;=10,((2*(Calculations!$D32+(G24*Calculations!$D33))+Calculations!$D33*G23)/2),0))))</f>
        <v>0</v>
      </c>
      <c r="H25" s="112">
        <f>IF(Calculations!$D34&lt;Calculations!$D35,IF(Calculations!$D34&lt;=11,IF(Calculations!$D35&gt;=11,((2*(Calculations!$D32+(H24*Calculations!$D33))+Calculations!$D33*H23)/2),0),0),IF(Calculations!$D34&gt;Calculations!$D35,IF(Calculations!$D34&lt;=11,((2*(Calculations!$D32+(H24*Calculations!$D33))+Calculations!$D33*H23)/2),IF(Calculations!$D35&gt;=11,((2*(Calculations!$D32+(H24*Calculations!$D33))+Calculations!$D33*H23)/2),0))))</f>
        <v>0</v>
      </c>
      <c r="I25" s="112">
        <f>IF(Calculations!$D34&lt;Calculations!$D35,IF(Calculations!$D34&lt;=12,IF(Calculations!$D35&gt;=12,((2*(Calculations!$D32+(I24*Calculations!$D33))+Calculations!$D33*I23)/2),0),0),IF(Calculations!$D34&gt;Calculations!$D35,IF(Calculations!$D34&lt;=12,((2*(Calculations!$D32+(I24*Calculations!$D33))+Calculations!$D33*I23)/2),IF(Calculations!$D35&gt;=12,((2*(Calculations!$D32+(I24*Calculations!$D33))+Calculations!$D33*I23)/2),0))))</f>
        <v>0</v>
      </c>
      <c r="J25" s="112">
        <f>IF(Calculations!$D34&lt;Calculations!$D35,IF(Calculations!$D34&lt;=1,IF(Calculations!$D35&gt;=1,((2*(Calculations!$D32+(J24*Calculations!$D33))+Calculations!$D33*J23)/2),0),0),IF(Calculations!$D34&gt;Calculations!$D35,IF(Calculations!$D34&lt;=1,((2*(Calculations!$D32+(J24*Calculations!$D33))+Calculations!$D33*J23)/2),IF(Calculations!$D35&gt;=1,((2*(Calculations!$D32+(J24*Calculations!$D33))+Calculations!$D33*J23)/2),0))))</f>
        <v>0</v>
      </c>
      <c r="K25" s="112">
        <f>IF(Calculations!$D34&lt;Calculations!$D35,IF(Calculations!$D34&lt;=2,IF(Calculations!$D35&gt;=2,((2*(Calculations!$D32+(K24*Calculations!$D33))+Calculations!$D33*K23)/2),0),0),IF(Calculations!$D34&gt;Calculations!$D35,IF(Calculations!$D34&lt;=2,((2*(Calculations!$D32+(K24*Calculations!$D33))+Calculations!$D33*K23)/2),IF(Calculations!$D35&gt;=2,((2*(Calculations!$D32+(K24*Calculations!$D33))+Calculations!$D33*K23)/2),0))))</f>
        <v>0</v>
      </c>
      <c r="L25" s="112">
        <f>IF(Calculations!$D34&lt;Calculations!$D35,IF(Calculations!$D34&lt;=3,IF(Calculations!$D35&gt;=3,((2*(Calculations!$D32+(L24*Calculations!$D33))+Calculations!$D33*L23)/2),0),0),IF(Calculations!$D34&gt;Calculations!$D35,IF(Calculations!$D34&lt;=3,((2*(Calculations!$D32+(L24*Calculations!$D33))+Calculations!$D33*L23)/2),IF(Calculations!$D35&gt;=3,((2*(Calculations!$D32+(L24*Calculations!$D33))+Calculations!$D33*L23)/2),0))))</f>
        <v>0</v>
      </c>
      <c r="M25" s="68" t="s">
        <v>300</v>
      </c>
      <c r="N25" s="68" t="s">
        <v>118</v>
      </c>
      <c r="O25" s="113"/>
      <c r="U25" s="119" t="s">
        <v>775</v>
      </c>
    </row>
    <row r="26" spans="1:21">
      <c r="A26" s="107">
        <f t="shared" ref="A26:L26" si="0">IF(A25&gt;0,A24+A23,0)</f>
        <v>30</v>
      </c>
      <c r="B26" s="108">
        <f t="shared" si="0"/>
        <v>61</v>
      </c>
      <c r="C26" s="108">
        <f t="shared" si="0"/>
        <v>91</v>
      </c>
      <c r="D26" s="108">
        <f t="shared" si="0"/>
        <v>122</v>
      </c>
      <c r="E26" s="108">
        <f t="shared" si="0"/>
        <v>0</v>
      </c>
      <c r="F26" s="108">
        <f t="shared" si="0"/>
        <v>0</v>
      </c>
      <c r="G26" s="108">
        <f t="shared" si="0"/>
        <v>0</v>
      </c>
      <c r="H26" s="108">
        <f t="shared" si="0"/>
        <v>0</v>
      </c>
      <c r="I26" s="108">
        <f t="shared" si="0"/>
        <v>0</v>
      </c>
      <c r="J26" s="108">
        <f t="shared" si="0"/>
        <v>0</v>
      </c>
      <c r="K26" s="108">
        <f t="shared" si="0"/>
        <v>0</v>
      </c>
      <c r="L26" s="108">
        <f t="shared" si="0"/>
        <v>0</v>
      </c>
      <c r="M26" s="90" t="s">
        <v>300</v>
      </c>
      <c r="N26" s="90" t="s">
        <v>119</v>
      </c>
      <c r="O26" s="91"/>
      <c r="U26" s="119" t="s">
        <v>776</v>
      </c>
    </row>
    <row r="27" spans="1:21">
      <c r="A27" s="109">
        <f>IF(Calculations!$D39=4,0,IF(Calculations!$D39&lt;Calculations!$D40, IF(Calculations!$D39&lt;4,IF(Calculations!$D40&gt;=4,L23+L27,0),0),IF(Calculations!$D39&gt;Calculations!$D40,IF(Calculations!$D40&gt;=4,L23+L27,IF(Calculations!$D39&lt;=4,L23+L27,0)),0)))</f>
        <v>0</v>
      </c>
      <c r="B27" s="110">
        <f>IF(Calculations!$D39=5,0,IF(Calculations!$D39&lt;Calculations!$D40, IF(Calculations!$D39&lt;5,IF(Calculations!$D40&gt;=5,A23+A27,0),0),IF(Calculations!$D39&gt;Calculations!$D40,IF(Calculations!$D40&gt;=5,A23+A27,IF(Calculations!$D39&lt;=5,A23+A27,0)),0)))</f>
        <v>0</v>
      </c>
      <c r="C27" s="110">
        <f>IF(Calculations!$D39=6,0,IF(Calculations!$D39&lt;Calculations!$D40, IF(Calculations!$D39&lt;6,IF(Calculations!$D40&gt;=6,B23+B27,0),0),IF(Calculations!$D39&gt;Calculations!$D40,IF(Calculations!$D40&gt;=6,B23+B27,IF(Calculations!$D39&lt;=6,B23+B27,0)),0)))</f>
        <v>0</v>
      </c>
      <c r="D27" s="110">
        <f>IF(Calculations!$D39=7,0,IF(Calculations!$D39&lt;Calculations!$D40, IF(Calculations!$D39&lt;7,IF(Calculations!$D40&gt;=7,C23+C27,0),0),IF(Calculations!$D39&gt;Calculations!$D40,IF(Calculations!$D40&gt;=7,C23+C27,IF(Calculations!$D39&lt;=7,C23+C27,0)),0)))</f>
        <v>0</v>
      </c>
      <c r="E27" s="110">
        <f>IF(Calculations!$D39=8,0,IF(Calculations!$D39&lt;Calculations!$D40, IF(Calculations!$D39&lt;8,IF(Calculations!$D40&gt;=8,D23+D27,0),0),IF(Calculations!$D39&gt;Calculations!$D40,IF(Calculations!$D40&gt;=8,D23+D27,IF(Calculations!$D39&lt;=8,D23+D27,0)),0)))</f>
        <v>0</v>
      </c>
      <c r="F27" s="110">
        <f>IF(Calculations!$D39=9,0,IF(Calculations!$D39&lt;Calculations!$D40, IF(Calculations!$D39&lt;9,IF(Calculations!$D40&gt;=9,E23+E27,0),0),IF(Calculations!$D39&gt;Calculations!$D40,IF(Calculations!$D40&gt;=9,E23+E27,IF(Calculations!$D39&lt;=9,E23+E27,0)),0)))</f>
        <v>0</v>
      </c>
      <c r="G27" s="110">
        <f>IF(Calculations!$D39=10,0,IF(Calculations!$D39&lt;Calculations!$D40, IF(Calculations!$D39&lt;10,IF(Calculations!$D40&gt;=10,F23+F27,0),0),IF(Calculations!$D39&gt;Calculations!$D40,IF(Calculations!$D40&gt;=10,F23+F27,IF(Calculations!$D39&lt;=10,F23+F27,0)),0)))</f>
        <v>30</v>
      </c>
      <c r="H27" s="110">
        <f>IF(Calculations!$D39=11,0,IF(Calculations!$D39&lt;Calculations!$D40, IF(Calculations!$D39&lt;11,IF(Calculations!$D40&gt;=11,G23+G27,0),0),IF(Calculations!$D39&gt;Calculations!$D40,IF(Calculations!$D40&gt;=11,G23+G27,IF(Calculations!$D39&lt;=11,G23+G27,0)),0)))</f>
        <v>61</v>
      </c>
      <c r="I27" s="110">
        <f>IF(Calculations!$D39=12,0,IF(Calculations!$D39&lt;Calculations!$D40, IF(Calculations!$D39&lt;12,IF(Calculations!$D40&gt;=12,H23+H27,0),0),IF(Calculations!$D39&gt;Calculations!$D40,IF(Calculations!$D40&gt;=12,H23+H27,IF(Calculations!$D39&lt;=12,H23+H27,0)),0)))</f>
        <v>0</v>
      </c>
      <c r="J27" s="110">
        <f>IF(Calculations!$D39=1,0,IF(Calculations!$D39&lt;Calculations!$D40, IF(Calculations!$D39&lt;1,IF(Calculations!$D40&gt;=1,I23+I27,0),0),IF(Calculations!$D39&gt;Calculations!$D40,IF(Calculations!$D40&gt;=1,I23+I27,IF(Calculations!$D39&lt;=1,I23+I27,0)),0)))</f>
        <v>0</v>
      </c>
      <c r="K27" s="110">
        <f>IF(Calculations!$D39=2,0,IF(Calculations!$D39&lt;Calculations!$D40, IF(Calculations!$D39&lt;2,IF(Calculations!$D40&gt;=2,J23+J27,0),0),IF(Calculations!$D39&gt;Calculations!$D40,IF(Calculations!$D40&gt;=2,J23+J27,IF(Calculations!$D39&lt;=2,J23+J27,0)),0)))</f>
        <v>0</v>
      </c>
      <c r="L27" s="110">
        <f>IF(Calculations!$D39=3,0,IF(Calculations!$D39&lt;Calculations!$D40, IF(Calculations!$D39&lt;3,IF(Calculations!$D40&gt;=3,K23+K27,0),0),IF(Calculations!$D39&gt;Calculations!$D40,IF(Calculations!$D40&gt;=3,K23+K27,IF(Calculations!$D39&lt;=3,K23+K27,0)),0)))</f>
        <v>0</v>
      </c>
      <c r="M27" s="105" t="s">
        <v>305</v>
      </c>
      <c r="N27" s="105" t="s">
        <v>117</v>
      </c>
      <c r="O27" s="106"/>
      <c r="U27" s="119" t="s">
        <v>777</v>
      </c>
    </row>
    <row r="28" spans="1:21">
      <c r="A28" s="114">
        <f>IF(Calculations!$D39&lt;Calculations!$D40,IF(Calculations!$D39&lt;=4,IF(Calculations!$D40&gt;=4,((2*(Calculations!$D37+(A27*Calculations!$D38))+Calculations!$D38*A23)/2),0),0),IF(Calculations!$D39&gt;Calculations!$D40,IF(Calculations!$D39&lt;=4,((2*(Calculations!$D37+(A27*Calculations!$D38))+Calculations!$D38*A23)/2),IF(Calculations!$D40&gt;=4,((2*(Calculations!$D37+(A27*Calculations!$D38))+Calculations!$D38*A23)/2),0))))</f>
        <v>0</v>
      </c>
      <c r="B28" s="115">
        <f>IF(Calculations!$D39&lt;Calculations!$D40,IF(Calculations!$D39&lt;=5,IF(Calculations!$D40&gt;=5,((2*(Calculations!$D37+(B27*Calculations!$D38))+Calculations!$D38*B23)/2),0),0),IF(Calculations!$D39&gt;Calculations!$D40,IF(Calculations!$D39&lt;=5,((2*(Calculations!$D37+(B27*Calculations!$D38))+Calculations!$D38*B23)/2),IF(Calculations!$D40&gt;=5,((2*(Calculations!$D37+(B27*Calculations!$D38))+Calculations!$D38*B23)/2),0))))</f>
        <v>0</v>
      </c>
      <c r="C28" s="115">
        <f>IF(Calculations!$D39&lt;Calculations!$D40,IF(Calculations!$D39&lt;=6,IF(Calculations!$D40&gt;=6,((2*(Calculations!$D37+(C27*Calculations!$D38))+Calculations!$D38*C23)/2),0),0),IF(Calculations!$D39&gt;Calculations!$D40,IF(Calculations!$D39&lt;=6,((2*(Calculations!$D37+(C27*Calculations!$D38))+Calculations!$D38*C23)/2),IF(Calculations!$D40&gt;=6,((2*(Calculations!$D37+(C27*Calculations!$D38))+Calculations!$D38*C23)/2),0))))</f>
        <v>0</v>
      </c>
      <c r="D28" s="115">
        <f>IF(Calculations!$D39&lt;Calculations!$D40,IF(Calculations!$D39&lt;=7,IF(Calculations!$D40&gt;=7,((2*(Calculations!$D37+(D27*Calculations!$D38))+Calculations!$D38*D23)/2),0),0),IF(Calculations!$D39&gt;Calculations!$D40,IF(Calculations!$D39&lt;=7,((2*(Calculations!$D37+(D27*Calculations!$D38))+Calculations!$D38*D23)/2),IF(Calculations!$D40&gt;=7,((2*(Calculations!$D37+(D27*Calculations!$D38))+Calculations!$D38*D23)/2),0))))</f>
        <v>0</v>
      </c>
      <c r="E28" s="115">
        <f>IF(Calculations!$D39&lt;Calculations!$D40,IF(Calculations!$D39&lt;=8,IF(Calculations!$D40&gt;=8,((2*(Calculations!$D37+(E27*Calculations!$D38))+Calculations!$D38*E23)/2),0),0),IF(Calculations!$D39&gt;Calculations!$D40,IF(Calculations!$D39&lt;=8,((2*(Calculations!$D37+(E27*Calculations!$D38))+Calculations!$D38*E23)/2),IF(Calculations!$D40&gt;=8,((2*(Calculations!$D37+(E27*Calculations!$D38))+Calculations!$D38*E23)/2),0))))</f>
        <v>0</v>
      </c>
      <c r="F28" s="115">
        <f>IF(Calculations!$D39&lt;Calculations!$D40,IF(Calculations!$D39&lt;=9,IF(Calculations!$D40&gt;=9,((2*(Calculations!$D37+(F27*Calculations!$D38))+Calculations!$D38*F23)/2),0),0),IF(Calculations!$D39&gt;Calculations!$D40,IF(Calculations!$D39&lt;=9,((2*(Calculations!$D37+(F27*Calculations!$D38))+Calculations!$D38*F23)/2),IF(Calculations!$D40&gt;=9,((2*(Calculations!$D37+(F27*Calculations!$D38))+Calculations!$D38*F23)/2),0))))</f>
        <v>430</v>
      </c>
      <c r="G28" s="115">
        <f>IF(Calculations!$D39&lt;Calculations!$D40,IF(Calculations!$D39&lt;=10,IF(Calculations!$D40&gt;=10,((2*(Calculations!$D37+(G27*Calculations!$D38))+Calculations!$D38*G23)/2),0),0),IF(Calculations!$D39&gt;Calculations!$D40,IF(Calculations!$D39&lt;=10,((2*(Calculations!$D37+(G27*Calculations!$D38))+Calculations!$D38*G23)/2),IF(Calculations!$D40&gt;=10,((2*(Calculations!$D37+(G27*Calculations!$D38))+Calculations!$D38*G23)/2),0))))</f>
        <v>491</v>
      </c>
      <c r="H28" s="115">
        <f>IF(Calculations!$D39&lt;Calculations!$D40,IF(Calculations!$D39&lt;=11,IF(Calculations!$D40&gt;=11,((2*(Calculations!$D37+(H27*Calculations!$D38))+Calculations!$D38*H23)/2),0),0),IF(Calculations!$D39&gt;Calculations!$D40,IF(Calculations!$D39&lt;=11,((2*(Calculations!$D37+(H27*Calculations!$D38))+Calculations!$D38*H23)/2),IF(Calculations!$D40&gt;=11,((2*(Calculations!$D37+(H27*Calculations!$D38))+Calculations!$D38*H23)/2),0))))</f>
        <v>552</v>
      </c>
      <c r="I28" s="115">
        <f>IF(Calculations!$D39&lt;Calculations!$D40,IF(Calculations!$D39&lt;=12,IF(Calculations!$D40&gt;=12,((2*(Calculations!$D37+(I27*Calculations!$D38))+Calculations!$D38*I23)/2),0),0),IF(Calculations!$D39&gt;Calculations!$D40,IF(Calculations!$D39&lt;=12,((2*(Calculations!$D37+(I27*Calculations!$D38))+Calculations!$D38*I23)/2),IF(Calculations!$D40&gt;=12,((2*(Calculations!$D37+(I27*Calculations!$D38))+Calculations!$D38*I23)/2),0))))</f>
        <v>0</v>
      </c>
      <c r="J28" s="115">
        <f>IF(Calculations!$D39&lt;Calculations!$D40,IF(Calculations!$D39&lt;=1,IF(Calculations!$D40&gt;=1,((2*(Calculations!$D37+(J27*Calculations!$D38))+Calculations!$D38*J23)/2),0),0),IF(Calculations!$D39&gt;Calculations!$D40,IF(Calculations!$D39&lt;=1,((2*(Calculations!$D37+(J27*Calculations!$D38))+Calculations!$D38*J23)/2),IF(Calculations!$D40&gt;=1,((2*(Calculations!$D37+(J27*Calculations!$D38))+Calculations!$D38*J23)/2),0))))</f>
        <v>0</v>
      </c>
      <c r="K28" s="115">
        <f>IF(Calculations!$D39&lt;Calculations!$D40,IF(Calculations!$D39&lt;=2,IF(Calculations!$D40&gt;=2,((2*(Calculations!$D37+(K27*Calculations!$D38))+Calculations!$D38*K23)/2),0),0),IF(Calculations!$D39&gt;Calculations!$D40,IF(Calculations!$D39&lt;=2,((2*(Calculations!$D37+(K27*Calculations!$D38))+Calculations!$D38*K23)/2),IF(Calculations!$D40&gt;=2,((2*(Calculations!$D37+(K27*Calculations!$D38))+Calculations!$D38*K23)/2),0))))</f>
        <v>0</v>
      </c>
      <c r="L28" s="115">
        <f>IF(Calculations!$D39&lt;Calculations!$D40,IF(Calculations!$D39&lt;=3,IF(Calculations!$D40&gt;=3,((2*(Calculations!$D37+(L27*Calculations!$D38))+Calculations!$D38*L23)/2),0),0),IF(Calculations!$D39&gt;Calculations!$D40,IF(Calculations!$D39&lt;=3,((2*(Calculations!$D37+(L27*Calculations!$D38))+Calculations!$D38*L23)/2),IF(Calculations!$D40&gt;=3,((2*(Calculations!$D37+(L27*Calculations!$D38))+Calculations!$D38*L23)/2),0))))</f>
        <v>0</v>
      </c>
      <c r="M28" s="68" t="s">
        <v>305</v>
      </c>
      <c r="N28" s="68" t="s">
        <v>118</v>
      </c>
      <c r="O28" s="113"/>
      <c r="U28" s="119" t="s">
        <v>778</v>
      </c>
    </row>
    <row r="29" spans="1:21">
      <c r="A29" s="116">
        <f t="shared" ref="A29:L29" si="1">IF(A28&gt;0,A27+A23,0)</f>
        <v>0</v>
      </c>
      <c r="B29" s="117">
        <f t="shared" si="1"/>
        <v>0</v>
      </c>
      <c r="C29" s="117">
        <f t="shared" si="1"/>
        <v>0</v>
      </c>
      <c r="D29" s="117">
        <f t="shared" si="1"/>
        <v>0</v>
      </c>
      <c r="E29" s="117">
        <f t="shared" si="1"/>
        <v>0</v>
      </c>
      <c r="F29" s="117">
        <f t="shared" si="1"/>
        <v>30</v>
      </c>
      <c r="G29" s="117">
        <f t="shared" si="1"/>
        <v>61</v>
      </c>
      <c r="H29" s="117">
        <f t="shared" si="1"/>
        <v>91</v>
      </c>
      <c r="I29" s="117">
        <f t="shared" si="1"/>
        <v>0</v>
      </c>
      <c r="J29" s="117">
        <f t="shared" si="1"/>
        <v>0</v>
      </c>
      <c r="K29" s="117">
        <f t="shared" si="1"/>
        <v>0</v>
      </c>
      <c r="L29" s="117">
        <f t="shared" si="1"/>
        <v>0</v>
      </c>
      <c r="M29" s="90" t="s">
        <v>305</v>
      </c>
      <c r="N29" s="90" t="s">
        <v>119</v>
      </c>
      <c r="O29" s="91"/>
      <c r="U29" s="119" t="s">
        <v>201</v>
      </c>
    </row>
    <row r="30" spans="1:21">
      <c r="U30" s="119" t="s">
        <v>779</v>
      </c>
    </row>
    <row r="31" spans="1:21">
      <c r="A31" s="94" t="s">
        <v>298</v>
      </c>
      <c r="B31" s="95"/>
      <c r="C31" s="95"/>
      <c r="D31" s="95"/>
      <c r="E31" s="95"/>
      <c r="F31" s="96"/>
      <c r="U31" s="119" t="s">
        <v>780</v>
      </c>
    </row>
    <row r="32" spans="1:21">
      <c r="A32" s="97" t="s">
        <v>300</v>
      </c>
      <c r="B32" s="68" t="s">
        <v>301</v>
      </c>
      <c r="C32" s="68"/>
      <c r="D32" s="98">
        <v>400</v>
      </c>
      <c r="E32" s="118"/>
      <c r="F32" s="113"/>
      <c r="U32" s="119" t="s">
        <v>202</v>
      </c>
    </row>
    <row r="33" spans="1:21">
      <c r="A33" s="97"/>
      <c r="B33" s="68" t="s">
        <v>302</v>
      </c>
      <c r="C33" s="68"/>
      <c r="D33" s="98">
        <v>1</v>
      </c>
      <c r="E33" s="118"/>
      <c r="F33" s="113"/>
      <c r="U33" s="119" t="s">
        <v>203</v>
      </c>
    </row>
    <row r="34" spans="1:21">
      <c r="A34" s="97"/>
      <c r="B34" s="68" t="s">
        <v>303</v>
      </c>
      <c r="C34" s="68"/>
      <c r="D34" s="98">
        <v>4</v>
      </c>
      <c r="E34" s="118"/>
      <c r="F34" s="113"/>
      <c r="U34" s="119" t="s">
        <v>781</v>
      </c>
    </row>
    <row r="35" spans="1:21">
      <c r="A35" s="97"/>
      <c r="B35" s="68" t="s">
        <v>304</v>
      </c>
      <c r="C35" s="68"/>
      <c r="D35" s="98">
        <v>7</v>
      </c>
      <c r="E35" s="118"/>
      <c r="F35" s="113"/>
      <c r="U35" s="119" t="s">
        <v>782</v>
      </c>
    </row>
    <row r="36" spans="1:21">
      <c r="A36" s="97"/>
      <c r="B36" s="68"/>
      <c r="C36" s="68"/>
      <c r="D36" s="68"/>
      <c r="E36" s="68"/>
      <c r="F36" s="113"/>
      <c r="U36" s="119" t="s">
        <v>783</v>
      </c>
    </row>
    <row r="37" spans="1:21">
      <c r="A37" s="97" t="s">
        <v>299</v>
      </c>
      <c r="B37" s="68" t="s">
        <v>301</v>
      </c>
      <c r="C37" s="68"/>
      <c r="D37" s="98">
        <v>400</v>
      </c>
      <c r="E37" s="68"/>
      <c r="F37" s="113"/>
      <c r="U37" s="119" t="s">
        <v>784</v>
      </c>
    </row>
    <row r="38" spans="1:21">
      <c r="A38" s="97"/>
      <c r="B38" s="68" t="s">
        <v>302</v>
      </c>
      <c r="C38" s="68"/>
      <c r="D38" s="98">
        <v>2</v>
      </c>
      <c r="E38" s="68"/>
      <c r="F38" s="113"/>
      <c r="U38" s="119" t="s">
        <v>204</v>
      </c>
    </row>
    <row r="39" spans="1:21">
      <c r="A39" s="97"/>
      <c r="B39" s="68" t="s">
        <v>303</v>
      </c>
      <c r="C39" s="68"/>
      <c r="D39" s="98">
        <v>9</v>
      </c>
      <c r="E39" s="68"/>
      <c r="F39" s="113"/>
      <c r="U39" s="119" t="s">
        <v>785</v>
      </c>
    </row>
    <row r="40" spans="1:21">
      <c r="A40" s="100"/>
      <c r="B40" s="90" t="s">
        <v>304</v>
      </c>
      <c r="C40" s="90"/>
      <c r="D40" s="101">
        <v>11</v>
      </c>
      <c r="E40" s="90"/>
      <c r="F40" s="91"/>
      <c r="U40" s="119" t="s">
        <v>205</v>
      </c>
    </row>
    <row r="41" spans="1:21">
      <c r="U41" s="119" t="s">
        <v>206</v>
      </c>
    </row>
    <row r="42" spans="1:21">
      <c r="A42" s="197" t="s">
        <v>313</v>
      </c>
      <c r="G42" s="61" t="s">
        <v>421</v>
      </c>
      <c r="K42" s="61" t="s">
        <v>271</v>
      </c>
      <c r="U42" s="119" t="s">
        <v>207</v>
      </c>
    </row>
    <row r="43" spans="1:21">
      <c r="G43" s="61" t="s">
        <v>345</v>
      </c>
      <c r="K43" s="61" t="s">
        <v>347</v>
      </c>
      <c r="U43" s="119" t="s">
        <v>786</v>
      </c>
    </row>
    <row r="44" spans="1:21">
      <c r="A44" s="198" t="s">
        <v>314</v>
      </c>
      <c r="B44" s="95"/>
      <c r="C44" s="95"/>
      <c r="D44" s="95"/>
      <c r="E44" s="96"/>
      <c r="G44" s="61" t="s">
        <v>356</v>
      </c>
      <c r="H44" s="61" t="s">
        <v>357</v>
      </c>
      <c r="I44" s="61" t="s">
        <v>358</v>
      </c>
      <c r="K44" s="61" t="s">
        <v>371</v>
      </c>
      <c r="L44" s="417" t="b">
        <v>0</v>
      </c>
      <c r="U44" s="119" t="s">
        <v>787</v>
      </c>
    </row>
    <row r="45" spans="1:21">
      <c r="A45" s="97" t="s">
        <v>361</v>
      </c>
      <c r="B45" s="68" t="s">
        <v>343</v>
      </c>
      <c r="C45" s="68"/>
      <c r="D45" s="98">
        <v>3</v>
      </c>
      <c r="E45" s="113"/>
      <c r="G45" s="61" t="b">
        <v>1</v>
      </c>
      <c r="H45" s="61" t="b">
        <v>0</v>
      </c>
      <c r="I45" s="61" t="b">
        <v>0</v>
      </c>
      <c r="K45" s="61" t="s">
        <v>372</v>
      </c>
      <c r="L45" s="417" t="b">
        <v>0</v>
      </c>
      <c r="U45" s="119" t="s">
        <v>208</v>
      </c>
    </row>
    <row r="46" spans="1:21">
      <c r="A46" s="97"/>
      <c r="B46" s="68" t="s">
        <v>344</v>
      </c>
      <c r="C46" s="68"/>
      <c r="D46" s="98">
        <v>11</v>
      </c>
      <c r="E46" s="113"/>
      <c r="K46" s="61" t="s">
        <v>36</v>
      </c>
      <c r="L46" s="417" t="b">
        <v>0</v>
      </c>
      <c r="U46" s="119" t="s">
        <v>788</v>
      </c>
    </row>
    <row r="47" spans="1:21">
      <c r="A47" s="97"/>
      <c r="B47" s="68"/>
      <c r="C47" s="68"/>
      <c r="D47" s="68"/>
      <c r="E47" s="113"/>
      <c r="K47" s="61" t="s">
        <v>388</v>
      </c>
      <c r="L47" s="417" t="b">
        <v>0</v>
      </c>
      <c r="U47" s="119" t="s">
        <v>789</v>
      </c>
    </row>
    <row r="48" spans="1:21">
      <c r="A48" s="97" t="s">
        <v>363</v>
      </c>
      <c r="B48" s="227"/>
      <c r="C48" s="227"/>
      <c r="D48" s="227"/>
      <c r="E48" s="113"/>
      <c r="G48" s="61" t="s">
        <v>366</v>
      </c>
      <c r="K48" s="61" t="s">
        <v>389</v>
      </c>
      <c r="L48" s="417" t="b">
        <v>0</v>
      </c>
      <c r="U48" s="119" t="s">
        <v>790</v>
      </c>
    </row>
    <row r="49" spans="1:21">
      <c r="A49" s="97" t="s">
        <v>364</v>
      </c>
      <c r="B49" s="227"/>
      <c r="C49" s="227"/>
      <c r="D49" s="227"/>
      <c r="E49" s="113"/>
      <c r="G49" s="61" t="s">
        <v>357</v>
      </c>
      <c r="H49" s="61" t="s">
        <v>358</v>
      </c>
      <c r="K49" s="61" t="s">
        <v>390</v>
      </c>
      <c r="L49" s="417" t="b">
        <v>0</v>
      </c>
      <c r="U49" s="119" t="s">
        <v>209</v>
      </c>
    </row>
    <row r="50" spans="1:21">
      <c r="A50" s="97" t="s">
        <v>365</v>
      </c>
      <c r="B50" s="68" t="s">
        <v>369</v>
      </c>
      <c r="C50" s="68"/>
      <c r="D50" s="98">
        <v>11</v>
      </c>
      <c r="E50" s="113"/>
      <c r="G50" s="61" t="b">
        <v>0</v>
      </c>
      <c r="H50" s="61" t="b">
        <v>0</v>
      </c>
      <c r="K50" s="61" t="s">
        <v>300</v>
      </c>
      <c r="L50" s="417" t="b">
        <v>0</v>
      </c>
      <c r="U50" s="119" t="s">
        <v>791</v>
      </c>
    </row>
    <row r="51" spans="1:21">
      <c r="A51" s="100"/>
      <c r="B51" s="90" t="s">
        <v>368</v>
      </c>
      <c r="C51" s="90"/>
      <c r="D51" s="101">
        <v>3</v>
      </c>
      <c r="E51" s="91"/>
      <c r="K51" s="61" t="s">
        <v>299</v>
      </c>
      <c r="L51" s="417" t="b">
        <v>0</v>
      </c>
      <c r="U51" s="119" t="s">
        <v>792</v>
      </c>
    </row>
    <row r="52" spans="1:21">
      <c r="G52" s="61" t="s">
        <v>367</v>
      </c>
      <c r="K52" s="61" t="s">
        <v>52</v>
      </c>
      <c r="L52" s="417" t="b">
        <v>0</v>
      </c>
      <c r="U52" s="119" t="s">
        <v>210</v>
      </c>
    </row>
    <row r="53" spans="1:21">
      <c r="A53" s="60" t="s">
        <v>36</v>
      </c>
      <c r="G53" s="61" t="s">
        <v>356</v>
      </c>
      <c r="H53" s="61" t="s">
        <v>357</v>
      </c>
      <c r="I53" s="61" t="s">
        <v>358</v>
      </c>
      <c r="K53" s="61" t="s">
        <v>423</v>
      </c>
      <c r="L53" s="417" t="b">
        <v>0</v>
      </c>
      <c r="U53" s="119" t="s">
        <v>793</v>
      </c>
    </row>
    <row r="54" spans="1:21">
      <c r="A54" s="61" t="s">
        <v>373</v>
      </c>
      <c r="G54" s="61" t="b">
        <v>1</v>
      </c>
      <c r="H54" s="61" t="b">
        <v>0</v>
      </c>
      <c r="I54" s="61" t="b">
        <v>0</v>
      </c>
      <c r="K54" s="61" t="s">
        <v>54</v>
      </c>
      <c r="L54" s="417" t="b">
        <v>0</v>
      </c>
      <c r="U54" s="119" t="s">
        <v>211</v>
      </c>
    </row>
    <row r="55" spans="1:21">
      <c r="A55" s="61" t="s">
        <v>356</v>
      </c>
      <c r="B55" s="61" t="b">
        <v>1</v>
      </c>
      <c r="U55" s="119" t="s">
        <v>794</v>
      </c>
    </row>
    <row r="56" spans="1:21">
      <c r="A56" s="61" t="s">
        <v>378</v>
      </c>
      <c r="B56" s="61" t="b">
        <v>0</v>
      </c>
      <c r="U56" s="119" t="s">
        <v>795</v>
      </c>
    </row>
    <row r="57" spans="1:21">
      <c r="A57" s="61" t="s">
        <v>379</v>
      </c>
      <c r="B57" s="61" t="b">
        <v>0</v>
      </c>
      <c r="U57" s="119" t="s">
        <v>796</v>
      </c>
    </row>
    <row r="58" spans="1:21">
      <c r="A58" s="61" t="s">
        <v>380</v>
      </c>
      <c r="B58" s="61" t="b">
        <v>0</v>
      </c>
      <c r="U58" s="119" t="s">
        <v>797</v>
      </c>
    </row>
    <row r="59" spans="1:21">
      <c r="A59" s="61" t="s">
        <v>381</v>
      </c>
      <c r="B59" s="61" t="b">
        <v>0</v>
      </c>
      <c r="K59" s="61" t="s">
        <v>721</v>
      </c>
      <c r="U59" s="119" t="s">
        <v>212</v>
      </c>
    </row>
    <row r="60" spans="1:21">
      <c r="J60" s="61">
        <v>1</v>
      </c>
      <c r="K60" s="83">
        <v>0</v>
      </c>
      <c r="U60" s="119" t="s">
        <v>798</v>
      </c>
    </row>
    <row r="61" spans="1:21">
      <c r="A61" s="61" t="s">
        <v>374</v>
      </c>
      <c r="J61" s="61">
        <v>2</v>
      </c>
      <c r="K61" s="83">
        <v>0</v>
      </c>
      <c r="U61" s="119" t="s">
        <v>213</v>
      </c>
    </row>
    <row r="62" spans="1:21">
      <c r="A62" s="61" t="s">
        <v>376</v>
      </c>
      <c r="B62" s="229">
        <v>10</v>
      </c>
      <c r="J62" s="61">
        <v>3</v>
      </c>
      <c r="K62" s="83">
        <v>0</v>
      </c>
      <c r="U62" s="119" t="s">
        <v>214</v>
      </c>
    </row>
    <row r="63" spans="1:21">
      <c r="A63" s="61" t="s">
        <v>377</v>
      </c>
      <c r="B63" s="229">
        <v>12</v>
      </c>
      <c r="J63" s="61">
        <v>4</v>
      </c>
      <c r="K63" s="83">
        <v>0</v>
      </c>
      <c r="U63" s="119" t="s">
        <v>799</v>
      </c>
    </row>
    <row r="64" spans="1:21">
      <c r="A64" s="61" t="s">
        <v>375</v>
      </c>
      <c r="J64" s="61">
        <v>5</v>
      </c>
      <c r="K64" s="83">
        <v>0</v>
      </c>
      <c r="U64" s="119" t="s">
        <v>800</v>
      </c>
    </row>
    <row r="65" spans="1:21">
      <c r="A65" s="61" t="s">
        <v>376</v>
      </c>
      <c r="B65" s="229">
        <v>4</v>
      </c>
      <c r="J65" s="61">
        <v>6</v>
      </c>
      <c r="K65" s="83">
        <v>0</v>
      </c>
      <c r="U65" s="119" t="s">
        <v>801</v>
      </c>
    </row>
    <row r="66" spans="1:21">
      <c r="A66" s="61" t="s">
        <v>377</v>
      </c>
      <c r="B66" s="229">
        <v>6</v>
      </c>
      <c r="J66" s="61">
        <v>7</v>
      </c>
      <c r="K66" s="83">
        <v>0</v>
      </c>
      <c r="U66" s="119" t="s">
        <v>802</v>
      </c>
    </row>
    <row r="67" spans="1:21">
      <c r="J67" s="61">
        <v>8</v>
      </c>
      <c r="K67" s="83">
        <v>0</v>
      </c>
      <c r="U67" s="119" t="s">
        <v>215</v>
      </c>
    </row>
    <row r="68" spans="1:21">
      <c r="A68" s="60" t="s">
        <v>397</v>
      </c>
      <c r="J68" s="61">
        <v>9</v>
      </c>
      <c r="K68" s="83">
        <v>0</v>
      </c>
      <c r="U68" s="119" t="s">
        <v>216</v>
      </c>
    </row>
    <row r="69" spans="1:21">
      <c r="A69" s="61" t="s">
        <v>398</v>
      </c>
      <c r="J69" s="61">
        <v>10</v>
      </c>
      <c r="K69" s="83">
        <v>0</v>
      </c>
      <c r="U69" s="119" t="s">
        <v>217</v>
      </c>
    </row>
    <row r="70" spans="1:21">
      <c r="A70" s="61" t="s">
        <v>388</v>
      </c>
      <c r="J70" s="61">
        <v>11</v>
      </c>
      <c r="K70" s="83">
        <v>0</v>
      </c>
      <c r="U70" s="119" t="s">
        <v>218</v>
      </c>
    </row>
    <row r="71" spans="1:21">
      <c r="A71" s="61" t="s">
        <v>399</v>
      </c>
      <c r="B71" s="61" t="b">
        <v>1</v>
      </c>
      <c r="J71" s="61">
        <v>12</v>
      </c>
      <c r="K71" s="83">
        <v>0</v>
      </c>
      <c r="U71" s="119" t="s">
        <v>803</v>
      </c>
    </row>
    <row r="72" spans="1:21">
      <c r="A72" s="61" t="s">
        <v>400</v>
      </c>
      <c r="B72" s="61" t="b">
        <v>0</v>
      </c>
      <c r="J72" s="61">
        <v>13</v>
      </c>
      <c r="K72" s="83">
        <v>0</v>
      </c>
      <c r="U72" s="119" t="s">
        <v>804</v>
      </c>
    </row>
    <row r="73" spans="1:21">
      <c r="A73" s="61" t="s">
        <v>358</v>
      </c>
      <c r="B73" s="61" t="b">
        <v>0</v>
      </c>
      <c r="J73" s="61">
        <v>14</v>
      </c>
      <c r="K73" s="83">
        <v>0</v>
      </c>
      <c r="U73" s="119" t="s">
        <v>805</v>
      </c>
    </row>
    <row r="74" spans="1:21">
      <c r="J74" s="61">
        <v>15</v>
      </c>
      <c r="K74" s="83">
        <v>0</v>
      </c>
      <c r="U74" s="119" t="s">
        <v>219</v>
      </c>
    </row>
    <row r="75" spans="1:21">
      <c r="A75" s="61" t="s">
        <v>389</v>
      </c>
      <c r="J75" s="61">
        <v>16</v>
      </c>
      <c r="K75" s="83">
        <v>0</v>
      </c>
      <c r="U75" s="119" t="s">
        <v>806</v>
      </c>
    </row>
    <row r="76" spans="1:21">
      <c r="A76" s="61" t="s">
        <v>399</v>
      </c>
      <c r="B76" s="61" t="b">
        <v>1</v>
      </c>
      <c r="J76" s="61">
        <v>17</v>
      </c>
      <c r="K76" s="83">
        <v>0</v>
      </c>
      <c r="U76" s="119" t="s">
        <v>220</v>
      </c>
    </row>
    <row r="77" spans="1:21">
      <c r="A77" s="61" t="s">
        <v>400</v>
      </c>
      <c r="B77" s="61" t="b">
        <v>0</v>
      </c>
      <c r="J77" s="61">
        <v>18</v>
      </c>
      <c r="K77" s="83">
        <v>0</v>
      </c>
      <c r="U77" s="119" t="s">
        <v>807</v>
      </c>
    </row>
    <row r="78" spans="1:21">
      <c r="A78" s="61" t="s">
        <v>358</v>
      </c>
      <c r="B78" s="61" t="b">
        <v>0</v>
      </c>
      <c r="J78" s="61">
        <v>19</v>
      </c>
      <c r="K78" s="83">
        <v>0</v>
      </c>
      <c r="U78" s="119" t="s">
        <v>221</v>
      </c>
    </row>
    <row r="79" spans="1:21">
      <c r="B79" s="234"/>
      <c r="J79" s="61">
        <v>20</v>
      </c>
      <c r="K79" s="83">
        <v>0</v>
      </c>
      <c r="U79" s="119" t="s">
        <v>222</v>
      </c>
    </row>
    <row r="80" spans="1:21">
      <c r="A80" s="61" t="s">
        <v>390</v>
      </c>
      <c r="B80" s="234"/>
      <c r="J80" s="61">
        <v>21</v>
      </c>
      <c r="K80" s="83">
        <v>0</v>
      </c>
      <c r="U80" s="119" t="s">
        <v>223</v>
      </c>
    </row>
    <row r="81" spans="1:21">
      <c r="A81" s="61" t="s">
        <v>399</v>
      </c>
      <c r="B81" s="234" t="b">
        <v>1</v>
      </c>
      <c r="J81" s="61">
        <v>22</v>
      </c>
      <c r="K81" s="83">
        <v>0</v>
      </c>
      <c r="U81" s="119" t="s">
        <v>808</v>
      </c>
    </row>
    <row r="82" spans="1:21">
      <c r="A82" s="61" t="s">
        <v>400</v>
      </c>
      <c r="B82" s="234" t="b">
        <v>0</v>
      </c>
      <c r="J82" s="61">
        <v>23</v>
      </c>
      <c r="K82" s="83">
        <v>0</v>
      </c>
      <c r="U82" s="119" t="s">
        <v>809</v>
      </c>
    </row>
    <row r="83" spans="1:21">
      <c r="A83" s="61" t="s">
        <v>358</v>
      </c>
      <c r="B83" s="234" t="b">
        <v>0</v>
      </c>
      <c r="J83" s="61">
        <v>24</v>
      </c>
      <c r="K83" s="83">
        <v>0</v>
      </c>
      <c r="U83" s="119" t="s">
        <v>224</v>
      </c>
    </row>
    <row r="84" spans="1:21">
      <c r="U84" s="119" t="s">
        <v>810</v>
      </c>
    </row>
    <row r="85" spans="1:21">
      <c r="A85" s="61" t="s">
        <v>405</v>
      </c>
      <c r="U85" s="119" t="s">
        <v>225</v>
      </c>
    </row>
    <row r="86" spans="1:21">
      <c r="A86" s="61" t="s">
        <v>401</v>
      </c>
      <c r="U86" s="119" t="s">
        <v>226</v>
      </c>
    </row>
    <row r="87" spans="1:21">
      <c r="A87" s="61" t="s">
        <v>402</v>
      </c>
      <c r="B87" s="229">
        <v>11</v>
      </c>
      <c r="U87" s="119" t="s">
        <v>227</v>
      </c>
    </row>
    <row r="88" spans="1:21">
      <c r="A88" s="61" t="s">
        <v>403</v>
      </c>
      <c r="B88" s="229">
        <v>3</v>
      </c>
      <c r="U88" s="119" t="s">
        <v>811</v>
      </c>
    </row>
    <row r="89" spans="1:21">
      <c r="U89" s="119" t="s">
        <v>812</v>
      </c>
    </row>
    <row r="90" spans="1:21">
      <c r="A90" s="61" t="s">
        <v>404</v>
      </c>
      <c r="U90" s="119" t="s">
        <v>813</v>
      </c>
    </row>
    <row r="91" spans="1:21">
      <c r="A91" s="61" t="s">
        <v>402</v>
      </c>
      <c r="B91" s="229">
        <v>1</v>
      </c>
      <c r="U91" s="119" t="s">
        <v>814</v>
      </c>
    </row>
    <row r="92" spans="1:21">
      <c r="A92" s="61" t="s">
        <v>403</v>
      </c>
      <c r="B92" s="229">
        <v>3</v>
      </c>
      <c r="U92" s="119" t="s">
        <v>815</v>
      </c>
    </row>
    <row r="93" spans="1:21">
      <c r="U93" s="119" t="s">
        <v>816</v>
      </c>
    </row>
    <row r="94" spans="1:21">
      <c r="A94" s="61" t="s">
        <v>390</v>
      </c>
      <c r="U94" s="119" t="s">
        <v>817</v>
      </c>
    </row>
    <row r="95" spans="1:21">
      <c r="A95" s="61" t="s">
        <v>402</v>
      </c>
      <c r="B95" s="229">
        <v>6</v>
      </c>
      <c r="U95" s="119" t="s">
        <v>228</v>
      </c>
    </row>
    <row r="96" spans="1:21">
      <c r="A96" s="61" t="s">
        <v>403</v>
      </c>
      <c r="B96" s="229">
        <v>12</v>
      </c>
      <c r="U96" s="119" t="s">
        <v>229</v>
      </c>
    </row>
    <row r="97" spans="1:21">
      <c r="U97" s="119" t="s">
        <v>230</v>
      </c>
    </row>
    <row r="98" spans="1:21">
      <c r="A98" s="60" t="s">
        <v>424</v>
      </c>
      <c r="U98" s="119" t="s">
        <v>818</v>
      </c>
    </row>
    <row r="99" spans="1:21">
      <c r="A99" s="61" t="s">
        <v>399</v>
      </c>
      <c r="B99" s="61" t="b">
        <v>1</v>
      </c>
      <c r="U99" s="119" t="s">
        <v>819</v>
      </c>
    </row>
    <row r="100" spans="1:21">
      <c r="A100" s="61" t="s">
        <v>400</v>
      </c>
      <c r="B100" s="61" t="b">
        <v>0</v>
      </c>
      <c r="U100" s="119" t="s">
        <v>820</v>
      </c>
    </row>
    <row r="101" spans="1:21">
      <c r="A101" s="61" t="s">
        <v>358</v>
      </c>
      <c r="B101" s="61" t="b">
        <v>0</v>
      </c>
      <c r="U101" s="119" t="s">
        <v>821</v>
      </c>
    </row>
    <row r="102" spans="1:21">
      <c r="A102" s="61" t="s">
        <v>425</v>
      </c>
      <c r="B102" s="229">
        <v>11</v>
      </c>
      <c r="E102" s="82"/>
      <c r="U102" s="119" t="s">
        <v>822</v>
      </c>
    </row>
    <row r="103" spans="1:21">
      <c r="A103" s="61" t="s">
        <v>426</v>
      </c>
      <c r="B103" s="229">
        <v>3</v>
      </c>
      <c r="E103" s="82"/>
      <c r="U103" s="119" t="s">
        <v>823</v>
      </c>
    </row>
    <row r="104" spans="1:21">
      <c r="E104" s="122"/>
      <c r="U104" s="119"/>
    </row>
    <row r="105" spans="1:21">
      <c r="E105" s="122"/>
      <c r="U105" s="119"/>
    </row>
    <row r="106" spans="1:21">
      <c r="E106" s="82"/>
      <c r="U106" s="119"/>
    </row>
    <row r="107" spans="1:21">
      <c r="E107" s="82"/>
      <c r="U107" s="119"/>
    </row>
    <row r="108" spans="1:21">
      <c r="E108" s="82"/>
      <c r="U108" s="119"/>
    </row>
    <row r="109" spans="1:21">
      <c r="U109" s="119"/>
    </row>
    <row r="110" spans="1:21">
      <c r="U110" s="119"/>
    </row>
    <row r="111" spans="1:21">
      <c r="U111" s="119"/>
    </row>
    <row r="112" spans="1:21">
      <c r="A112" s="82" t="s">
        <v>27</v>
      </c>
      <c r="B112" s="82"/>
      <c r="C112" s="82"/>
      <c r="D112" s="82"/>
      <c r="U112" s="119"/>
    </row>
    <row r="113" spans="1:21">
      <c r="A113" s="82"/>
      <c r="B113" s="120" t="s">
        <v>29</v>
      </c>
      <c r="C113" s="82"/>
      <c r="D113" s="82"/>
      <c r="U113" s="119"/>
    </row>
    <row r="114" spans="1:21">
      <c r="A114" s="121" t="s">
        <v>306</v>
      </c>
      <c r="B114" s="125">
        <f>SUBTOTAL(106,LivestockForageBalance!I15,LivestockForageBalance!J15)</f>
        <v>0</v>
      </c>
      <c r="C114" s="124"/>
      <c r="D114" s="82"/>
      <c r="U114" s="119"/>
    </row>
    <row r="115" spans="1:21">
      <c r="A115" s="121" t="s">
        <v>307</v>
      </c>
      <c r="B115" s="125">
        <f>SUBTOTAL(106,LivestockForageBalance!I17,LivestockForageBalance!J17)</f>
        <v>0</v>
      </c>
      <c r="C115" s="124"/>
      <c r="D115" s="82"/>
      <c r="U115" s="119"/>
    </row>
    <row r="116" spans="1:21">
      <c r="A116" s="121" t="s">
        <v>308</v>
      </c>
      <c r="B116" s="125">
        <f>SUBTOTAL(106,LivestockForageBalance!I19,LivestockForageBalance!J19)</f>
        <v>0</v>
      </c>
      <c r="C116" s="124"/>
      <c r="D116" s="82"/>
      <c r="U116" s="119"/>
    </row>
    <row r="117" spans="1:21">
      <c r="A117" s="123" t="s">
        <v>300</v>
      </c>
      <c r="B117" s="125">
        <f t="array" ref="B117">AVERAGE(IF(Calculations!A25:L25&lt;&gt;0,Calculations!A25:L25,""))</f>
        <v>460.75</v>
      </c>
      <c r="C117" s="124">
        <f>SUBTOTAL(106,LivestockForageBalance!J21,LivestockForageBalance!I21)</f>
        <v>0</v>
      </c>
      <c r="D117" s="82"/>
    </row>
    <row r="118" spans="1:21">
      <c r="A118" s="123" t="s">
        <v>299</v>
      </c>
      <c r="B118" s="125">
        <f t="array" ref="B118">AVERAGE(IF(Calculations!A28:L28&lt;&gt;0,Calculations!A28:L28,""))</f>
        <v>491</v>
      </c>
      <c r="C118" s="124">
        <f>SUBTOTAL(106,LivestockForageBalance!J23,LivestockForageBalance!I23)</f>
        <v>0</v>
      </c>
      <c r="D118" s="82"/>
    </row>
    <row r="119" spans="1:21">
      <c r="A119" s="123" t="s">
        <v>309</v>
      </c>
      <c r="B119" s="125">
        <f>SUBTOTAL(106,LivestockForageBalance!I25,LivestockForageBalance!J25)</f>
        <v>0</v>
      </c>
      <c r="C119" s="124"/>
      <c r="D119" s="82"/>
      <c r="E119" s="82"/>
    </row>
    <row r="120" spans="1:21">
      <c r="A120" s="123" t="s">
        <v>310</v>
      </c>
      <c r="B120" s="125">
        <f>SUBTOTAL(106,LivestockForageBalance!I31,LivestockForageBalance!J31)+SUBTOTAL(106,LivestockForageBalance!I29,LivestockForageBalance!J29)</f>
        <v>0</v>
      </c>
      <c r="C120" s="124"/>
      <c r="D120" s="82"/>
      <c r="E120" s="82"/>
    </row>
    <row r="121" spans="1:21">
      <c r="A121" s="123" t="s">
        <v>36</v>
      </c>
      <c r="B121" s="125">
        <f>SUBTOTAL(106,LivestockForageBalance!I33,LivestockForageBalance!J33)</f>
        <v>0</v>
      </c>
      <c r="C121" s="124"/>
      <c r="D121" s="82"/>
      <c r="E121" s="82"/>
    </row>
    <row r="122" spans="1:21">
      <c r="A122" s="123" t="s">
        <v>52</v>
      </c>
      <c r="B122" s="125">
        <f>SUBTOTAL(106,LivestockForageBalance!I35,LivestockForageBalance!J35)</f>
        <v>0</v>
      </c>
      <c r="C122" s="124"/>
      <c r="D122" s="82"/>
      <c r="E122" s="82"/>
    </row>
    <row r="123" spans="1:21">
      <c r="A123" s="123" t="s">
        <v>54</v>
      </c>
      <c r="B123" s="125">
        <f>SUBTOTAL(106,LivestockForageBalance!I37,LivestockForageBalance!J37)</f>
        <v>0</v>
      </c>
      <c r="C123" s="124"/>
      <c r="D123" s="82"/>
      <c r="E123" s="82"/>
    </row>
    <row r="124" spans="1:21">
      <c r="A124" s="123" t="s">
        <v>55</v>
      </c>
      <c r="B124" s="125">
        <f>SUBTOTAL(106,LivestockForageBalance!I39,LivestockForageBalance!J39)</f>
        <v>0</v>
      </c>
      <c r="C124" s="124"/>
      <c r="D124" s="82"/>
    </row>
    <row r="125" spans="1:21">
      <c r="A125" s="82" t="s">
        <v>69</v>
      </c>
      <c r="B125" s="125">
        <f>B114+B115+B116+B121+B122+B123+B124+C117+C118+B119+B120</f>
        <v>0</v>
      </c>
      <c r="C125" s="124"/>
      <c r="D125" s="82"/>
    </row>
    <row r="126" spans="1:21">
      <c r="A126" s="82"/>
      <c r="B126" s="125"/>
      <c r="C126" s="124"/>
      <c r="D126" s="82"/>
    </row>
    <row r="127" spans="1:21">
      <c r="A127" s="82" t="s">
        <v>317</v>
      </c>
      <c r="B127" s="125">
        <f>IF(LivestockForageBalance!I41=0,0,B125/LivestockForageBalance!I41)</f>
        <v>0</v>
      </c>
      <c r="C127" s="124"/>
      <c r="D127" s="82"/>
    </row>
    <row r="128" spans="1:21">
      <c r="A128" s="82"/>
      <c r="B128" s="82"/>
      <c r="C128" s="82"/>
      <c r="D128" s="82"/>
    </row>
    <row r="129" spans="1:4">
      <c r="A129" s="82" t="s">
        <v>77</v>
      </c>
      <c r="B129" s="82" t="e">
        <f>SUM(LivestockForageBalance!M103:M149)/SUM(LivestockForageBalance!K103:K149)*100</f>
        <v>#DIV/0!</v>
      </c>
      <c r="C129" s="82"/>
      <c r="D129" s="82"/>
    </row>
    <row r="130" spans="1:4">
      <c r="C130" s="82"/>
      <c r="D130" s="82"/>
    </row>
    <row r="131" spans="1:4">
      <c r="C131" s="82"/>
      <c r="D131" s="82"/>
    </row>
    <row r="132" spans="1:4">
      <c r="C132" s="82"/>
      <c r="D132" s="82"/>
    </row>
    <row r="133" spans="1:4">
      <c r="C133" s="82"/>
      <c r="D133" s="82"/>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AD167"/>
  <sheetViews>
    <sheetView tabSelected="1" topLeftCell="A4" workbookViewId="0">
      <selection activeCell="M16" sqref="M16"/>
    </sheetView>
  </sheetViews>
  <sheetFormatPr defaultRowHeight="12"/>
  <cols>
    <col min="2" max="2" width="35.375" customWidth="1"/>
  </cols>
  <sheetData>
    <row r="1" spans="1:30" ht="12.75" thickBot="1">
      <c r="A1" s="489"/>
      <c r="B1" s="489"/>
      <c r="C1" s="489"/>
      <c r="D1" s="489"/>
      <c r="E1" s="489"/>
      <c r="F1" s="489"/>
      <c r="G1" s="489"/>
      <c r="H1" s="489"/>
      <c r="I1" s="489"/>
      <c r="J1" s="489"/>
      <c r="K1" s="489"/>
      <c r="L1" s="489"/>
      <c r="M1" s="489"/>
      <c r="N1" s="489"/>
      <c r="O1" s="489"/>
      <c r="P1" s="489"/>
      <c r="Q1" s="489"/>
      <c r="R1" s="489"/>
      <c r="S1" s="489"/>
      <c r="T1" s="489"/>
      <c r="U1" s="489"/>
      <c r="V1" s="489"/>
      <c r="W1" s="489"/>
      <c r="X1" s="489"/>
      <c r="Y1" s="489"/>
      <c r="Z1" s="489"/>
      <c r="AA1" s="489"/>
      <c r="AB1" s="489"/>
      <c r="AC1" s="489"/>
      <c r="AD1" s="489"/>
    </row>
    <row r="2" spans="1:30" ht="15.75">
      <c r="A2" s="1442" t="s">
        <v>499</v>
      </c>
      <c r="B2" s="1443"/>
      <c r="C2" s="1443"/>
      <c r="D2" s="1443"/>
      <c r="E2" s="1443"/>
      <c r="F2" s="1443"/>
      <c r="G2" s="1443"/>
      <c r="H2" s="1443"/>
      <c r="I2" s="1443"/>
      <c r="J2" s="1443"/>
      <c r="K2" s="1443"/>
      <c r="L2" s="1443"/>
      <c r="M2" s="1443"/>
      <c r="N2" s="1443"/>
      <c r="O2" s="1443"/>
      <c r="P2" s="1444"/>
      <c r="Q2" s="489"/>
      <c r="R2" s="489"/>
      <c r="S2" s="489"/>
      <c r="T2" s="489"/>
      <c r="U2" s="489"/>
      <c r="V2" s="489"/>
      <c r="W2" s="489"/>
      <c r="X2" s="489"/>
      <c r="Y2" s="489"/>
      <c r="Z2" s="489"/>
      <c r="AA2" s="489"/>
      <c r="AB2" s="489"/>
      <c r="AC2" s="489"/>
      <c r="AD2" s="489"/>
    </row>
    <row r="3" spans="1:30" ht="15">
      <c r="A3" s="1445" t="s">
        <v>500</v>
      </c>
      <c r="B3" s="1446"/>
      <c r="C3" s="1446"/>
      <c r="D3" s="1446"/>
      <c r="E3" s="1446"/>
      <c r="F3" s="1446"/>
      <c r="G3" s="1446"/>
      <c r="H3" s="1446"/>
      <c r="I3" s="1446"/>
      <c r="J3" s="1446"/>
      <c r="K3" s="1446"/>
      <c r="L3" s="1446"/>
      <c r="M3" s="1446"/>
      <c r="N3" s="1446"/>
      <c r="O3" s="1446"/>
      <c r="P3" s="1447"/>
      <c r="Q3" s="509"/>
      <c r="R3" s="489"/>
      <c r="S3" s="489"/>
      <c r="T3" s="489"/>
      <c r="U3" s="489"/>
      <c r="V3" s="489"/>
      <c r="W3" s="489"/>
      <c r="X3" s="489"/>
      <c r="Y3" s="489"/>
      <c r="Z3" s="489"/>
      <c r="AA3" s="489"/>
      <c r="AB3" s="489"/>
      <c r="AC3" s="489"/>
      <c r="AD3" s="489"/>
    </row>
    <row r="4" spans="1:30" ht="47.25">
      <c r="A4" s="490" t="s">
        <v>938</v>
      </c>
      <c r="B4" s="477"/>
      <c r="C4" s="478" t="s">
        <v>91</v>
      </c>
      <c r="D4" s="478" t="s">
        <v>40</v>
      </c>
      <c r="E4" s="478" t="s">
        <v>92</v>
      </c>
      <c r="F4" s="478" t="s">
        <v>93</v>
      </c>
      <c r="G4" s="478" t="s">
        <v>94</v>
      </c>
      <c r="H4" s="478" t="s">
        <v>95</v>
      </c>
      <c r="I4" s="478" t="s">
        <v>96</v>
      </c>
      <c r="J4" s="478" t="s">
        <v>97</v>
      </c>
      <c r="K4" s="478" t="s">
        <v>98</v>
      </c>
      <c r="L4" s="478" t="s">
        <v>48</v>
      </c>
      <c r="M4" s="479" t="s">
        <v>49</v>
      </c>
      <c r="N4" s="478" t="s">
        <v>90</v>
      </c>
      <c r="O4" s="480" t="s">
        <v>323</v>
      </c>
      <c r="P4" s="491" t="s">
        <v>324</v>
      </c>
      <c r="Q4" s="509" t="s">
        <v>836</v>
      </c>
      <c r="R4" s="489"/>
      <c r="S4" s="1115" t="s">
        <v>837</v>
      </c>
      <c r="T4" s="489"/>
      <c r="U4" s="489"/>
      <c r="V4" s="489"/>
      <c r="W4" s="489"/>
      <c r="X4" s="489"/>
      <c r="Y4" s="489"/>
      <c r="Z4" s="489"/>
      <c r="AA4" s="489"/>
      <c r="AB4" s="489"/>
      <c r="AC4" s="489"/>
      <c r="AD4" s="489"/>
    </row>
    <row r="5" spans="1:30" ht="15.75">
      <c r="A5" s="492" t="s">
        <v>30</v>
      </c>
      <c r="B5" s="493" t="s">
        <v>30</v>
      </c>
      <c r="C5" s="493" t="s">
        <v>30</v>
      </c>
      <c r="D5" s="493" t="s">
        <v>30</v>
      </c>
      <c r="E5" s="493" t="s">
        <v>30</v>
      </c>
      <c r="F5" s="493" t="s">
        <v>30</v>
      </c>
      <c r="G5" s="493" t="s">
        <v>30</v>
      </c>
      <c r="H5" s="493" t="s">
        <v>30</v>
      </c>
      <c r="I5" s="493" t="s">
        <v>30</v>
      </c>
      <c r="J5" s="493" t="s">
        <v>30</v>
      </c>
      <c r="K5" s="493" t="s">
        <v>30</v>
      </c>
      <c r="L5" s="493" t="s">
        <v>30</v>
      </c>
      <c r="M5" s="493" t="s">
        <v>30</v>
      </c>
      <c r="N5" s="493" t="s">
        <v>30</v>
      </c>
      <c r="O5" s="493" t="s">
        <v>30</v>
      </c>
      <c r="P5" s="162"/>
      <c r="Q5" s="509" t="s">
        <v>834</v>
      </c>
      <c r="R5" s="489"/>
      <c r="S5" s="1115" t="s">
        <v>834</v>
      </c>
      <c r="T5" s="489"/>
      <c r="U5" s="489"/>
      <c r="V5" s="489"/>
      <c r="W5" s="489"/>
      <c r="X5" s="489"/>
      <c r="Y5" s="489"/>
      <c r="Z5" s="489"/>
      <c r="AA5" s="489"/>
      <c r="AB5" s="489"/>
      <c r="AC5" s="489"/>
      <c r="AD5" s="489"/>
    </row>
    <row r="6" spans="1:30" ht="15.75">
      <c r="A6" s="494" t="s">
        <v>99</v>
      </c>
      <c r="B6" s="481"/>
      <c r="C6" s="482">
        <v>0.05</v>
      </c>
      <c r="D6" s="483">
        <v>0.23</v>
      </c>
      <c r="E6" s="483">
        <v>0.24</v>
      </c>
      <c r="F6" s="483">
        <v>0.18</v>
      </c>
      <c r="G6" s="483">
        <v>0.15</v>
      </c>
      <c r="H6" s="483">
        <v>0.1</v>
      </c>
      <c r="I6" s="483">
        <v>0.05</v>
      </c>
      <c r="J6" s="483"/>
      <c r="K6" s="483"/>
      <c r="L6" s="484"/>
      <c r="M6" s="484"/>
      <c r="N6" s="483"/>
      <c r="O6" s="484">
        <v>3</v>
      </c>
      <c r="P6" s="495"/>
      <c r="Q6" s="509">
        <v>6</v>
      </c>
      <c r="R6" s="509"/>
      <c r="S6" s="1115">
        <v>3.9000000000000004</v>
      </c>
      <c r="T6" s="489"/>
      <c r="U6" s="489"/>
      <c r="V6" s="489"/>
      <c r="W6" s="489"/>
      <c r="X6" s="489"/>
      <c r="Y6" s="489"/>
      <c r="Z6" s="489"/>
      <c r="AA6" s="489"/>
      <c r="AB6" s="489"/>
      <c r="AC6" s="489"/>
      <c r="AD6" s="489"/>
    </row>
    <row r="7" spans="1:30" ht="15.75">
      <c r="A7" s="496" t="s">
        <v>736</v>
      </c>
      <c r="B7" s="72"/>
      <c r="C7" s="69">
        <v>0.06</v>
      </c>
      <c r="D7" s="70">
        <v>0.23</v>
      </c>
      <c r="E7" s="70">
        <v>0.24</v>
      </c>
      <c r="F7" s="70">
        <v>0.18</v>
      </c>
      <c r="G7" s="70">
        <v>0.13</v>
      </c>
      <c r="H7" s="70">
        <v>0.11</v>
      </c>
      <c r="I7" s="70">
        <v>0.05</v>
      </c>
      <c r="J7" s="70"/>
      <c r="K7" s="70"/>
      <c r="L7" s="71"/>
      <c r="M7" s="71"/>
      <c r="N7" s="70"/>
      <c r="O7" s="71">
        <v>3</v>
      </c>
      <c r="P7" s="497"/>
      <c r="Q7" s="509">
        <v>5.5</v>
      </c>
      <c r="R7" s="509"/>
      <c r="S7" s="1115">
        <v>3.6</v>
      </c>
      <c r="T7" s="489"/>
      <c r="U7" s="489"/>
      <c r="V7" s="489"/>
      <c r="W7" s="489"/>
      <c r="X7" s="489"/>
      <c r="Y7" s="489"/>
      <c r="Z7" s="489"/>
      <c r="AA7" s="489"/>
      <c r="AB7" s="489"/>
      <c r="AC7" s="489"/>
      <c r="AD7" s="489"/>
    </row>
    <row r="8" spans="1:30" ht="15.75">
      <c r="A8" s="494" t="s">
        <v>939</v>
      </c>
      <c r="B8" s="481"/>
      <c r="C8" s="486">
        <v>0.06</v>
      </c>
      <c r="D8" s="483">
        <v>0.23</v>
      </c>
      <c r="E8" s="483">
        <v>0.24</v>
      </c>
      <c r="F8" s="483">
        <v>0.18</v>
      </c>
      <c r="G8" s="483">
        <v>0.13</v>
      </c>
      <c r="H8" s="483">
        <v>0.11</v>
      </c>
      <c r="I8" s="483">
        <v>0.05</v>
      </c>
      <c r="J8" s="483"/>
      <c r="K8" s="483"/>
      <c r="L8" s="484"/>
      <c r="M8" s="484"/>
      <c r="N8" s="483"/>
      <c r="O8" s="487">
        <v>4</v>
      </c>
      <c r="P8" s="498"/>
      <c r="Q8" s="509">
        <v>5.2</v>
      </c>
      <c r="R8" s="509"/>
      <c r="S8" s="1115">
        <v>3.4</v>
      </c>
      <c r="T8" s="489"/>
      <c r="U8" s="489"/>
      <c r="V8" s="489"/>
      <c r="W8" s="489"/>
      <c r="X8" s="489"/>
      <c r="Y8" s="489"/>
      <c r="Z8" s="489"/>
      <c r="AA8" s="489"/>
      <c r="AB8" s="489"/>
      <c r="AC8" s="489"/>
      <c r="AD8" s="489"/>
    </row>
    <row r="9" spans="1:30" ht="15.75">
      <c r="A9" s="496" t="s">
        <v>101</v>
      </c>
      <c r="B9" s="72"/>
      <c r="C9" s="73"/>
      <c r="D9" s="70">
        <v>0.03</v>
      </c>
      <c r="E9" s="70">
        <v>0.14000000000000001</v>
      </c>
      <c r="F9" s="70">
        <v>0.37</v>
      </c>
      <c r="G9" s="70">
        <v>0.32</v>
      </c>
      <c r="H9" s="70">
        <v>0.14000000000000001</v>
      </c>
      <c r="I9" s="70"/>
      <c r="J9" s="70"/>
      <c r="K9" s="70"/>
      <c r="L9" s="71"/>
      <c r="M9" s="71"/>
      <c r="N9" s="70"/>
      <c r="O9" s="71">
        <v>8</v>
      </c>
      <c r="P9" s="499"/>
      <c r="Q9" s="509">
        <v>3.4</v>
      </c>
      <c r="R9" s="509"/>
      <c r="S9" s="1115">
        <v>2.5</v>
      </c>
      <c r="T9" s="489"/>
      <c r="U9" s="489"/>
      <c r="V9" s="489"/>
      <c r="W9" s="489"/>
      <c r="X9" s="489"/>
      <c r="Y9" s="489"/>
      <c r="Z9" s="489"/>
      <c r="AA9" s="489"/>
      <c r="AB9" s="489"/>
      <c r="AC9" s="489"/>
      <c r="AD9" s="489"/>
    </row>
    <row r="10" spans="1:30" ht="15.75">
      <c r="A10" s="494" t="s">
        <v>737</v>
      </c>
      <c r="B10" s="481"/>
      <c r="C10" s="486"/>
      <c r="D10" s="483">
        <v>0.03</v>
      </c>
      <c r="E10" s="483">
        <v>0.12</v>
      </c>
      <c r="F10" s="483">
        <v>0.37</v>
      </c>
      <c r="G10" s="483">
        <v>0.35</v>
      </c>
      <c r="H10" s="483">
        <v>0.12</v>
      </c>
      <c r="I10" s="483"/>
      <c r="J10" s="483"/>
      <c r="K10" s="483"/>
      <c r="L10" s="484"/>
      <c r="M10" s="484"/>
      <c r="N10" s="483"/>
      <c r="O10" s="484">
        <v>8</v>
      </c>
      <c r="P10" s="495"/>
      <c r="Q10" s="509">
        <v>3.4</v>
      </c>
      <c r="R10" s="509"/>
      <c r="S10" s="1115">
        <v>2.5</v>
      </c>
      <c r="T10" s="489"/>
      <c r="U10" s="489"/>
      <c r="V10" s="489"/>
      <c r="W10" s="489"/>
      <c r="X10" s="489"/>
      <c r="Y10" s="489"/>
      <c r="Z10" s="489"/>
      <c r="AA10" s="489"/>
      <c r="AB10" s="489"/>
      <c r="AC10" s="489"/>
      <c r="AD10" s="489"/>
    </row>
    <row r="11" spans="1:30" ht="15.75">
      <c r="A11" s="496" t="s">
        <v>940</v>
      </c>
      <c r="B11" s="72"/>
      <c r="C11" s="69">
        <v>0.05</v>
      </c>
      <c r="D11" s="70">
        <v>0.14000000000000001</v>
      </c>
      <c r="E11" s="70">
        <v>0.32</v>
      </c>
      <c r="F11" s="70">
        <v>0.23</v>
      </c>
      <c r="G11" s="70">
        <v>0.12</v>
      </c>
      <c r="H11" s="70">
        <v>0.08</v>
      </c>
      <c r="I11" s="70">
        <v>0.06</v>
      </c>
      <c r="J11" s="70"/>
      <c r="K11" s="70"/>
      <c r="L11" s="71"/>
      <c r="M11" s="71"/>
      <c r="N11" s="70"/>
      <c r="O11" s="74">
        <v>4</v>
      </c>
      <c r="P11" s="499"/>
      <c r="Q11" s="509">
        <v>3.4</v>
      </c>
      <c r="R11" s="509"/>
      <c r="S11" s="1115">
        <v>2.2000000000000002</v>
      </c>
      <c r="T11" s="489"/>
      <c r="U11" s="489"/>
      <c r="V11" s="489"/>
      <c r="W11" s="489"/>
      <c r="X11" s="489"/>
      <c r="Y11" s="489"/>
      <c r="Z11" s="489"/>
      <c r="AA11" s="489"/>
      <c r="AB11" s="489"/>
      <c r="AC11" s="489"/>
      <c r="AD11" s="489"/>
    </row>
    <row r="12" spans="1:30" ht="15.75">
      <c r="A12" s="494" t="s">
        <v>738</v>
      </c>
      <c r="B12" s="481"/>
      <c r="C12" s="482">
        <v>0.08</v>
      </c>
      <c r="D12" s="483">
        <v>0.28000000000000003</v>
      </c>
      <c r="E12" s="483">
        <v>0.28999999999999998</v>
      </c>
      <c r="F12" s="483">
        <v>0.09</v>
      </c>
      <c r="G12" s="483">
        <v>7.0000000000000007E-2</v>
      </c>
      <c r="H12" s="483">
        <v>0.12</v>
      </c>
      <c r="I12" s="483">
        <v>7.0000000000000007E-2</v>
      </c>
      <c r="J12" s="483"/>
      <c r="K12" s="483"/>
      <c r="L12" s="484"/>
      <c r="M12" s="484"/>
      <c r="N12" s="483"/>
      <c r="O12" s="484">
        <v>2</v>
      </c>
      <c r="P12" s="498"/>
      <c r="Q12" s="509">
        <v>3.6</v>
      </c>
      <c r="R12" s="509"/>
      <c r="S12" s="1115">
        <v>2.2999999999999998</v>
      </c>
      <c r="T12" s="489"/>
      <c r="U12" s="489"/>
      <c r="V12" s="489"/>
      <c r="W12" s="489"/>
      <c r="X12" s="489"/>
      <c r="Y12" s="489"/>
      <c r="Z12" s="489"/>
      <c r="AA12" s="489"/>
      <c r="AB12" s="489"/>
      <c r="AC12" s="489"/>
      <c r="AD12" s="489"/>
    </row>
    <row r="13" spans="1:30" ht="15.75">
      <c r="A13" s="500" t="s">
        <v>739</v>
      </c>
      <c r="B13" s="72"/>
      <c r="C13" s="69">
        <v>0.09</v>
      </c>
      <c r="D13" s="70">
        <v>0.2</v>
      </c>
      <c r="E13" s="70">
        <v>0.2</v>
      </c>
      <c r="F13" s="70">
        <v>0.17</v>
      </c>
      <c r="G13" s="70">
        <v>0.1</v>
      </c>
      <c r="H13" s="70">
        <v>0.11</v>
      </c>
      <c r="I13" s="70">
        <v>0.11</v>
      </c>
      <c r="J13" s="70">
        <v>0.02</v>
      </c>
      <c r="K13" s="70"/>
      <c r="L13" s="71"/>
      <c r="M13" s="71"/>
      <c r="N13" s="70"/>
      <c r="O13" s="71">
        <v>3</v>
      </c>
      <c r="P13" s="499"/>
      <c r="Q13" s="509">
        <v>4.2</v>
      </c>
      <c r="R13" s="509"/>
      <c r="S13" s="1115">
        <v>2.7</v>
      </c>
      <c r="T13" s="489"/>
      <c r="U13" s="489"/>
      <c r="V13" s="489"/>
      <c r="W13" s="489"/>
      <c r="X13" s="489"/>
      <c r="Y13" s="489"/>
      <c r="Z13" s="489"/>
      <c r="AA13" s="489"/>
      <c r="AB13" s="489"/>
      <c r="AC13" s="489"/>
      <c r="AD13" s="489"/>
    </row>
    <row r="14" spans="1:30" ht="15.75">
      <c r="A14" s="494" t="s">
        <v>941</v>
      </c>
      <c r="B14" s="481"/>
      <c r="C14" s="482">
        <v>7.0000000000000007E-2</v>
      </c>
      <c r="D14" s="483">
        <v>0.23</v>
      </c>
      <c r="E14" s="483">
        <v>0.24</v>
      </c>
      <c r="F14" s="483">
        <v>0.16</v>
      </c>
      <c r="G14" s="483">
        <v>0.1</v>
      </c>
      <c r="H14" s="483">
        <v>0.14000000000000001</v>
      </c>
      <c r="I14" s="483">
        <v>0.06</v>
      </c>
      <c r="J14" s="483"/>
      <c r="K14" s="483"/>
      <c r="L14" s="484"/>
      <c r="M14" s="484"/>
      <c r="N14" s="483"/>
      <c r="O14" s="484">
        <v>3</v>
      </c>
      <c r="P14" s="498"/>
      <c r="Q14" s="509">
        <v>4.2</v>
      </c>
      <c r="R14" s="509"/>
      <c r="S14" s="1115">
        <v>2.7</v>
      </c>
      <c r="T14" s="489"/>
      <c r="U14" s="489"/>
      <c r="V14" s="489"/>
      <c r="W14" s="489"/>
      <c r="X14" s="489"/>
      <c r="Y14" s="489"/>
      <c r="Z14" s="489"/>
      <c r="AA14" s="489"/>
      <c r="AB14" s="489"/>
      <c r="AC14" s="489"/>
      <c r="AD14" s="489"/>
    </row>
    <row r="15" spans="1:30" ht="15.75">
      <c r="A15" s="496" t="s">
        <v>740</v>
      </c>
      <c r="B15" s="72"/>
      <c r="C15" s="69">
        <v>0.06</v>
      </c>
      <c r="D15" s="70">
        <v>0.19</v>
      </c>
      <c r="E15" s="70">
        <v>0.24</v>
      </c>
      <c r="F15" s="70">
        <v>0.2</v>
      </c>
      <c r="G15" s="70">
        <v>0.12</v>
      </c>
      <c r="H15" s="70">
        <v>0.14000000000000001</v>
      </c>
      <c r="I15" s="70">
        <v>0.05</v>
      </c>
      <c r="J15" s="70"/>
      <c r="K15" s="70"/>
      <c r="L15" s="71"/>
      <c r="M15" s="71"/>
      <c r="N15" s="70"/>
      <c r="O15" s="75">
        <v>3</v>
      </c>
      <c r="P15" s="497"/>
      <c r="Q15" s="509">
        <v>4.5</v>
      </c>
      <c r="R15" s="509"/>
      <c r="S15" s="1115">
        <v>3</v>
      </c>
      <c r="T15" s="489"/>
      <c r="U15" s="489"/>
      <c r="V15" s="489"/>
      <c r="W15" s="489"/>
      <c r="X15" s="489"/>
      <c r="Y15" s="489"/>
      <c r="Z15" s="489"/>
      <c r="AA15" s="489"/>
      <c r="AB15" s="489"/>
      <c r="AC15" s="489"/>
      <c r="AD15" s="489"/>
    </row>
    <row r="16" spans="1:30" ht="15.75">
      <c r="A16" s="494" t="s">
        <v>741</v>
      </c>
      <c r="B16" s="481"/>
      <c r="C16" s="482">
        <v>0.05</v>
      </c>
      <c r="D16" s="483">
        <v>0.2</v>
      </c>
      <c r="E16" s="483">
        <v>0.2</v>
      </c>
      <c r="F16" s="483">
        <v>0.19</v>
      </c>
      <c r="G16" s="483">
        <v>0.11</v>
      </c>
      <c r="H16" s="483">
        <v>0.13</v>
      </c>
      <c r="I16" s="483">
        <v>0.1</v>
      </c>
      <c r="J16" s="483">
        <v>0.02</v>
      </c>
      <c r="K16" s="483"/>
      <c r="L16" s="484"/>
      <c r="M16" s="484"/>
      <c r="N16" s="483"/>
      <c r="O16" s="485">
        <v>3</v>
      </c>
      <c r="P16" s="495"/>
      <c r="Q16" s="509">
        <v>4.5</v>
      </c>
      <c r="R16" s="509"/>
      <c r="S16" s="1115">
        <v>3</v>
      </c>
      <c r="T16" s="489"/>
      <c r="U16" s="489"/>
      <c r="V16" s="489"/>
      <c r="W16" s="489"/>
      <c r="X16" s="489"/>
      <c r="Y16" s="489"/>
      <c r="Z16" s="489"/>
      <c r="AA16" s="489"/>
      <c r="AB16" s="489"/>
      <c r="AC16" s="489"/>
      <c r="AD16" s="489"/>
    </row>
    <row r="17" spans="1:30" ht="15.75">
      <c r="A17" s="496" t="s">
        <v>942</v>
      </c>
      <c r="B17" s="72"/>
      <c r="C17" s="69">
        <v>0.05</v>
      </c>
      <c r="D17" s="70">
        <v>0.31</v>
      </c>
      <c r="E17" s="70">
        <v>0.27</v>
      </c>
      <c r="F17" s="70">
        <v>0.11</v>
      </c>
      <c r="G17" s="70">
        <v>0.06</v>
      </c>
      <c r="H17" s="70">
        <v>0.11</v>
      </c>
      <c r="I17" s="70">
        <v>0.06</v>
      </c>
      <c r="J17" s="70"/>
      <c r="K17" s="70"/>
      <c r="L17" s="71"/>
      <c r="M17" s="71"/>
      <c r="N17" s="70"/>
      <c r="O17" s="71">
        <v>4</v>
      </c>
      <c r="P17" s="497"/>
      <c r="Q17" s="509">
        <v>4.5</v>
      </c>
      <c r="R17" s="509"/>
      <c r="S17" s="1115">
        <v>3</v>
      </c>
      <c r="T17" s="489"/>
      <c r="U17" s="489"/>
      <c r="V17" s="489"/>
      <c r="W17" s="489"/>
      <c r="X17" s="489"/>
      <c r="Y17" s="489"/>
      <c r="Z17" s="489"/>
      <c r="AA17" s="489"/>
      <c r="AB17" s="489"/>
      <c r="AC17" s="489"/>
      <c r="AD17" s="489"/>
    </row>
    <row r="18" spans="1:30" ht="15.75">
      <c r="A18" s="494" t="s">
        <v>943</v>
      </c>
      <c r="B18" s="481"/>
      <c r="C18" s="482">
        <v>0.08</v>
      </c>
      <c r="D18" s="483">
        <v>0.25</v>
      </c>
      <c r="E18" s="483">
        <v>0.25</v>
      </c>
      <c r="F18" s="483">
        <v>0.15</v>
      </c>
      <c r="G18" s="483">
        <v>0.1</v>
      </c>
      <c r="H18" s="483">
        <v>0.1</v>
      </c>
      <c r="I18" s="483">
        <v>7.0000000000000007E-2</v>
      </c>
      <c r="J18" s="483"/>
      <c r="K18" s="483"/>
      <c r="L18" s="484"/>
      <c r="M18" s="484"/>
      <c r="N18" s="483"/>
      <c r="O18" s="484">
        <v>4</v>
      </c>
      <c r="P18" s="495"/>
      <c r="Q18" s="509">
        <v>4.8</v>
      </c>
      <c r="R18" s="509"/>
      <c r="S18" s="1115">
        <v>3.1</v>
      </c>
      <c r="T18" s="489"/>
      <c r="U18" s="489"/>
      <c r="V18" s="489"/>
      <c r="W18" s="489"/>
      <c r="X18" s="489"/>
      <c r="Y18" s="489"/>
      <c r="Z18" s="489"/>
      <c r="AA18" s="489"/>
      <c r="AB18" s="489"/>
      <c r="AC18" s="489"/>
      <c r="AD18" s="489"/>
    </row>
    <row r="19" spans="1:30" ht="15.75">
      <c r="A19" s="496" t="s">
        <v>944</v>
      </c>
      <c r="B19" s="72"/>
      <c r="C19" s="69">
        <v>0.08</v>
      </c>
      <c r="D19" s="70">
        <v>0.22</v>
      </c>
      <c r="E19" s="70">
        <v>0.25</v>
      </c>
      <c r="F19" s="70">
        <v>0.15</v>
      </c>
      <c r="G19" s="70">
        <v>0.15</v>
      </c>
      <c r="H19" s="70">
        <v>0.1</v>
      </c>
      <c r="I19" s="70">
        <v>0.05</v>
      </c>
      <c r="J19" s="70"/>
      <c r="K19" s="70"/>
      <c r="L19" s="71"/>
      <c r="M19" s="71"/>
      <c r="N19" s="70"/>
      <c r="O19" s="71">
        <v>4</v>
      </c>
      <c r="P19" s="497"/>
      <c r="Q19" s="509">
        <v>5.0999999999999996</v>
      </c>
      <c r="R19" s="509"/>
      <c r="S19" s="1115">
        <v>3.4</v>
      </c>
      <c r="T19" s="489"/>
      <c r="U19" s="489"/>
      <c r="V19" s="489"/>
      <c r="W19" s="489"/>
      <c r="X19" s="489"/>
      <c r="Y19" s="489"/>
      <c r="Z19" s="489"/>
      <c r="AA19" s="489"/>
      <c r="AB19" s="489"/>
      <c r="AC19" s="489"/>
      <c r="AD19" s="489"/>
    </row>
    <row r="20" spans="1:30" ht="15.75">
      <c r="A20" s="494" t="s">
        <v>742</v>
      </c>
      <c r="B20" s="481"/>
      <c r="C20" s="482">
        <v>0.04</v>
      </c>
      <c r="D20" s="483">
        <v>0.25</v>
      </c>
      <c r="E20" s="483">
        <v>0.28000000000000003</v>
      </c>
      <c r="F20" s="483">
        <v>0.28000000000000003</v>
      </c>
      <c r="G20" s="483">
        <v>0.1</v>
      </c>
      <c r="H20" s="483">
        <v>0.05</v>
      </c>
      <c r="I20" s="483" t="s">
        <v>945</v>
      </c>
      <c r="J20" s="484"/>
      <c r="K20" s="484"/>
      <c r="L20" s="484"/>
      <c r="M20" s="484"/>
      <c r="N20" s="484"/>
      <c r="O20" s="484" t="s">
        <v>20</v>
      </c>
      <c r="P20" s="495"/>
      <c r="Q20" s="509">
        <v>1.6</v>
      </c>
      <c r="R20" s="509"/>
      <c r="S20" s="1115">
        <v>2.6</v>
      </c>
      <c r="T20" s="489"/>
      <c r="U20" s="489"/>
      <c r="V20" s="489"/>
      <c r="W20" s="489"/>
      <c r="X20" s="489"/>
      <c r="Y20" s="489"/>
      <c r="Z20" s="489"/>
      <c r="AA20" s="489"/>
      <c r="AB20" s="489"/>
      <c r="AC20" s="489"/>
      <c r="AD20" s="489"/>
    </row>
    <row r="21" spans="1:30" ht="15.75">
      <c r="A21" s="496" t="s">
        <v>743</v>
      </c>
      <c r="B21" s="72"/>
      <c r="C21" s="69">
        <v>0.05</v>
      </c>
      <c r="D21" s="70">
        <v>0.23</v>
      </c>
      <c r="E21" s="70">
        <v>0.23</v>
      </c>
      <c r="F21" s="70">
        <v>0.22</v>
      </c>
      <c r="G21" s="70">
        <v>0.15</v>
      </c>
      <c r="H21" s="70">
        <v>0.09</v>
      </c>
      <c r="I21" s="70">
        <v>0.03</v>
      </c>
      <c r="J21" s="70"/>
      <c r="K21" s="70"/>
      <c r="L21" s="71"/>
      <c r="M21" s="71"/>
      <c r="N21" s="70"/>
      <c r="O21" s="71" t="s">
        <v>20</v>
      </c>
      <c r="P21" s="497"/>
      <c r="Q21" s="509">
        <v>3.2</v>
      </c>
      <c r="R21" s="509"/>
      <c r="S21" s="1115">
        <v>3.1</v>
      </c>
      <c r="T21" s="489"/>
      <c r="U21" s="489"/>
      <c r="V21" s="489"/>
      <c r="W21" s="489"/>
      <c r="X21" s="489"/>
      <c r="Y21" s="489"/>
      <c r="Z21" s="489"/>
      <c r="AA21" s="489"/>
      <c r="AB21" s="489"/>
      <c r="AC21" s="489"/>
      <c r="AD21" s="489"/>
    </row>
    <row r="22" spans="1:30" ht="15.75">
      <c r="A22" s="494" t="s">
        <v>744</v>
      </c>
      <c r="B22" s="481"/>
      <c r="C22" s="481">
        <v>0.05</v>
      </c>
      <c r="D22" s="484">
        <v>0.11</v>
      </c>
      <c r="E22" s="484">
        <v>0.32</v>
      </c>
      <c r="F22" s="484">
        <v>0.24</v>
      </c>
      <c r="G22" s="484">
        <v>0.13</v>
      </c>
      <c r="H22" s="484">
        <v>0.1</v>
      </c>
      <c r="I22" s="484">
        <v>0.05</v>
      </c>
      <c r="J22" s="484"/>
      <c r="K22" s="484"/>
      <c r="L22" s="484"/>
      <c r="M22" s="484"/>
      <c r="N22" s="484"/>
      <c r="O22" s="484">
        <v>2</v>
      </c>
      <c r="P22" s="495"/>
      <c r="Q22" s="509">
        <v>3</v>
      </c>
      <c r="R22" s="509"/>
      <c r="S22" s="1115">
        <v>2</v>
      </c>
      <c r="T22" s="489"/>
      <c r="U22" s="489"/>
      <c r="V22" s="489"/>
      <c r="W22" s="489"/>
      <c r="X22" s="489"/>
      <c r="Y22" s="489"/>
      <c r="Z22" s="489"/>
      <c r="AA22" s="489"/>
      <c r="AB22" s="489"/>
      <c r="AC22" s="489"/>
      <c r="AD22" s="489"/>
    </row>
    <row r="23" spans="1:30" ht="15.75">
      <c r="A23" s="496" t="s">
        <v>745</v>
      </c>
      <c r="B23" s="72"/>
      <c r="C23" s="69"/>
      <c r="D23" s="70">
        <v>0.1</v>
      </c>
      <c r="E23" s="70">
        <v>0.4</v>
      </c>
      <c r="F23" s="70">
        <v>0.4</v>
      </c>
      <c r="G23" s="70">
        <v>0.1</v>
      </c>
      <c r="H23" s="70"/>
      <c r="I23" s="70"/>
      <c r="J23" s="70"/>
      <c r="K23" s="70"/>
      <c r="L23" s="71"/>
      <c r="M23" s="71"/>
      <c r="N23" s="70"/>
      <c r="O23" s="71" t="s">
        <v>20</v>
      </c>
      <c r="P23" s="499"/>
      <c r="Q23" s="509">
        <v>5.8</v>
      </c>
      <c r="R23" s="509"/>
      <c r="S23" s="1115">
        <v>3.9000000000000004</v>
      </c>
      <c r="T23" s="489"/>
      <c r="U23" s="489"/>
      <c r="V23" s="489"/>
      <c r="W23" s="489"/>
      <c r="X23" s="489"/>
      <c r="Y23" s="489"/>
      <c r="Z23" s="489"/>
      <c r="AA23" s="489"/>
      <c r="AB23" s="489"/>
      <c r="AC23" s="489"/>
      <c r="AD23" s="489"/>
    </row>
    <row r="24" spans="1:30" ht="15.75">
      <c r="A24" s="494" t="s">
        <v>746</v>
      </c>
      <c r="B24" s="481"/>
      <c r="C24" s="482"/>
      <c r="D24" s="483"/>
      <c r="E24" s="483"/>
      <c r="F24" s="483"/>
      <c r="G24" s="483"/>
      <c r="H24" s="483"/>
      <c r="I24" s="483">
        <v>0.5</v>
      </c>
      <c r="J24" s="483">
        <v>0.5</v>
      </c>
      <c r="K24" s="483"/>
      <c r="L24" s="484"/>
      <c r="M24" s="484"/>
      <c r="N24" s="483"/>
      <c r="O24" s="484" t="s">
        <v>20</v>
      </c>
      <c r="P24" s="495"/>
      <c r="Q24" s="509">
        <v>2</v>
      </c>
      <c r="R24" s="509"/>
      <c r="S24" s="1115">
        <v>2</v>
      </c>
      <c r="T24" s="489"/>
      <c r="U24" s="489"/>
      <c r="V24" s="489"/>
      <c r="W24" s="489"/>
      <c r="X24" s="489"/>
      <c r="Y24" s="489"/>
      <c r="Z24" s="489"/>
      <c r="AA24" s="489"/>
      <c r="AB24" s="489"/>
      <c r="AC24" s="489"/>
      <c r="AD24" s="489"/>
    </row>
    <row r="25" spans="1:30" ht="15.75">
      <c r="A25" s="496" t="s">
        <v>747</v>
      </c>
      <c r="B25" s="72"/>
      <c r="C25" s="69"/>
      <c r="D25" s="70">
        <v>0.08</v>
      </c>
      <c r="E25" s="70">
        <v>0.3</v>
      </c>
      <c r="F25" s="70">
        <v>0.35</v>
      </c>
      <c r="G25" s="70">
        <v>0.22</v>
      </c>
      <c r="H25" s="70">
        <v>0.05</v>
      </c>
      <c r="I25" s="70"/>
      <c r="J25" s="70"/>
      <c r="K25" s="70"/>
      <c r="L25" s="71"/>
      <c r="M25" s="71"/>
      <c r="N25" s="70"/>
      <c r="O25" s="71">
        <v>10</v>
      </c>
      <c r="P25" s="497"/>
      <c r="Q25" s="509">
        <v>5.5</v>
      </c>
      <c r="R25" s="509"/>
      <c r="S25" s="1115">
        <v>3.6</v>
      </c>
      <c r="T25" s="489"/>
      <c r="U25" s="489"/>
      <c r="V25" s="489"/>
      <c r="W25" s="489"/>
      <c r="X25" s="489"/>
      <c r="Y25" s="489"/>
      <c r="Z25" s="489"/>
      <c r="AA25" s="489"/>
      <c r="AB25" s="489"/>
      <c r="AC25" s="489"/>
      <c r="AD25" s="489"/>
    </row>
    <row r="26" spans="1:30" ht="15.75">
      <c r="A26" s="494" t="s">
        <v>748</v>
      </c>
      <c r="B26" s="481"/>
      <c r="C26" s="482">
        <v>0.09</v>
      </c>
      <c r="D26" s="483">
        <v>0.26</v>
      </c>
      <c r="E26" s="483">
        <v>0.25</v>
      </c>
      <c r="F26" s="483">
        <v>0.13</v>
      </c>
      <c r="G26" s="483">
        <v>7.0000000000000007E-2</v>
      </c>
      <c r="H26" s="483">
        <v>0.12</v>
      </c>
      <c r="I26" s="483">
        <v>0.06</v>
      </c>
      <c r="J26" s="483">
        <v>0.02</v>
      </c>
      <c r="K26" s="483"/>
      <c r="L26" s="484"/>
      <c r="M26" s="484"/>
      <c r="N26" s="483"/>
      <c r="O26" s="484">
        <v>3</v>
      </c>
      <c r="P26" s="495"/>
      <c r="Q26" s="509">
        <v>4.8</v>
      </c>
      <c r="R26" s="509"/>
      <c r="S26" s="1115">
        <v>3.1</v>
      </c>
      <c r="T26" s="489"/>
      <c r="U26" s="489"/>
      <c r="V26" s="489"/>
      <c r="W26" s="489"/>
      <c r="X26" s="489"/>
      <c r="Y26" s="489"/>
      <c r="Z26" s="489"/>
      <c r="AA26" s="489"/>
      <c r="AB26" s="489"/>
      <c r="AC26" s="489"/>
      <c r="AD26" s="489"/>
    </row>
    <row r="27" spans="1:30" ht="15.75">
      <c r="A27" s="496" t="s">
        <v>749</v>
      </c>
      <c r="B27" s="72"/>
      <c r="C27" s="69">
        <v>0.09</v>
      </c>
      <c r="D27" s="70">
        <v>0.2</v>
      </c>
      <c r="E27" s="70">
        <v>0.2</v>
      </c>
      <c r="F27" s="70">
        <v>0.13</v>
      </c>
      <c r="G27" s="70">
        <v>0.08</v>
      </c>
      <c r="H27" s="70">
        <v>0.15</v>
      </c>
      <c r="I27" s="70">
        <v>0.13</v>
      </c>
      <c r="J27" s="70">
        <v>0.02</v>
      </c>
      <c r="K27" s="70"/>
      <c r="L27" s="71"/>
      <c r="M27" s="71"/>
      <c r="N27" s="70"/>
      <c r="O27" s="71">
        <v>3</v>
      </c>
      <c r="P27" s="497"/>
      <c r="Q27" s="509">
        <v>5.5</v>
      </c>
      <c r="R27" s="509"/>
      <c r="S27" s="1115">
        <v>3.5</v>
      </c>
      <c r="T27" s="489"/>
      <c r="U27" s="489"/>
      <c r="V27" s="489"/>
      <c r="W27" s="489"/>
      <c r="X27" s="489"/>
      <c r="Y27" s="489"/>
      <c r="Z27" s="489"/>
      <c r="AA27" s="489"/>
      <c r="AB27" s="489"/>
      <c r="AC27" s="489"/>
      <c r="AD27" s="489"/>
    </row>
    <row r="28" spans="1:30" ht="15.75">
      <c r="A28" s="501" t="s">
        <v>946</v>
      </c>
      <c r="B28" s="481"/>
      <c r="C28" s="481">
        <v>0.09</v>
      </c>
      <c r="D28" s="484">
        <v>0.2</v>
      </c>
      <c r="E28" s="484">
        <v>0.23</v>
      </c>
      <c r="F28" s="484">
        <v>0.15</v>
      </c>
      <c r="G28" s="484">
        <v>0.1</v>
      </c>
      <c r="H28" s="484">
        <v>0.11</v>
      </c>
      <c r="I28" s="484">
        <v>0.1</v>
      </c>
      <c r="J28" s="484">
        <v>0.02</v>
      </c>
      <c r="K28" s="484"/>
      <c r="L28" s="484"/>
      <c r="M28" s="484"/>
      <c r="N28" s="484"/>
      <c r="O28" s="484">
        <v>3</v>
      </c>
      <c r="P28" s="495"/>
      <c r="Q28" s="509">
        <v>4.9000000000000004</v>
      </c>
      <c r="R28" s="509"/>
      <c r="S28" s="1115">
        <v>3</v>
      </c>
      <c r="T28" s="489"/>
      <c r="U28" s="489"/>
      <c r="V28" s="489"/>
      <c r="W28" s="489"/>
      <c r="X28" s="489"/>
      <c r="Y28" s="489"/>
      <c r="Z28" s="489"/>
      <c r="AA28" s="489"/>
      <c r="AB28" s="489"/>
      <c r="AC28" s="489"/>
      <c r="AD28" s="489"/>
    </row>
    <row r="29" spans="1:30" ht="15.75">
      <c r="A29" s="502" t="s">
        <v>947</v>
      </c>
      <c r="B29" s="72"/>
      <c r="C29" s="76">
        <v>0.05</v>
      </c>
      <c r="D29" s="71">
        <v>0.2</v>
      </c>
      <c r="E29" s="71">
        <v>0.2</v>
      </c>
      <c r="F29" s="71">
        <v>0.19</v>
      </c>
      <c r="G29" s="71">
        <v>0.11</v>
      </c>
      <c r="H29" s="71">
        <v>0.13</v>
      </c>
      <c r="I29" s="71">
        <v>0.1</v>
      </c>
      <c r="J29" s="71">
        <v>0.02</v>
      </c>
      <c r="K29" s="71"/>
      <c r="L29" s="71"/>
      <c r="M29" s="71"/>
      <c r="N29" s="71"/>
      <c r="O29" s="71">
        <v>3</v>
      </c>
      <c r="P29" s="497"/>
      <c r="Q29" s="509">
        <v>5.3</v>
      </c>
      <c r="R29" s="509"/>
      <c r="S29" s="1115">
        <v>3.5</v>
      </c>
      <c r="T29" s="489"/>
      <c r="U29" s="489"/>
      <c r="V29" s="489"/>
      <c r="W29" s="489"/>
      <c r="X29" s="489"/>
      <c r="Y29" s="489"/>
      <c r="Z29" s="489"/>
      <c r="AA29" s="489"/>
      <c r="AB29" s="489"/>
      <c r="AC29" s="489"/>
      <c r="AD29" s="489"/>
    </row>
    <row r="30" spans="1:30" ht="15.75">
      <c r="A30" s="494" t="s">
        <v>948</v>
      </c>
      <c r="B30" s="481"/>
      <c r="C30" s="482">
        <v>0.05</v>
      </c>
      <c r="D30" s="483">
        <v>0.2</v>
      </c>
      <c r="E30" s="483">
        <v>0.2</v>
      </c>
      <c r="F30" s="483">
        <v>0.1</v>
      </c>
      <c r="G30" s="483">
        <v>0.1</v>
      </c>
      <c r="H30" s="483">
        <v>0.15</v>
      </c>
      <c r="I30" s="483">
        <v>0.15</v>
      </c>
      <c r="J30" s="483">
        <v>0.05</v>
      </c>
      <c r="K30" s="483"/>
      <c r="L30" s="484"/>
      <c r="M30" s="484"/>
      <c r="N30" s="483"/>
      <c r="O30" s="484">
        <v>3</v>
      </c>
      <c r="P30" s="495"/>
      <c r="Q30" s="509">
        <v>5.7</v>
      </c>
      <c r="R30" s="509"/>
      <c r="S30" s="1115">
        <v>3.8</v>
      </c>
      <c r="T30" s="489"/>
      <c r="U30" s="489"/>
      <c r="V30" s="489"/>
      <c r="W30" s="489"/>
      <c r="X30" s="489"/>
      <c r="Y30" s="489"/>
      <c r="Z30" s="489"/>
      <c r="AA30" s="489"/>
      <c r="AB30" s="489"/>
      <c r="AC30" s="489"/>
      <c r="AD30" s="489"/>
    </row>
    <row r="31" spans="1:30" ht="15.75">
      <c r="A31" s="502" t="s">
        <v>102</v>
      </c>
      <c r="B31" s="72"/>
      <c r="C31" s="76"/>
      <c r="D31" s="71">
        <v>0.02</v>
      </c>
      <c r="E31" s="71">
        <v>0.12</v>
      </c>
      <c r="F31" s="71">
        <v>0.34</v>
      </c>
      <c r="G31" s="71">
        <v>0.38</v>
      </c>
      <c r="H31" s="71">
        <v>0.14000000000000001</v>
      </c>
      <c r="I31" s="71"/>
      <c r="J31" s="71"/>
      <c r="K31" s="71"/>
      <c r="L31" s="71"/>
      <c r="M31" s="71"/>
      <c r="N31" s="71"/>
      <c r="O31" s="71">
        <v>8</v>
      </c>
      <c r="P31" s="497"/>
      <c r="Q31" s="509">
        <v>3.4</v>
      </c>
      <c r="R31" s="509"/>
      <c r="S31" s="1115">
        <v>2.5</v>
      </c>
      <c r="T31" s="489"/>
      <c r="U31" s="489"/>
      <c r="V31" s="489"/>
      <c r="W31" s="489"/>
      <c r="X31" s="489"/>
      <c r="Y31" s="489"/>
      <c r="Z31" s="489"/>
      <c r="AA31" s="489"/>
      <c r="AB31" s="489"/>
      <c r="AC31" s="489"/>
      <c r="AD31" s="489"/>
    </row>
    <row r="32" spans="1:30" ht="15.75">
      <c r="A32" s="494" t="s">
        <v>750</v>
      </c>
      <c r="B32" s="481"/>
      <c r="C32" s="482"/>
      <c r="D32" s="483">
        <v>0.01</v>
      </c>
      <c r="E32" s="483">
        <v>0.15</v>
      </c>
      <c r="F32" s="483">
        <v>0.31</v>
      </c>
      <c r="G32" s="483">
        <v>0.31</v>
      </c>
      <c r="H32" s="483">
        <v>0.19</v>
      </c>
      <c r="I32" s="483">
        <v>0.03</v>
      </c>
      <c r="J32" s="483"/>
      <c r="K32" s="483"/>
      <c r="L32" s="484"/>
      <c r="M32" s="484"/>
      <c r="N32" s="483"/>
      <c r="O32" s="484">
        <v>3</v>
      </c>
      <c r="P32" s="495"/>
      <c r="Q32" s="509">
        <v>4.5</v>
      </c>
      <c r="R32" s="509"/>
      <c r="S32" s="1115">
        <v>3</v>
      </c>
      <c r="T32" s="489"/>
      <c r="U32" s="489"/>
      <c r="V32" s="489"/>
      <c r="W32" s="489"/>
      <c r="X32" s="489"/>
      <c r="Y32" s="489"/>
      <c r="Z32" s="489"/>
      <c r="AA32" s="489"/>
      <c r="AB32" s="489"/>
      <c r="AC32" s="489"/>
      <c r="AD32" s="489"/>
    </row>
    <row r="33" spans="1:30" ht="15.75">
      <c r="A33" s="500" t="s">
        <v>949</v>
      </c>
      <c r="B33" s="72"/>
      <c r="C33" s="69"/>
      <c r="D33" s="70"/>
      <c r="E33" s="70"/>
      <c r="F33" s="70"/>
      <c r="G33" s="70"/>
      <c r="H33" s="70">
        <v>0.12</v>
      </c>
      <c r="I33" s="70">
        <v>0.4</v>
      </c>
      <c r="J33" s="70">
        <v>0.4</v>
      </c>
      <c r="K33" s="70">
        <v>0.08</v>
      </c>
      <c r="L33" s="71"/>
      <c r="M33" s="71"/>
      <c r="N33" s="70"/>
      <c r="O33" s="71">
        <v>3</v>
      </c>
      <c r="P33" s="499"/>
      <c r="Q33" s="509">
        <v>1.6</v>
      </c>
      <c r="R33" s="509"/>
      <c r="S33" s="1115">
        <v>1.1000000000000001</v>
      </c>
      <c r="T33" s="489"/>
      <c r="U33" s="489"/>
      <c r="V33" s="489"/>
      <c r="W33" s="489"/>
      <c r="X33" s="489"/>
      <c r="Y33" s="489"/>
      <c r="Z33" s="489"/>
      <c r="AA33" s="489"/>
      <c r="AB33" s="489"/>
      <c r="AC33" s="489"/>
      <c r="AD33" s="489"/>
    </row>
    <row r="34" spans="1:30" ht="15.75">
      <c r="A34" s="494" t="s">
        <v>950</v>
      </c>
      <c r="B34" s="481"/>
      <c r="C34" s="482">
        <v>0.2</v>
      </c>
      <c r="D34" s="483">
        <v>0.35</v>
      </c>
      <c r="E34" s="483">
        <v>0.35</v>
      </c>
      <c r="F34" s="483">
        <v>0.1</v>
      </c>
      <c r="G34" s="483"/>
      <c r="H34" s="483"/>
      <c r="I34" s="483"/>
      <c r="J34" s="483"/>
      <c r="K34" s="483"/>
      <c r="L34" s="484"/>
      <c r="M34" s="484"/>
      <c r="N34" s="483"/>
      <c r="O34" s="484">
        <v>3</v>
      </c>
      <c r="P34" s="498"/>
      <c r="Q34" s="509">
        <v>2.9</v>
      </c>
      <c r="R34" s="509"/>
      <c r="S34" s="1115">
        <v>1.8</v>
      </c>
      <c r="T34" s="489"/>
      <c r="U34" s="489"/>
      <c r="V34" s="489"/>
      <c r="W34" s="489"/>
      <c r="X34" s="489"/>
      <c r="Y34" s="489"/>
      <c r="Z34" s="489"/>
      <c r="AA34" s="489"/>
      <c r="AB34" s="489"/>
      <c r="AC34" s="489"/>
      <c r="AD34" s="489"/>
    </row>
    <row r="35" spans="1:30" ht="15.75">
      <c r="A35" s="496" t="s">
        <v>103</v>
      </c>
      <c r="B35" s="72"/>
      <c r="C35" s="69">
        <v>7.0000000000000007E-2</v>
      </c>
      <c r="D35" s="70">
        <v>0.27</v>
      </c>
      <c r="E35" s="70">
        <v>0.2</v>
      </c>
      <c r="F35" s="70">
        <v>0.14000000000000001</v>
      </c>
      <c r="G35" s="70">
        <v>0.12</v>
      </c>
      <c r="H35" s="70">
        <v>0.13</v>
      </c>
      <c r="I35" s="70">
        <v>7.0000000000000007E-2</v>
      </c>
      <c r="J35" s="70"/>
      <c r="K35" s="70"/>
      <c r="L35" s="71"/>
      <c r="M35" s="71"/>
      <c r="N35" s="70"/>
      <c r="O35" s="71">
        <v>3</v>
      </c>
      <c r="P35" s="497"/>
      <c r="Q35" s="509">
        <v>4.5</v>
      </c>
      <c r="R35" s="509"/>
      <c r="S35" s="1115">
        <v>3.4</v>
      </c>
      <c r="T35" s="489"/>
      <c r="U35" s="489"/>
      <c r="V35" s="489"/>
      <c r="W35" s="489"/>
      <c r="X35" s="489"/>
      <c r="Y35" s="489"/>
      <c r="Z35" s="489"/>
      <c r="AA35" s="489"/>
      <c r="AB35" s="489"/>
      <c r="AC35" s="489"/>
      <c r="AD35" s="489"/>
    </row>
    <row r="36" spans="1:30" ht="15.75">
      <c r="A36" s="494" t="s">
        <v>751</v>
      </c>
      <c r="B36" s="481"/>
      <c r="C36" s="482">
        <v>0.09</v>
      </c>
      <c r="D36" s="483">
        <v>0.23</v>
      </c>
      <c r="E36" s="483">
        <v>0.23</v>
      </c>
      <c r="F36" s="483">
        <v>0.14000000000000001</v>
      </c>
      <c r="G36" s="483">
        <v>0.11</v>
      </c>
      <c r="H36" s="483">
        <v>0.15</v>
      </c>
      <c r="I36" s="483">
        <v>0.05</v>
      </c>
      <c r="J36" s="483"/>
      <c r="K36" s="483"/>
      <c r="L36" s="484"/>
      <c r="M36" s="484"/>
      <c r="N36" s="483"/>
      <c r="O36" s="484">
        <v>3</v>
      </c>
      <c r="P36" s="495"/>
      <c r="Q36" s="509">
        <v>4.7</v>
      </c>
      <c r="R36" s="509"/>
      <c r="S36" s="1115">
        <v>3.5</v>
      </c>
      <c r="T36" s="489"/>
      <c r="U36" s="489"/>
      <c r="V36" s="489"/>
      <c r="W36" s="489"/>
      <c r="X36" s="489"/>
      <c r="Y36" s="489"/>
      <c r="Z36" s="489"/>
      <c r="AA36" s="489"/>
      <c r="AB36" s="489"/>
      <c r="AC36" s="489"/>
      <c r="AD36" s="489"/>
    </row>
    <row r="37" spans="1:30" ht="15.75">
      <c r="A37" s="496" t="s">
        <v>104</v>
      </c>
      <c r="B37" s="72"/>
      <c r="C37" s="69">
        <v>0.05</v>
      </c>
      <c r="D37" s="70">
        <v>0.2</v>
      </c>
      <c r="E37" s="70">
        <v>0.23</v>
      </c>
      <c r="F37" s="70">
        <v>0.19</v>
      </c>
      <c r="G37" s="70">
        <v>0.13</v>
      </c>
      <c r="H37" s="70">
        <v>0.15</v>
      </c>
      <c r="I37" s="70">
        <v>0.05</v>
      </c>
      <c r="J37" s="70"/>
      <c r="K37" s="70"/>
      <c r="L37" s="71"/>
      <c r="M37" s="71"/>
      <c r="N37" s="70"/>
      <c r="O37" s="71">
        <v>3</v>
      </c>
      <c r="P37" s="497"/>
      <c r="Q37" s="509">
        <v>4.8</v>
      </c>
      <c r="R37" s="509"/>
      <c r="S37" s="1115">
        <v>3</v>
      </c>
      <c r="T37" s="489"/>
      <c r="U37" s="489"/>
      <c r="V37" s="489"/>
      <c r="W37" s="489"/>
      <c r="X37" s="489"/>
      <c r="Y37" s="489"/>
      <c r="Z37" s="489"/>
      <c r="AA37" s="489"/>
      <c r="AB37" s="489"/>
      <c r="AC37" s="489"/>
      <c r="AD37" s="489"/>
    </row>
    <row r="38" spans="1:30" ht="15.75">
      <c r="A38" s="494" t="s">
        <v>752</v>
      </c>
      <c r="B38" s="481"/>
      <c r="C38" s="482">
        <v>0.05</v>
      </c>
      <c r="D38" s="483">
        <v>0.2</v>
      </c>
      <c r="E38" s="483">
        <v>0.2</v>
      </c>
      <c r="F38" s="483">
        <v>0.1</v>
      </c>
      <c r="G38" s="483">
        <v>0.1</v>
      </c>
      <c r="H38" s="483">
        <v>0.15</v>
      </c>
      <c r="I38" s="483">
        <v>0.15</v>
      </c>
      <c r="J38" s="483">
        <v>0.05</v>
      </c>
      <c r="K38" s="483"/>
      <c r="L38" s="484"/>
      <c r="M38" s="484"/>
      <c r="N38" s="483"/>
      <c r="O38" s="484">
        <v>3</v>
      </c>
      <c r="P38" s="495"/>
      <c r="Q38" s="509">
        <v>5.5</v>
      </c>
      <c r="R38" s="509"/>
      <c r="S38" s="1115">
        <v>3</v>
      </c>
      <c r="T38" s="489"/>
      <c r="U38" s="489"/>
      <c r="V38" s="489"/>
      <c r="W38" s="489"/>
      <c r="X38" s="489"/>
      <c r="Y38" s="489"/>
      <c r="Z38" s="489"/>
      <c r="AA38" s="489"/>
      <c r="AB38" s="489"/>
      <c r="AC38" s="489"/>
      <c r="AD38" s="489"/>
    </row>
    <row r="39" spans="1:30" ht="15.75">
      <c r="A39" s="496" t="s">
        <v>753</v>
      </c>
      <c r="B39" s="72"/>
      <c r="C39" s="69">
        <v>0.09</v>
      </c>
      <c r="D39" s="70">
        <v>0.22</v>
      </c>
      <c r="E39" s="70">
        <v>0.22</v>
      </c>
      <c r="F39" s="70">
        <v>0.14000000000000001</v>
      </c>
      <c r="G39" s="70">
        <v>7.0000000000000007E-2</v>
      </c>
      <c r="H39" s="70">
        <v>0.11</v>
      </c>
      <c r="I39" s="71">
        <v>0.13</v>
      </c>
      <c r="J39" s="71">
        <v>0.02</v>
      </c>
      <c r="K39" s="71"/>
      <c r="L39" s="71"/>
      <c r="M39" s="71"/>
      <c r="N39" s="71"/>
      <c r="O39" s="71">
        <v>3</v>
      </c>
      <c r="P39" s="499"/>
      <c r="Q39" s="509">
        <v>5.2</v>
      </c>
      <c r="R39" s="509"/>
      <c r="S39" s="1115">
        <v>3.1</v>
      </c>
      <c r="T39" s="489"/>
      <c r="U39" s="489"/>
      <c r="V39" s="489"/>
      <c r="W39" s="489"/>
      <c r="X39" s="489"/>
      <c r="Y39" s="489"/>
      <c r="Z39" s="489"/>
      <c r="AA39" s="489"/>
      <c r="AB39" s="489"/>
      <c r="AC39" s="489"/>
      <c r="AD39" s="489"/>
    </row>
    <row r="40" spans="1:30" ht="15.75">
      <c r="A40" s="494" t="s">
        <v>754</v>
      </c>
      <c r="B40" s="481"/>
      <c r="C40" s="482">
        <v>0.05</v>
      </c>
      <c r="D40" s="483">
        <v>0.2</v>
      </c>
      <c r="E40" s="483">
        <v>0.21</v>
      </c>
      <c r="F40" s="483">
        <v>0.18</v>
      </c>
      <c r="G40" s="483">
        <v>0.12</v>
      </c>
      <c r="H40" s="483">
        <v>0.13</v>
      </c>
      <c r="I40" s="483">
        <v>0.08</v>
      </c>
      <c r="J40" s="483">
        <v>0.03</v>
      </c>
      <c r="K40" s="483"/>
      <c r="L40" s="484"/>
      <c r="M40" s="484"/>
      <c r="N40" s="483"/>
      <c r="O40" s="484">
        <v>3</v>
      </c>
      <c r="P40" s="495"/>
      <c r="Q40" s="509">
        <v>5.5</v>
      </c>
      <c r="R40" s="509"/>
      <c r="S40" s="1115">
        <v>3.5</v>
      </c>
      <c r="T40" s="489"/>
      <c r="U40" s="489"/>
      <c r="V40" s="489"/>
      <c r="W40" s="489"/>
      <c r="X40" s="489"/>
      <c r="Y40" s="489"/>
      <c r="Z40" s="489"/>
      <c r="AA40" s="489"/>
      <c r="AB40" s="489"/>
      <c r="AC40" s="489"/>
      <c r="AD40" s="489"/>
    </row>
    <row r="41" spans="1:30" ht="15.75">
      <c r="A41" s="496" t="s">
        <v>105</v>
      </c>
      <c r="B41" s="72"/>
      <c r="C41" s="69">
        <v>0.06</v>
      </c>
      <c r="D41" s="70">
        <v>0.25</v>
      </c>
      <c r="E41" s="70">
        <v>0.33</v>
      </c>
      <c r="F41" s="70">
        <v>0.17</v>
      </c>
      <c r="G41" s="70">
        <v>0.09</v>
      </c>
      <c r="H41" s="70">
        <v>0.06</v>
      </c>
      <c r="I41" s="71">
        <v>0.03</v>
      </c>
      <c r="J41" s="71">
        <v>0.01</v>
      </c>
      <c r="K41" s="71"/>
      <c r="L41" s="71"/>
      <c r="M41" s="71"/>
      <c r="N41" s="71"/>
      <c r="O41" s="71">
        <v>3</v>
      </c>
      <c r="P41" s="497"/>
      <c r="Q41" s="509">
        <v>3.5</v>
      </c>
      <c r="R41" s="509"/>
      <c r="S41" s="1115">
        <v>2.2999999999999998</v>
      </c>
      <c r="T41" s="489"/>
      <c r="U41" s="489"/>
      <c r="V41" s="489"/>
      <c r="W41" s="489"/>
      <c r="X41" s="489"/>
      <c r="Y41" s="489"/>
      <c r="Z41" s="489"/>
      <c r="AA41" s="489"/>
      <c r="AB41" s="489"/>
      <c r="AC41" s="489"/>
      <c r="AD41" s="489"/>
    </row>
    <row r="42" spans="1:30" ht="15.75">
      <c r="A42" s="494" t="s">
        <v>755</v>
      </c>
      <c r="B42" s="481"/>
      <c r="C42" s="482">
        <v>0.05</v>
      </c>
      <c r="D42" s="483">
        <v>0.19</v>
      </c>
      <c r="E42" s="483">
        <v>0.27</v>
      </c>
      <c r="F42" s="483">
        <v>0.2</v>
      </c>
      <c r="G42" s="483">
        <v>0.12</v>
      </c>
      <c r="H42" s="483">
        <v>0.11</v>
      </c>
      <c r="I42" s="484">
        <v>0.05</v>
      </c>
      <c r="J42" s="484">
        <v>0.01</v>
      </c>
      <c r="K42" s="484"/>
      <c r="L42" s="484"/>
      <c r="M42" s="484"/>
      <c r="N42" s="484"/>
      <c r="O42" s="484">
        <v>4</v>
      </c>
      <c r="P42" s="495"/>
      <c r="Q42" s="509">
        <v>4.4000000000000004</v>
      </c>
      <c r="R42" s="509"/>
      <c r="S42" s="1115">
        <v>2.9</v>
      </c>
      <c r="T42" s="489"/>
      <c r="U42" s="489"/>
      <c r="V42" s="489"/>
      <c r="W42" s="489"/>
      <c r="X42" s="489"/>
      <c r="Y42" s="489"/>
      <c r="Z42" s="489"/>
      <c r="AA42" s="489"/>
      <c r="AB42" s="489"/>
      <c r="AC42" s="489"/>
      <c r="AD42" s="489"/>
    </row>
    <row r="43" spans="1:30" ht="15.75">
      <c r="A43" s="496" t="s">
        <v>756</v>
      </c>
      <c r="B43" s="72"/>
      <c r="C43" s="69">
        <v>0.22</v>
      </c>
      <c r="D43" s="70">
        <v>0.28000000000000003</v>
      </c>
      <c r="E43" s="70">
        <v>0.1</v>
      </c>
      <c r="F43" s="70"/>
      <c r="G43" s="70"/>
      <c r="H43" s="70">
        <v>0.05</v>
      </c>
      <c r="I43" s="70">
        <v>0.15</v>
      </c>
      <c r="J43" s="70">
        <v>0.1</v>
      </c>
      <c r="K43" s="70">
        <v>7.0000000000000007E-2</v>
      </c>
      <c r="L43" s="71"/>
      <c r="M43" s="71"/>
      <c r="N43" s="70">
        <v>0.03</v>
      </c>
      <c r="O43" s="71">
        <v>3</v>
      </c>
      <c r="P43" s="497"/>
      <c r="Q43" s="509">
        <v>2.1</v>
      </c>
      <c r="R43" s="509"/>
      <c r="S43" s="1115">
        <v>1.3</v>
      </c>
      <c r="T43" s="489"/>
      <c r="U43" s="489"/>
      <c r="V43" s="489"/>
      <c r="W43" s="489"/>
      <c r="X43" s="489"/>
      <c r="Y43" s="489"/>
      <c r="Z43" s="489"/>
      <c r="AA43" s="489"/>
      <c r="AB43" s="489"/>
      <c r="AC43" s="489"/>
      <c r="AD43" s="489"/>
    </row>
    <row r="44" spans="1:30" ht="15.75">
      <c r="A44" s="494" t="s">
        <v>757</v>
      </c>
      <c r="B44" s="481"/>
      <c r="C44" s="482">
        <v>0.15</v>
      </c>
      <c r="D44" s="483">
        <v>0.3</v>
      </c>
      <c r="E44" s="483">
        <v>0.2</v>
      </c>
      <c r="F44" s="483">
        <v>0.05</v>
      </c>
      <c r="G44" s="483"/>
      <c r="H44" s="483">
        <v>0.02</v>
      </c>
      <c r="I44" s="483">
        <v>0.1</v>
      </c>
      <c r="J44" s="483">
        <v>0.13</v>
      </c>
      <c r="K44" s="483">
        <v>0.05</v>
      </c>
      <c r="L44" s="484"/>
      <c r="M44" s="484"/>
      <c r="N44" s="483"/>
      <c r="O44" s="484">
        <v>3</v>
      </c>
      <c r="P44" s="495"/>
      <c r="Q44" s="509">
        <v>2</v>
      </c>
      <c r="R44" s="509"/>
      <c r="S44" s="1115">
        <v>3</v>
      </c>
      <c r="T44" s="489"/>
      <c r="U44" s="489"/>
      <c r="V44" s="489"/>
      <c r="W44" s="489"/>
      <c r="X44" s="489"/>
      <c r="Y44" s="489"/>
      <c r="Z44" s="489"/>
      <c r="AA44" s="489"/>
      <c r="AB44" s="489"/>
      <c r="AC44" s="489"/>
      <c r="AD44" s="489"/>
    </row>
    <row r="45" spans="1:30" ht="15.75">
      <c r="A45" s="496" t="s">
        <v>758</v>
      </c>
      <c r="B45" s="72"/>
      <c r="C45" s="69">
        <v>0.08</v>
      </c>
      <c r="D45" s="70">
        <v>0.3</v>
      </c>
      <c r="E45" s="70">
        <v>0.25</v>
      </c>
      <c r="F45" s="70">
        <v>0.12</v>
      </c>
      <c r="G45" s="70">
        <v>0.05</v>
      </c>
      <c r="H45" s="70">
        <v>0.1</v>
      </c>
      <c r="I45" s="70">
        <v>7.0000000000000007E-2</v>
      </c>
      <c r="J45" s="70">
        <v>0.03</v>
      </c>
      <c r="K45" s="70"/>
      <c r="L45" s="71"/>
      <c r="M45" s="71"/>
      <c r="N45" s="70"/>
      <c r="O45" s="71">
        <v>3</v>
      </c>
      <c r="P45" s="497"/>
      <c r="Q45" s="509">
        <v>4.5</v>
      </c>
      <c r="R45" s="509"/>
      <c r="S45" s="1115">
        <v>3.1</v>
      </c>
      <c r="T45" s="489"/>
      <c r="U45" s="489"/>
      <c r="V45" s="489"/>
      <c r="W45" s="489"/>
      <c r="X45" s="489"/>
      <c r="Y45" s="489"/>
      <c r="Z45" s="489"/>
      <c r="AA45" s="489"/>
      <c r="AB45" s="489"/>
      <c r="AC45" s="489"/>
      <c r="AD45" s="489"/>
    </row>
    <row r="46" spans="1:30" ht="15.75">
      <c r="A46" s="494" t="s">
        <v>759</v>
      </c>
      <c r="B46" s="481"/>
      <c r="C46" s="482">
        <v>0.05</v>
      </c>
      <c r="D46" s="483">
        <v>0.22</v>
      </c>
      <c r="E46" s="483">
        <v>0.25</v>
      </c>
      <c r="F46" s="483">
        <v>0.18</v>
      </c>
      <c r="G46" s="483">
        <v>0.08</v>
      </c>
      <c r="H46" s="483">
        <v>0.1</v>
      </c>
      <c r="I46" s="483">
        <v>0.1</v>
      </c>
      <c r="J46" s="483">
        <v>0.02</v>
      </c>
      <c r="K46" s="483"/>
      <c r="L46" s="484"/>
      <c r="M46" s="484"/>
      <c r="N46" s="483"/>
      <c r="O46" s="484">
        <v>3</v>
      </c>
      <c r="P46" s="495"/>
      <c r="Q46" s="509">
        <v>4.8</v>
      </c>
      <c r="R46" s="509"/>
      <c r="S46" s="1115">
        <v>1.3</v>
      </c>
      <c r="T46" s="489"/>
      <c r="U46" s="489"/>
      <c r="V46" s="489"/>
      <c r="W46" s="489"/>
      <c r="X46" s="489"/>
      <c r="Y46" s="489"/>
      <c r="Z46" s="489"/>
      <c r="AA46" s="489"/>
      <c r="AB46" s="489"/>
      <c r="AC46" s="489"/>
      <c r="AD46" s="489"/>
    </row>
    <row r="47" spans="1:30" ht="15.75">
      <c r="A47" s="502" t="s">
        <v>760</v>
      </c>
      <c r="B47" s="72"/>
      <c r="C47" s="76"/>
      <c r="D47" s="71">
        <v>0.01</v>
      </c>
      <c r="E47" s="71">
        <v>0.13</v>
      </c>
      <c r="F47" s="71">
        <v>0.32</v>
      </c>
      <c r="G47" s="71">
        <v>0.34</v>
      </c>
      <c r="H47" s="71">
        <v>0.2</v>
      </c>
      <c r="I47" s="71"/>
      <c r="J47" s="71"/>
      <c r="K47" s="70"/>
      <c r="L47" s="71"/>
      <c r="M47" s="71"/>
      <c r="N47" s="71"/>
      <c r="O47" s="71">
        <v>6</v>
      </c>
      <c r="P47" s="497"/>
      <c r="Q47" s="509">
        <v>4.7</v>
      </c>
      <c r="R47" s="509"/>
      <c r="S47" s="1115">
        <v>3</v>
      </c>
      <c r="T47" s="489"/>
      <c r="U47" s="489"/>
      <c r="V47" s="489"/>
      <c r="W47" s="489"/>
      <c r="X47" s="489"/>
      <c r="Y47" s="489"/>
      <c r="Z47" s="489"/>
      <c r="AA47" s="489"/>
      <c r="AB47" s="489"/>
      <c r="AC47" s="489"/>
      <c r="AD47" s="489"/>
    </row>
    <row r="48" spans="1:30" ht="15.75">
      <c r="A48" s="501" t="s">
        <v>106</v>
      </c>
      <c r="B48" s="481"/>
      <c r="C48" s="481"/>
      <c r="D48" s="484">
        <v>0.11</v>
      </c>
      <c r="E48" s="484">
        <v>0.24</v>
      </c>
      <c r="F48" s="484">
        <v>0.32</v>
      </c>
      <c r="G48" s="484">
        <v>0.23</v>
      </c>
      <c r="H48" s="484">
        <v>0.1</v>
      </c>
      <c r="I48" s="484"/>
      <c r="J48" s="484"/>
      <c r="K48" s="483"/>
      <c r="L48" s="484"/>
      <c r="M48" s="484"/>
      <c r="N48" s="484"/>
      <c r="O48" s="484">
        <v>8</v>
      </c>
      <c r="P48" s="495"/>
      <c r="Q48" s="509">
        <v>3.9000000000000004</v>
      </c>
      <c r="R48" s="509"/>
      <c r="S48" s="1115">
        <v>2.6</v>
      </c>
      <c r="T48" s="489"/>
      <c r="U48" s="489"/>
      <c r="V48" s="489"/>
      <c r="W48" s="489"/>
      <c r="X48" s="489"/>
      <c r="Y48" s="489"/>
      <c r="Z48" s="489"/>
      <c r="AA48" s="489"/>
      <c r="AB48" s="489"/>
      <c r="AC48" s="489"/>
      <c r="AD48" s="489"/>
    </row>
    <row r="49" spans="1:30" ht="15.75">
      <c r="A49" s="496" t="s">
        <v>951</v>
      </c>
      <c r="B49" s="72"/>
      <c r="C49" s="69">
        <v>0.08</v>
      </c>
      <c r="D49" s="70">
        <v>0.23</v>
      </c>
      <c r="E49" s="70">
        <v>0.34</v>
      </c>
      <c r="F49" s="70">
        <v>0.1</v>
      </c>
      <c r="G49" s="70">
        <v>0.06</v>
      </c>
      <c r="H49" s="70">
        <v>0.14000000000000001</v>
      </c>
      <c r="I49" s="70">
        <v>0.05</v>
      </c>
      <c r="J49" s="70"/>
      <c r="K49" s="70"/>
      <c r="L49" s="71"/>
      <c r="M49" s="71"/>
      <c r="N49" s="70"/>
      <c r="O49" s="71">
        <v>4</v>
      </c>
      <c r="P49" s="497"/>
      <c r="Q49" s="509">
        <v>3.5</v>
      </c>
      <c r="R49" s="509"/>
      <c r="S49" s="1115">
        <v>2.2000000000000002</v>
      </c>
      <c r="T49" s="489"/>
      <c r="U49" s="489"/>
      <c r="V49" s="489"/>
      <c r="W49" s="489"/>
      <c r="X49" s="489"/>
      <c r="Y49" s="489"/>
      <c r="Z49" s="489"/>
      <c r="AA49" s="489"/>
      <c r="AB49" s="489"/>
      <c r="AC49" s="489"/>
      <c r="AD49" s="489"/>
    </row>
    <row r="50" spans="1:30" ht="15.75">
      <c r="A50" s="494" t="s">
        <v>761</v>
      </c>
      <c r="B50" s="481"/>
      <c r="C50" s="482">
        <v>0.23</v>
      </c>
      <c r="D50" s="483">
        <v>0.3</v>
      </c>
      <c r="E50" s="483"/>
      <c r="F50" s="483"/>
      <c r="G50" s="483"/>
      <c r="H50" s="483">
        <v>0.05</v>
      </c>
      <c r="I50" s="483">
        <v>0.15</v>
      </c>
      <c r="J50" s="483">
        <v>0.1</v>
      </c>
      <c r="K50" s="483">
        <v>0.05</v>
      </c>
      <c r="L50" s="484"/>
      <c r="M50" s="484"/>
      <c r="N50" s="483">
        <v>0.02</v>
      </c>
      <c r="O50" s="484">
        <v>3</v>
      </c>
      <c r="P50" s="495"/>
      <c r="Q50" s="509">
        <v>3.1</v>
      </c>
      <c r="R50" s="509"/>
      <c r="S50" s="1115">
        <v>2.1</v>
      </c>
      <c r="T50" s="489"/>
      <c r="U50" s="489"/>
      <c r="V50" s="489"/>
      <c r="W50" s="489"/>
      <c r="X50" s="489"/>
      <c r="Y50" s="489"/>
      <c r="Z50" s="489"/>
      <c r="AA50" s="489"/>
      <c r="AB50" s="489"/>
      <c r="AC50" s="489"/>
      <c r="AD50" s="489"/>
    </row>
    <row r="51" spans="1:30" ht="15.75">
      <c r="A51" s="496" t="s">
        <v>934</v>
      </c>
      <c r="B51" s="72"/>
      <c r="C51" s="69"/>
      <c r="D51" s="70"/>
      <c r="E51" s="70"/>
      <c r="F51" s="70"/>
      <c r="G51" s="70"/>
      <c r="H51" s="70">
        <v>0.12</v>
      </c>
      <c r="I51" s="70">
        <v>0.38</v>
      </c>
      <c r="J51" s="70">
        <v>0.35</v>
      </c>
      <c r="K51" s="70">
        <v>0.15</v>
      </c>
      <c r="L51" s="71"/>
      <c r="M51" s="71"/>
      <c r="N51" s="70"/>
      <c r="O51" s="71">
        <v>3</v>
      </c>
      <c r="P51" s="497"/>
      <c r="Q51" s="509">
        <v>3.2</v>
      </c>
      <c r="R51" s="509"/>
      <c r="S51" s="1115">
        <v>2.1</v>
      </c>
      <c r="T51" s="489"/>
      <c r="U51" s="489"/>
      <c r="V51" s="489"/>
      <c r="W51" s="489"/>
      <c r="X51" s="489"/>
      <c r="Y51" s="489"/>
      <c r="Z51" s="489"/>
      <c r="AA51" s="489"/>
      <c r="AB51" s="489"/>
      <c r="AC51" s="489"/>
      <c r="AD51" s="489"/>
    </row>
    <row r="52" spans="1:30" ht="15.75">
      <c r="A52" s="494" t="s">
        <v>935</v>
      </c>
      <c r="B52" s="481"/>
      <c r="C52" s="482">
        <v>0.25</v>
      </c>
      <c r="D52" s="483">
        <v>0.15</v>
      </c>
      <c r="E52" s="483"/>
      <c r="F52" s="483"/>
      <c r="G52" s="483"/>
      <c r="H52" s="483">
        <v>0.1</v>
      </c>
      <c r="I52" s="483">
        <v>0.15</v>
      </c>
      <c r="J52" s="483">
        <v>0.15</v>
      </c>
      <c r="K52" s="483">
        <v>0.1</v>
      </c>
      <c r="L52" s="484"/>
      <c r="M52" s="484"/>
      <c r="N52" s="483">
        <v>0.1</v>
      </c>
      <c r="O52" s="484">
        <v>3</v>
      </c>
      <c r="P52" s="495"/>
      <c r="Q52" s="509">
        <v>5.8</v>
      </c>
      <c r="R52" s="509"/>
      <c r="S52" s="1115">
        <v>3.9000000000000004</v>
      </c>
      <c r="T52" s="489"/>
      <c r="U52" s="489"/>
      <c r="V52" s="489"/>
      <c r="W52" s="489"/>
      <c r="X52" s="489"/>
      <c r="Y52" s="489"/>
      <c r="Z52" s="489"/>
      <c r="AA52" s="489"/>
      <c r="AB52" s="489"/>
      <c r="AC52" s="489"/>
      <c r="AD52" s="489"/>
    </row>
    <row r="53" spans="1:30" ht="15.75">
      <c r="A53" s="496" t="s">
        <v>936</v>
      </c>
      <c r="B53" s="72"/>
      <c r="C53" s="69">
        <v>0.25</v>
      </c>
      <c r="D53" s="70">
        <v>0.15</v>
      </c>
      <c r="E53" s="70"/>
      <c r="F53" s="70"/>
      <c r="G53" s="70"/>
      <c r="H53" s="70">
        <v>0.1</v>
      </c>
      <c r="I53" s="70">
        <v>0.15</v>
      </c>
      <c r="J53" s="70">
        <v>0.15</v>
      </c>
      <c r="K53" s="70">
        <v>0.1</v>
      </c>
      <c r="L53" s="71"/>
      <c r="M53" s="71"/>
      <c r="N53" s="70">
        <v>0.1</v>
      </c>
      <c r="O53" s="71">
        <v>3</v>
      </c>
      <c r="P53" s="499"/>
      <c r="Q53" s="509">
        <v>3.8</v>
      </c>
      <c r="R53" s="509"/>
      <c r="S53" s="1115">
        <v>2.5</v>
      </c>
      <c r="T53" s="489"/>
      <c r="U53" s="489"/>
      <c r="V53" s="489"/>
      <c r="W53" s="489"/>
      <c r="X53" s="489"/>
      <c r="Y53" s="489"/>
      <c r="Z53" s="489"/>
      <c r="AA53" s="489"/>
      <c r="AB53" s="489"/>
      <c r="AC53" s="489"/>
      <c r="AD53" s="489"/>
    </row>
    <row r="54" spans="1:30" ht="15.75">
      <c r="A54" s="494" t="s">
        <v>937</v>
      </c>
      <c r="B54" s="481"/>
      <c r="C54" s="482"/>
      <c r="D54" s="483"/>
      <c r="E54" s="483"/>
      <c r="F54" s="483"/>
      <c r="G54" s="483"/>
      <c r="H54" s="483">
        <v>0.12</v>
      </c>
      <c r="I54" s="483">
        <v>0.38</v>
      </c>
      <c r="J54" s="483">
        <v>0.35</v>
      </c>
      <c r="K54" s="483">
        <v>0.15</v>
      </c>
      <c r="L54" s="484"/>
      <c r="M54" s="484"/>
      <c r="N54" s="483"/>
      <c r="O54" s="484">
        <v>3</v>
      </c>
      <c r="P54" s="498"/>
      <c r="Q54" s="509">
        <v>3.9000000000000004</v>
      </c>
      <c r="R54" s="509"/>
      <c r="S54" s="1115">
        <v>2.6</v>
      </c>
      <c r="T54" s="489"/>
      <c r="U54" s="489"/>
      <c r="V54" s="489"/>
      <c r="W54" s="489"/>
      <c r="X54" s="489"/>
      <c r="Y54" s="489"/>
      <c r="Z54" s="489"/>
      <c r="AA54" s="489"/>
      <c r="AB54" s="489"/>
      <c r="AC54" s="489"/>
      <c r="AD54" s="489"/>
    </row>
    <row r="55" spans="1:30" ht="15">
      <c r="A55" s="496"/>
      <c r="B55" s="72"/>
      <c r="C55" s="69"/>
      <c r="D55" s="70"/>
      <c r="E55" s="70"/>
      <c r="F55" s="70"/>
      <c r="G55" s="70"/>
      <c r="H55" s="70"/>
      <c r="I55" s="70"/>
      <c r="J55" s="70"/>
      <c r="K55" s="70"/>
      <c r="L55" s="71"/>
      <c r="M55" s="71"/>
      <c r="N55" s="70"/>
      <c r="O55" s="71"/>
      <c r="P55" s="499"/>
      <c r="Q55" s="1116"/>
      <c r="R55" s="509"/>
      <c r="S55" s="1116"/>
      <c r="T55" s="489"/>
      <c r="U55" s="489"/>
      <c r="V55" s="489"/>
      <c r="W55" s="489"/>
      <c r="X55" s="489"/>
      <c r="Y55" s="489"/>
      <c r="Z55" s="489"/>
      <c r="AA55" s="489"/>
      <c r="AB55" s="489"/>
      <c r="AC55" s="489"/>
      <c r="AD55" s="489"/>
    </row>
    <row r="56" spans="1:30" ht="15">
      <c r="A56" s="494"/>
      <c r="B56" s="481"/>
      <c r="C56" s="482"/>
      <c r="D56" s="483"/>
      <c r="E56" s="483"/>
      <c r="F56" s="483"/>
      <c r="G56" s="483"/>
      <c r="H56" s="483"/>
      <c r="I56" s="483"/>
      <c r="J56" s="483"/>
      <c r="K56" s="483"/>
      <c r="L56" s="484"/>
      <c r="M56" s="484"/>
      <c r="N56" s="483"/>
      <c r="O56" s="484"/>
      <c r="P56" s="498"/>
      <c r="Q56" s="1117"/>
      <c r="R56" s="509"/>
      <c r="S56" s="1117"/>
      <c r="T56" s="489"/>
      <c r="U56" s="489"/>
      <c r="V56" s="489"/>
      <c r="W56" s="489"/>
      <c r="X56" s="489"/>
      <c r="Y56" s="489"/>
      <c r="Z56" s="489"/>
      <c r="AA56" s="489"/>
      <c r="AB56" s="489"/>
      <c r="AC56" s="489"/>
      <c r="AD56" s="489"/>
    </row>
    <row r="57" spans="1:30" ht="15">
      <c r="A57" s="496"/>
      <c r="B57" s="72"/>
      <c r="C57" s="69"/>
      <c r="D57" s="70"/>
      <c r="E57" s="70"/>
      <c r="F57" s="70"/>
      <c r="G57" s="70"/>
      <c r="H57" s="70"/>
      <c r="I57" s="70"/>
      <c r="J57" s="70"/>
      <c r="K57" s="70"/>
      <c r="L57" s="71"/>
      <c r="M57" s="71"/>
      <c r="N57" s="70"/>
      <c r="O57" s="71"/>
      <c r="P57" s="497"/>
      <c r="Q57" s="509"/>
      <c r="R57" s="509"/>
      <c r="S57" s="489"/>
      <c r="T57" s="489"/>
      <c r="U57" s="489"/>
      <c r="V57" s="489"/>
      <c r="W57" s="489"/>
      <c r="X57" s="489"/>
      <c r="Y57" s="489"/>
      <c r="Z57" s="489"/>
      <c r="AA57" s="489"/>
      <c r="AB57" s="489"/>
      <c r="AC57" s="489"/>
      <c r="AD57" s="489"/>
    </row>
    <row r="58" spans="1:30" ht="15">
      <c r="A58" s="494"/>
      <c r="B58" s="481"/>
      <c r="C58" s="482"/>
      <c r="D58" s="483"/>
      <c r="E58" s="483"/>
      <c r="F58" s="483"/>
      <c r="G58" s="483"/>
      <c r="H58" s="483"/>
      <c r="I58" s="483"/>
      <c r="J58" s="483"/>
      <c r="K58" s="483"/>
      <c r="L58" s="484"/>
      <c r="M58" s="484"/>
      <c r="N58" s="483"/>
      <c r="O58" s="484"/>
      <c r="P58" s="495"/>
      <c r="Q58" s="509"/>
      <c r="R58" s="509"/>
      <c r="S58" s="489"/>
      <c r="T58" s="489"/>
      <c r="U58" s="489"/>
      <c r="V58" s="489"/>
      <c r="W58" s="489"/>
      <c r="X58" s="489"/>
      <c r="Y58" s="489"/>
      <c r="Z58" s="489"/>
      <c r="AA58" s="489"/>
      <c r="AB58" s="489"/>
      <c r="AC58" s="489"/>
      <c r="AD58" s="489"/>
    </row>
    <row r="59" spans="1:30" ht="15">
      <c r="A59" s="502"/>
      <c r="B59" s="72"/>
      <c r="C59" s="76"/>
      <c r="D59" s="71"/>
      <c r="E59" s="71"/>
      <c r="F59" s="71"/>
      <c r="G59" s="71"/>
      <c r="H59" s="71"/>
      <c r="I59" s="71"/>
      <c r="J59" s="71"/>
      <c r="K59" s="71"/>
      <c r="L59" s="71"/>
      <c r="M59" s="71"/>
      <c r="N59" s="71"/>
      <c r="O59" s="71"/>
      <c r="P59" s="497"/>
      <c r="Q59" s="509"/>
      <c r="R59" s="509"/>
      <c r="S59" s="489"/>
      <c r="T59" s="489"/>
      <c r="U59" s="489"/>
      <c r="V59" s="489"/>
      <c r="W59" s="489"/>
      <c r="X59" s="489"/>
      <c r="Y59" s="489"/>
      <c r="Z59" s="489"/>
      <c r="AA59" s="489"/>
      <c r="AB59" s="489"/>
      <c r="AC59" s="489"/>
      <c r="AD59" s="489"/>
    </row>
    <row r="60" spans="1:30" ht="15">
      <c r="A60" s="501"/>
      <c r="B60" s="481"/>
      <c r="C60" s="481"/>
      <c r="D60" s="484"/>
      <c r="E60" s="484"/>
      <c r="F60" s="484"/>
      <c r="G60" s="484"/>
      <c r="H60" s="484"/>
      <c r="I60" s="484"/>
      <c r="J60" s="484"/>
      <c r="K60" s="484"/>
      <c r="L60" s="484"/>
      <c r="M60" s="484"/>
      <c r="N60" s="484"/>
      <c r="O60" s="488"/>
      <c r="P60" s="498"/>
      <c r="Q60" s="509"/>
      <c r="R60" s="509"/>
      <c r="S60" s="489"/>
      <c r="T60" s="489"/>
      <c r="U60" s="489"/>
      <c r="V60" s="489"/>
      <c r="W60" s="489"/>
      <c r="X60" s="489"/>
      <c r="Y60" s="489"/>
      <c r="Z60" s="489"/>
      <c r="AA60" s="489"/>
      <c r="AB60" s="489"/>
      <c r="AC60" s="489"/>
      <c r="AD60" s="489"/>
    </row>
    <row r="61" spans="1:30" ht="15">
      <c r="A61" s="502"/>
      <c r="B61" s="72"/>
      <c r="C61" s="69"/>
      <c r="D61" s="70"/>
      <c r="E61" s="70"/>
      <c r="F61" s="70"/>
      <c r="G61" s="70"/>
      <c r="H61" s="70"/>
      <c r="I61" s="70"/>
      <c r="J61" s="70"/>
      <c r="K61" s="70"/>
      <c r="L61" s="71"/>
      <c r="M61" s="71"/>
      <c r="N61" s="70"/>
      <c r="O61" s="75"/>
      <c r="P61" s="499"/>
      <c r="Q61" s="509"/>
      <c r="R61" s="509"/>
      <c r="S61" s="489"/>
      <c r="T61" s="489"/>
      <c r="U61" s="489"/>
      <c r="V61" s="489"/>
      <c r="W61" s="489"/>
      <c r="X61" s="489"/>
      <c r="Y61" s="489"/>
      <c r="Z61" s="489"/>
      <c r="AA61" s="489"/>
      <c r="AB61" s="489"/>
      <c r="AC61" s="489"/>
      <c r="AD61" s="489"/>
    </row>
    <row r="62" spans="1:30" ht="15">
      <c r="A62" s="501"/>
      <c r="B62" s="481"/>
      <c r="C62" s="481"/>
      <c r="D62" s="484"/>
      <c r="E62" s="484"/>
      <c r="F62" s="484"/>
      <c r="G62" s="484"/>
      <c r="H62" s="484"/>
      <c r="I62" s="484"/>
      <c r="J62" s="484"/>
      <c r="K62" s="484"/>
      <c r="L62" s="484"/>
      <c r="M62" s="484"/>
      <c r="N62" s="484"/>
      <c r="O62" s="485"/>
      <c r="P62" s="498"/>
      <c r="Q62" s="509"/>
      <c r="R62" s="509"/>
      <c r="S62" s="489"/>
      <c r="T62" s="489"/>
      <c r="U62" s="489"/>
      <c r="V62" s="489"/>
      <c r="W62" s="489"/>
      <c r="X62" s="489"/>
      <c r="Y62" s="489"/>
      <c r="Z62" s="489"/>
      <c r="AA62" s="489"/>
      <c r="AB62" s="489"/>
      <c r="AC62" s="489"/>
      <c r="AD62" s="489"/>
    </row>
    <row r="63" spans="1:30" ht="15">
      <c r="A63" s="496"/>
      <c r="B63" s="72"/>
      <c r="C63" s="69"/>
      <c r="D63" s="70"/>
      <c r="E63" s="70"/>
      <c r="F63" s="70"/>
      <c r="G63" s="70"/>
      <c r="H63" s="70"/>
      <c r="I63" s="70"/>
      <c r="J63" s="70"/>
      <c r="K63" s="70"/>
      <c r="L63" s="71"/>
      <c r="M63" s="71"/>
      <c r="N63" s="70"/>
      <c r="O63" s="71"/>
      <c r="P63" s="497"/>
      <c r="Q63" s="509"/>
      <c r="R63" s="509"/>
      <c r="S63" s="489"/>
      <c r="T63" s="489"/>
      <c r="U63" s="489"/>
      <c r="V63" s="489"/>
      <c r="W63" s="489"/>
      <c r="X63" s="489"/>
      <c r="Y63" s="489"/>
      <c r="Z63" s="489"/>
      <c r="AA63" s="489"/>
      <c r="AB63" s="489"/>
      <c r="AC63" s="489"/>
      <c r="AD63" s="489"/>
    </row>
    <row r="64" spans="1:30" ht="15">
      <c r="A64" s="494"/>
      <c r="B64" s="481"/>
      <c r="C64" s="482"/>
      <c r="D64" s="483"/>
      <c r="E64" s="483"/>
      <c r="F64" s="483"/>
      <c r="G64" s="483"/>
      <c r="H64" s="483"/>
      <c r="I64" s="483"/>
      <c r="J64" s="484"/>
      <c r="K64" s="484"/>
      <c r="L64" s="484"/>
      <c r="M64" s="484"/>
      <c r="N64" s="484"/>
      <c r="O64" s="484"/>
      <c r="P64" s="495"/>
      <c r="Q64" s="509"/>
      <c r="R64" s="509"/>
      <c r="S64" s="489"/>
      <c r="T64" s="489"/>
      <c r="U64" s="489"/>
      <c r="V64" s="489"/>
      <c r="W64" s="489"/>
      <c r="X64" s="489"/>
      <c r="Y64" s="489"/>
      <c r="Z64" s="489"/>
      <c r="AA64" s="489"/>
      <c r="AB64" s="489"/>
      <c r="AC64" s="489"/>
      <c r="AD64" s="489"/>
    </row>
    <row r="65" spans="1:30" ht="15">
      <c r="A65" s="496"/>
      <c r="B65" s="72"/>
      <c r="C65" s="69"/>
      <c r="D65" s="70"/>
      <c r="E65" s="70"/>
      <c r="F65" s="70"/>
      <c r="G65" s="70"/>
      <c r="H65" s="70"/>
      <c r="I65" s="70"/>
      <c r="J65" s="70"/>
      <c r="K65" s="70"/>
      <c r="L65" s="71"/>
      <c r="M65" s="71"/>
      <c r="N65" s="70"/>
      <c r="O65" s="71"/>
      <c r="P65" s="497"/>
      <c r="Q65" s="509"/>
      <c r="R65" s="509"/>
      <c r="S65" s="489"/>
      <c r="T65" s="489"/>
      <c r="U65" s="489"/>
      <c r="V65" s="489"/>
      <c r="W65" s="489"/>
      <c r="X65" s="489"/>
      <c r="Y65" s="489"/>
      <c r="Z65" s="489"/>
      <c r="AA65" s="489"/>
      <c r="AB65" s="489"/>
      <c r="AC65" s="489"/>
      <c r="AD65" s="489"/>
    </row>
    <row r="66" spans="1:30" ht="15">
      <c r="A66" s="494"/>
      <c r="B66" s="481"/>
      <c r="C66" s="482"/>
      <c r="D66" s="483"/>
      <c r="E66" s="483"/>
      <c r="F66" s="483"/>
      <c r="G66" s="483"/>
      <c r="H66" s="483"/>
      <c r="I66" s="483"/>
      <c r="J66" s="483"/>
      <c r="K66" s="483"/>
      <c r="L66" s="484"/>
      <c r="M66" s="484"/>
      <c r="N66" s="483"/>
      <c r="O66" s="484"/>
      <c r="P66" s="495"/>
      <c r="Q66" s="509"/>
      <c r="R66" s="509"/>
      <c r="S66" s="489"/>
      <c r="T66" s="489"/>
      <c r="U66" s="489"/>
      <c r="V66" s="489"/>
      <c r="W66" s="489"/>
      <c r="X66" s="489"/>
      <c r="Y66" s="489"/>
      <c r="Z66" s="489"/>
      <c r="AA66" s="489"/>
      <c r="AB66" s="489"/>
      <c r="AC66" s="489"/>
      <c r="AD66" s="489"/>
    </row>
    <row r="67" spans="1:30" ht="15.75" thickBot="1">
      <c r="A67" s="503"/>
      <c r="B67" s="504"/>
      <c r="C67" s="505"/>
      <c r="D67" s="506"/>
      <c r="E67" s="506"/>
      <c r="F67" s="506"/>
      <c r="G67" s="506"/>
      <c r="H67" s="506"/>
      <c r="I67" s="506"/>
      <c r="J67" s="506"/>
      <c r="K67" s="506"/>
      <c r="L67" s="507"/>
      <c r="M67" s="507"/>
      <c r="N67" s="506"/>
      <c r="O67" s="507"/>
      <c r="P67" s="508"/>
      <c r="Q67" s="509"/>
      <c r="R67" s="509"/>
      <c r="S67" s="489"/>
      <c r="T67" s="489"/>
      <c r="U67" s="489"/>
      <c r="V67" s="489"/>
      <c r="W67" s="489"/>
      <c r="X67" s="489"/>
      <c r="Y67" s="489"/>
      <c r="Z67" s="489"/>
      <c r="AA67" s="489"/>
      <c r="AB67" s="489"/>
      <c r="AC67" s="489"/>
      <c r="AD67" s="489"/>
    </row>
    <row r="68" spans="1:30" ht="15">
      <c r="A68" s="509"/>
      <c r="B68" s="509"/>
      <c r="C68" s="509"/>
      <c r="D68" s="509"/>
      <c r="E68" s="509"/>
      <c r="F68" s="509"/>
      <c r="G68" s="509"/>
      <c r="H68" s="509"/>
      <c r="I68" s="509"/>
      <c r="J68" s="509"/>
      <c r="K68" s="509"/>
      <c r="L68" s="509"/>
      <c r="M68" s="509"/>
      <c r="N68" s="509"/>
      <c r="O68" s="509"/>
      <c r="P68" s="509"/>
      <c r="Q68" s="509"/>
      <c r="R68" s="489"/>
      <c r="S68" s="489"/>
      <c r="T68" s="489"/>
      <c r="U68" s="489"/>
      <c r="V68" s="489"/>
      <c r="W68" s="489"/>
      <c r="X68" s="489"/>
      <c r="Y68" s="489"/>
      <c r="Z68" s="489"/>
      <c r="AA68" s="489"/>
      <c r="AB68" s="489"/>
      <c r="AC68" s="489"/>
      <c r="AD68" s="489"/>
    </row>
    <row r="69" spans="1:30" ht="15">
      <c r="A69" s="509"/>
      <c r="B69" s="509"/>
      <c r="C69" s="509"/>
      <c r="D69" s="509"/>
      <c r="E69" s="509"/>
      <c r="F69" s="509"/>
      <c r="G69" s="509"/>
      <c r="H69" s="509"/>
      <c r="I69" s="509"/>
      <c r="J69" s="509"/>
      <c r="K69" s="509"/>
      <c r="L69" s="509"/>
      <c r="M69" s="509"/>
      <c r="N69" s="509"/>
      <c r="O69" s="509"/>
      <c r="P69" s="509"/>
      <c r="Q69" s="509"/>
      <c r="R69" s="489"/>
      <c r="S69" s="489"/>
      <c r="T69" s="489"/>
      <c r="U69" s="489"/>
      <c r="V69" s="489"/>
      <c r="W69" s="489"/>
      <c r="X69" s="489"/>
      <c r="Y69" s="489"/>
      <c r="Z69" s="489"/>
      <c r="AA69" s="489"/>
      <c r="AB69" s="489"/>
      <c r="AC69" s="489"/>
      <c r="AD69" s="489"/>
    </row>
    <row r="70" spans="1:30" ht="15">
      <c r="A70" s="509"/>
      <c r="B70" s="509"/>
      <c r="C70" s="509"/>
      <c r="D70" s="509"/>
      <c r="E70" s="509"/>
      <c r="F70" s="509"/>
      <c r="G70" s="509"/>
      <c r="H70" s="509"/>
      <c r="I70" s="509"/>
      <c r="J70" s="509"/>
      <c r="K70" s="509"/>
      <c r="L70" s="509"/>
      <c r="M70" s="509"/>
      <c r="N70" s="509"/>
      <c r="O70" s="509"/>
      <c r="P70" s="509"/>
      <c r="Q70" s="509"/>
      <c r="R70" s="489"/>
      <c r="S70" s="489"/>
      <c r="T70" s="489"/>
      <c r="U70" s="489"/>
      <c r="V70" s="489"/>
      <c r="W70" s="489"/>
      <c r="X70" s="489"/>
      <c r="Y70" s="489"/>
      <c r="Z70" s="489"/>
      <c r="AA70" s="489"/>
      <c r="AB70" s="489"/>
      <c r="AC70" s="489"/>
      <c r="AD70" s="489"/>
    </row>
    <row r="71" spans="1:30">
      <c r="A71" s="489"/>
      <c r="B71" s="489"/>
      <c r="C71" s="489"/>
      <c r="D71" s="489"/>
      <c r="E71" s="489"/>
      <c r="F71" s="489"/>
      <c r="G71" s="489"/>
      <c r="H71" s="489"/>
      <c r="I71" s="489"/>
      <c r="J71" s="489"/>
      <c r="K71" s="489"/>
      <c r="L71" s="489"/>
      <c r="M71" s="489"/>
      <c r="N71" s="489"/>
      <c r="O71" s="489"/>
      <c r="P71" s="489"/>
      <c r="Q71" s="489"/>
      <c r="R71" s="489"/>
      <c r="S71" s="489"/>
      <c r="T71" s="489"/>
      <c r="U71" s="489"/>
      <c r="V71" s="489"/>
      <c r="W71" s="489"/>
      <c r="X71" s="489"/>
      <c r="Y71" s="489"/>
      <c r="Z71" s="489"/>
      <c r="AA71" s="489"/>
      <c r="AB71" s="489"/>
      <c r="AC71" s="489"/>
      <c r="AD71" s="489"/>
    </row>
    <row r="72" spans="1:30">
      <c r="A72" s="489"/>
      <c r="B72" s="489"/>
      <c r="C72" s="489"/>
      <c r="D72" s="489"/>
      <c r="E72" s="489"/>
      <c r="F72" s="489"/>
      <c r="G72" s="489"/>
      <c r="H72" s="489"/>
      <c r="I72" s="489"/>
      <c r="J72" s="489"/>
      <c r="K72" s="489"/>
      <c r="L72" s="489"/>
      <c r="M72" s="489"/>
      <c r="N72" s="489"/>
      <c r="O72" s="489"/>
      <c r="P72" s="489"/>
      <c r="Q72" s="489"/>
      <c r="R72" s="489"/>
      <c r="S72" s="489"/>
      <c r="T72" s="489"/>
      <c r="U72" s="489"/>
      <c r="V72" s="489"/>
      <c r="W72" s="489"/>
      <c r="X72" s="489"/>
      <c r="Y72" s="489"/>
      <c r="Z72" s="489"/>
      <c r="AA72" s="489"/>
      <c r="AB72" s="489"/>
      <c r="AC72" s="489"/>
      <c r="AD72" s="489"/>
    </row>
    <row r="73" spans="1:30">
      <c r="A73" s="489"/>
      <c r="B73" s="489"/>
      <c r="C73" s="489"/>
      <c r="D73" s="489"/>
      <c r="E73" s="489"/>
      <c r="F73" s="489"/>
      <c r="G73" s="489"/>
      <c r="H73" s="489"/>
      <c r="I73" s="489"/>
      <c r="J73" s="489"/>
      <c r="K73" s="489"/>
      <c r="L73" s="489"/>
      <c r="M73" s="489"/>
      <c r="N73" s="489"/>
      <c r="O73" s="489"/>
      <c r="P73" s="489"/>
      <c r="Q73" s="489"/>
      <c r="R73" s="489"/>
      <c r="S73" s="489"/>
      <c r="T73" s="489"/>
      <c r="U73" s="489"/>
      <c r="V73" s="489"/>
      <c r="W73" s="489"/>
      <c r="X73" s="489"/>
      <c r="Y73" s="489"/>
      <c r="Z73" s="489"/>
      <c r="AA73" s="489"/>
      <c r="AB73" s="489"/>
      <c r="AC73" s="489"/>
      <c r="AD73" s="489"/>
    </row>
    <row r="74" spans="1:30">
      <c r="A74" s="489"/>
      <c r="B74" s="489"/>
      <c r="C74" s="489"/>
      <c r="D74" s="489"/>
      <c r="E74" s="489"/>
      <c r="F74" s="489"/>
      <c r="G74" s="489"/>
      <c r="H74" s="489"/>
      <c r="I74" s="489"/>
      <c r="J74" s="489"/>
      <c r="K74" s="489"/>
      <c r="L74" s="489"/>
      <c r="M74" s="489"/>
      <c r="N74" s="489"/>
      <c r="O74" s="489"/>
      <c r="P74" s="489"/>
      <c r="Q74" s="489"/>
      <c r="R74" s="489"/>
      <c r="S74" s="489"/>
      <c r="T74" s="489"/>
      <c r="U74" s="489"/>
      <c r="V74" s="489"/>
      <c r="W74" s="489"/>
      <c r="X74" s="489"/>
      <c r="Y74" s="489"/>
      <c r="Z74" s="489"/>
      <c r="AA74" s="489"/>
      <c r="AB74" s="489"/>
      <c r="AC74" s="489"/>
      <c r="AD74" s="489"/>
    </row>
    <row r="75" spans="1:30">
      <c r="A75" s="489"/>
      <c r="B75" s="489"/>
      <c r="C75" s="489"/>
      <c r="D75" s="489"/>
      <c r="E75" s="489"/>
      <c r="F75" s="489"/>
      <c r="G75" s="489"/>
      <c r="H75" s="489"/>
      <c r="I75" s="489"/>
      <c r="J75" s="489"/>
      <c r="K75" s="489"/>
      <c r="L75" s="489"/>
      <c r="M75" s="489"/>
      <c r="N75" s="489"/>
      <c r="O75" s="489"/>
      <c r="P75" s="489"/>
      <c r="Q75" s="489"/>
      <c r="R75" s="489"/>
      <c r="S75" s="489"/>
      <c r="T75" s="489"/>
      <c r="U75" s="489"/>
      <c r="V75" s="489"/>
      <c r="W75" s="489"/>
      <c r="X75" s="489"/>
      <c r="Y75" s="489"/>
      <c r="Z75" s="489"/>
      <c r="AA75" s="489"/>
      <c r="AB75" s="489"/>
      <c r="AC75" s="489"/>
      <c r="AD75" s="489"/>
    </row>
    <row r="76" spans="1:30">
      <c r="A76" s="489"/>
      <c r="B76" s="489"/>
      <c r="C76" s="489"/>
      <c r="D76" s="489"/>
      <c r="E76" s="489"/>
      <c r="F76" s="489"/>
      <c r="G76" s="489"/>
      <c r="H76" s="489"/>
      <c r="I76" s="489"/>
      <c r="J76" s="489"/>
      <c r="K76" s="489"/>
      <c r="L76" s="489"/>
      <c r="M76" s="489"/>
      <c r="N76" s="489"/>
      <c r="O76" s="489"/>
      <c r="P76" s="489"/>
      <c r="Q76" s="489"/>
      <c r="R76" s="489"/>
      <c r="S76" s="489"/>
      <c r="T76" s="489"/>
      <c r="U76" s="489"/>
      <c r="V76" s="489"/>
      <c r="W76" s="489"/>
      <c r="X76" s="489"/>
      <c r="Y76" s="489"/>
      <c r="Z76" s="489"/>
      <c r="AA76" s="489"/>
      <c r="AB76" s="489"/>
      <c r="AC76" s="489"/>
      <c r="AD76" s="489"/>
    </row>
    <row r="77" spans="1:30">
      <c r="A77" s="489"/>
      <c r="B77" s="489"/>
      <c r="C77" s="489"/>
      <c r="D77" s="489"/>
      <c r="E77" s="489"/>
      <c r="F77" s="489"/>
      <c r="G77" s="489"/>
      <c r="H77" s="489"/>
      <c r="I77" s="489"/>
      <c r="J77" s="489"/>
      <c r="K77" s="489"/>
      <c r="L77" s="489"/>
      <c r="M77" s="489"/>
      <c r="N77" s="489"/>
      <c r="O77" s="489"/>
      <c r="P77" s="489"/>
      <c r="Q77" s="489"/>
      <c r="R77" s="489"/>
      <c r="S77" s="489"/>
      <c r="T77" s="489"/>
      <c r="U77" s="489"/>
      <c r="V77" s="489"/>
      <c r="W77" s="489"/>
      <c r="X77" s="489"/>
      <c r="Y77" s="489"/>
      <c r="Z77" s="489"/>
      <c r="AA77" s="489"/>
      <c r="AB77" s="489"/>
      <c r="AC77" s="489"/>
      <c r="AD77" s="489"/>
    </row>
    <row r="78" spans="1:30">
      <c r="A78" s="489"/>
      <c r="B78" s="489"/>
      <c r="C78" s="489"/>
      <c r="D78" s="489"/>
      <c r="E78" s="489"/>
      <c r="F78" s="489"/>
      <c r="G78" s="489"/>
      <c r="H78" s="489"/>
      <c r="I78" s="489"/>
      <c r="J78" s="489"/>
      <c r="K78" s="489"/>
      <c r="L78" s="489"/>
      <c r="M78" s="489"/>
      <c r="N78" s="489"/>
      <c r="O78" s="489"/>
      <c r="P78" s="489"/>
      <c r="Q78" s="489"/>
      <c r="R78" s="489"/>
      <c r="S78" s="489"/>
      <c r="T78" s="489"/>
      <c r="U78" s="489"/>
      <c r="V78" s="489"/>
      <c r="W78" s="489"/>
      <c r="X78" s="489"/>
      <c r="Y78" s="489"/>
      <c r="Z78" s="489"/>
      <c r="AA78" s="489"/>
      <c r="AB78" s="489"/>
      <c r="AC78" s="489"/>
      <c r="AD78" s="489"/>
    </row>
    <row r="79" spans="1:30">
      <c r="A79" s="489"/>
      <c r="B79" s="489"/>
      <c r="C79" s="489"/>
      <c r="D79" s="489"/>
      <c r="E79" s="489"/>
      <c r="F79" s="489"/>
      <c r="G79" s="489"/>
      <c r="H79" s="489"/>
      <c r="I79" s="489"/>
      <c r="J79" s="489"/>
      <c r="K79" s="489"/>
      <c r="L79" s="489"/>
      <c r="M79" s="489"/>
      <c r="N79" s="489"/>
      <c r="O79" s="489"/>
      <c r="P79" s="489"/>
      <c r="Q79" s="489"/>
      <c r="R79" s="489"/>
      <c r="S79" s="489"/>
      <c r="T79" s="489"/>
      <c r="U79" s="489"/>
      <c r="V79" s="489"/>
      <c r="W79" s="489"/>
      <c r="X79" s="489"/>
      <c r="Y79" s="489"/>
      <c r="Z79" s="489"/>
      <c r="AA79" s="489"/>
      <c r="AB79" s="489"/>
      <c r="AC79" s="489"/>
      <c r="AD79" s="489"/>
    </row>
    <row r="80" spans="1:30">
      <c r="A80" s="489"/>
      <c r="B80" s="489"/>
      <c r="C80" s="489"/>
      <c r="D80" s="489"/>
      <c r="E80" s="489"/>
      <c r="F80" s="489"/>
      <c r="G80" s="489"/>
      <c r="H80" s="489"/>
      <c r="I80" s="489"/>
      <c r="J80" s="489"/>
      <c r="K80" s="489"/>
      <c r="L80" s="489"/>
      <c r="M80" s="489"/>
      <c r="N80" s="489"/>
      <c r="O80" s="489"/>
      <c r="P80" s="489"/>
      <c r="Q80" s="489"/>
      <c r="R80" s="489"/>
      <c r="S80" s="489"/>
      <c r="T80" s="489"/>
      <c r="U80" s="489"/>
      <c r="V80" s="489"/>
      <c r="W80" s="489"/>
      <c r="X80" s="489"/>
      <c r="Y80" s="489"/>
      <c r="Z80" s="489"/>
      <c r="AA80" s="489"/>
      <c r="AB80" s="489"/>
      <c r="AC80" s="489"/>
      <c r="AD80" s="489"/>
    </row>
    <row r="81" spans="1:30">
      <c r="A81" s="489"/>
      <c r="B81" s="489"/>
      <c r="C81" s="489"/>
      <c r="D81" s="489"/>
      <c r="E81" s="489"/>
      <c r="F81" s="489"/>
      <c r="G81" s="489"/>
      <c r="H81" s="489"/>
      <c r="I81" s="489"/>
      <c r="J81" s="489"/>
      <c r="K81" s="489"/>
      <c r="L81" s="489"/>
      <c r="M81" s="489"/>
      <c r="N81" s="489"/>
      <c r="O81" s="489"/>
      <c r="P81" s="489"/>
      <c r="Q81" s="489"/>
      <c r="R81" s="489"/>
      <c r="S81" s="489"/>
      <c r="T81" s="489"/>
      <c r="U81" s="489"/>
      <c r="V81" s="489"/>
      <c r="W81" s="489"/>
      <c r="X81" s="489"/>
      <c r="Y81" s="489"/>
      <c r="Z81" s="489"/>
      <c r="AA81" s="489"/>
      <c r="AB81" s="489"/>
      <c r="AC81" s="489"/>
      <c r="AD81" s="489"/>
    </row>
    <row r="82" spans="1:30">
      <c r="A82" s="489"/>
      <c r="B82" s="489"/>
      <c r="C82" s="489"/>
      <c r="D82" s="489"/>
      <c r="E82" s="489"/>
      <c r="F82" s="489"/>
      <c r="G82" s="489"/>
      <c r="H82" s="489"/>
      <c r="I82" s="489"/>
      <c r="J82" s="489"/>
      <c r="K82" s="489"/>
      <c r="L82" s="489"/>
      <c r="M82" s="489"/>
      <c r="N82" s="489"/>
      <c r="O82" s="489"/>
      <c r="P82" s="489"/>
      <c r="Q82" s="489"/>
      <c r="R82" s="489"/>
      <c r="S82" s="489"/>
      <c r="T82" s="489"/>
      <c r="U82" s="489"/>
      <c r="V82" s="489"/>
      <c r="W82" s="489"/>
      <c r="X82" s="489"/>
      <c r="Y82" s="489"/>
      <c r="Z82" s="489"/>
      <c r="AA82" s="489"/>
      <c r="AB82" s="489"/>
      <c r="AC82" s="489"/>
      <c r="AD82" s="489"/>
    </row>
    <row r="83" spans="1:30">
      <c r="A83" s="489"/>
      <c r="B83" s="489"/>
      <c r="C83" s="489"/>
      <c r="D83" s="489"/>
      <c r="E83" s="489"/>
      <c r="F83" s="489"/>
      <c r="G83" s="489"/>
      <c r="H83" s="489"/>
      <c r="I83" s="489"/>
      <c r="J83" s="489"/>
      <c r="K83" s="489"/>
      <c r="L83" s="489"/>
      <c r="M83" s="489"/>
      <c r="N83" s="489"/>
      <c r="O83" s="489"/>
      <c r="P83" s="489"/>
      <c r="Q83" s="489"/>
      <c r="R83" s="489"/>
      <c r="S83" s="489"/>
      <c r="T83" s="489"/>
      <c r="U83" s="489"/>
      <c r="V83" s="489"/>
      <c r="W83" s="489"/>
      <c r="X83" s="489"/>
      <c r="Y83" s="489"/>
      <c r="Z83" s="489"/>
      <c r="AA83" s="489"/>
      <c r="AB83" s="489"/>
      <c r="AC83" s="489"/>
      <c r="AD83" s="489"/>
    </row>
    <row r="84" spans="1:30">
      <c r="A84" s="489"/>
      <c r="B84" s="489"/>
      <c r="C84" s="489"/>
      <c r="D84" s="489"/>
      <c r="E84" s="489"/>
      <c r="F84" s="489"/>
      <c r="G84" s="489"/>
      <c r="H84" s="489"/>
      <c r="I84" s="489"/>
      <c r="J84" s="489"/>
      <c r="K84" s="489"/>
      <c r="L84" s="489"/>
      <c r="M84" s="489"/>
      <c r="N84" s="489"/>
      <c r="O84" s="489"/>
      <c r="P84" s="489"/>
      <c r="Q84" s="489"/>
      <c r="R84" s="489"/>
      <c r="S84" s="489"/>
      <c r="T84" s="489"/>
      <c r="U84" s="489"/>
      <c r="V84" s="489"/>
      <c r="W84" s="489"/>
      <c r="X84" s="489"/>
      <c r="Y84" s="489"/>
      <c r="Z84" s="489"/>
      <c r="AA84" s="489"/>
      <c r="AB84" s="489"/>
      <c r="AC84" s="489"/>
      <c r="AD84" s="489"/>
    </row>
    <row r="85" spans="1:30">
      <c r="A85" s="489"/>
      <c r="B85" s="489"/>
      <c r="C85" s="489"/>
      <c r="D85" s="489"/>
      <c r="E85" s="489"/>
      <c r="F85" s="489"/>
      <c r="G85" s="489"/>
      <c r="H85" s="489"/>
      <c r="I85" s="489"/>
      <c r="J85" s="489"/>
      <c r="K85" s="489"/>
      <c r="L85" s="489"/>
      <c r="M85" s="489"/>
      <c r="N85" s="489"/>
      <c r="O85" s="489"/>
      <c r="P85" s="489"/>
      <c r="Q85" s="489"/>
      <c r="R85" s="489"/>
      <c r="S85" s="489"/>
      <c r="T85" s="489"/>
      <c r="U85" s="489"/>
      <c r="V85" s="489"/>
      <c r="W85" s="489"/>
      <c r="X85" s="489"/>
      <c r="Y85" s="489"/>
      <c r="Z85" s="489"/>
      <c r="AA85" s="489"/>
      <c r="AB85" s="489"/>
      <c r="AC85" s="489"/>
      <c r="AD85" s="489"/>
    </row>
    <row r="86" spans="1:30">
      <c r="A86" s="489"/>
      <c r="B86" s="489"/>
      <c r="C86" s="489"/>
      <c r="D86" s="489"/>
      <c r="E86" s="489"/>
      <c r="F86" s="489"/>
      <c r="G86" s="489"/>
      <c r="H86" s="489"/>
      <c r="I86" s="489"/>
      <c r="J86" s="489"/>
      <c r="K86" s="489"/>
      <c r="L86" s="489"/>
      <c r="M86" s="489"/>
      <c r="N86" s="489"/>
      <c r="O86" s="489"/>
      <c r="P86" s="489"/>
      <c r="Q86" s="489"/>
      <c r="R86" s="489"/>
      <c r="S86" s="489"/>
      <c r="T86" s="489"/>
      <c r="U86" s="489"/>
      <c r="V86" s="489"/>
      <c r="W86" s="489"/>
      <c r="X86" s="489"/>
      <c r="Y86" s="489"/>
      <c r="Z86" s="489"/>
      <c r="AA86" s="489"/>
      <c r="AB86" s="489"/>
      <c r="AC86" s="489"/>
      <c r="AD86" s="489"/>
    </row>
    <row r="87" spans="1:30">
      <c r="A87" s="489"/>
      <c r="B87" s="489"/>
      <c r="C87" s="489"/>
      <c r="D87" s="489"/>
      <c r="E87" s="489"/>
      <c r="F87" s="489"/>
      <c r="G87" s="489"/>
      <c r="H87" s="489"/>
      <c r="I87" s="489"/>
      <c r="J87" s="489"/>
      <c r="K87" s="489"/>
      <c r="L87" s="489"/>
      <c r="M87" s="489"/>
      <c r="N87" s="489"/>
      <c r="O87" s="489"/>
      <c r="P87" s="489"/>
      <c r="Q87" s="489"/>
      <c r="R87" s="489"/>
      <c r="S87" s="489"/>
      <c r="T87" s="489"/>
      <c r="U87" s="489"/>
      <c r="V87" s="489"/>
      <c r="W87" s="489"/>
      <c r="X87" s="489"/>
      <c r="Y87" s="489"/>
      <c r="Z87" s="489"/>
      <c r="AA87" s="489"/>
      <c r="AB87" s="489"/>
      <c r="AC87" s="489"/>
      <c r="AD87" s="489"/>
    </row>
    <row r="88" spans="1:30">
      <c r="A88" s="489"/>
      <c r="B88" s="489"/>
      <c r="C88" s="489"/>
      <c r="D88" s="489"/>
      <c r="E88" s="489"/>
      <c r="F88" s="489"/>
      <c r="G88" s="489"/>
      <c r="H88" s="489"/>
      <c r="I88" s="489"/>
      <c r="J88" s="489"/>
      <c r="K88" s="489"/>
      <c r="L88" s="489"/>
      <c r="M88" s="489"/>
      <c r="N88" s="489"/>
      <c r="O88" s="489"/>
      <c r="P88" s="489"/>
      <c r="Q88" s="489"/>
      <c r="R88" s="489"/>
      <c r="S88" s="489"/>
      <c r="T88" s="489"/>
      <c r="U88" s="489"/>
      <c r="V88" s="489"/>
      <c r="W88" s="489"/>
      <c r="X88" s="489"/>
      <c r="Y88" s="489"/>
      <c r="Z88" s="489"/>
      <c r="AA88" s="489"/>
      <c r="AB88" s="489"/>
      <c r="AC88" s="489"/>
      <c r="AD88" s="489"/>
    </row>
    <row r="89" spans="1:30">
      <c r="A89" s="489"/>
      <c r="B89" s="489"/>
      <c r="C89" s="489"/>
      <c r="D89" s="489"/>
      <c r="E89" s="489"/>
      <c r="F89" s="489"/>
      <c r="G89" s="489"/>
      <c r="H89" s="489"/>
      <c r="I89" s="489"/>
      <c r="J89" s="489"/>
      <c r="K89" s="489"/>
      <c r="L89" s="489"/>
      <c r="M89" s="489"/>
      <c r="N89" s="489"/>
      <c r="O89" s="489"/>
      <c r="P89" s="489"/>
      <c r="Q89" s="489"/>
      <c r="R89" s="489"/>
      <c r="S89" s="489"/>
      <c r="T89" s="489"/>
      <c r="U89" s="489"/>
      <c r="V89" s="489"/>
      <c r="W89" s="489"/>
      <c r="X89" s="489"/>
      <c r="Y89" s="489"/>
      <c r="Z89" s="489"/>
      <c r="AA89" s="489"/>
      <c r="AB89" s="489"/>
      <c r="AC89" s="489"/>
      <c r="AD89" s="489"/>
    </row>
    <row r="90" spans="1:30">
      <c r="A90" s="489"/>
      <c r="B90" s="489"/>
      <c r="C90" s="489"/>
      <c r="D90" s="489"/>
      <c r="E90" s="489"/>
      <c r="F90" s="489"/>
      <c r="G90" s="489"/>
      <c r="H90" s="489"/>
      <c r="I90" s="489"/>
      <c r="J90" s="489"/>
      <c r="K90" s="489"/>
      <c r="L90" s="489"/>
      <c r="M90" s="489"/>
      <c r="N90" s="489"/>
      <c r="O90" s="489"/>
      <c r="P90" s="489"/>
      <c r="Q90" s="489"/>
      <c r="R90" s="489"/>
      <c r="S90" s="489"/>
      <c r="T90" s="489"/>
      <c r="U90" s="489"/>
      <c r="V90" s="489"/>
      <c r="W90" s="489"/>
      <c r="X90" s="489"/>
      <c r="Y90" s="489"/>
      <c r="Z90" s="489"/>
      <c r="AA90" s="489"/>
      <c r="AB90" s="489"/>
      <c r="AC90" s="489"/>
      <c r="AD90" s="489"/>
    </row>
    <row r="91" spans="1:30">
      <c r="A91" s="489"/>
      <c r="B91" s="489"/>
      <c r="C91" s="489"/>
      <c r="D91" s="489"/>
      <c r="E91" s="489"/>
      <c r="F91" s="489"/>
      <c r="G91" s="489"/>
      <c r="H91" s="489"/>
      <c r="I91" s="489"/>
      <c r="J91" s="489"/>
      <c r="K91" s="489"/>
      <c r="L91" s="489"/>
      <c r="M91" s="489"/>
      <c r="N91" s="489"/>
      <c r="O91" s="489"/>
      <c r="P91" s="489"/>
      <c r="Q91" s="489"/>
      <c r="R91" s="489"/>
      <c r="S91" s="489"/>
      <c r="T91" s="489"/>
      <c r="U91" s="489"/>
      <c r="V91" s="489"/>
      <c r="W91" s="489"/>
      <c r="X91" s="489"/>
      <c r="Y91" s="489"/>
      <c r="Z91" s="489"/>
      <c r="AA91" s="489"/>
      <c r="AB91" s="489"/>
      <c r="AC91" s="489"/>
      <c r="AD91" s="489"/>
    </row>
    <row r="92" spans="1:30">
      <c r="A92" s="489"/>
      <c r="B92" s="489"/>
      <c r="C92" s="489"/>
      <c r="D92" s="489"/>
      <c r="E92" s="489"/>
      <c r="F92" s="489"/>
      <c r="G92" s="489"/>
      <c r="H92" s="489"/>
      <c r="I92" s="489"/>
      <c r="J92" s="489"/>
      <c r="K92" s="489"/>
      <c r="L92" s="489"/>
      <c r="M92" s="489"/>
      <c r="N92" s="489"/>
      <c r="O92" s="489"/>
      <c r="P92" s="489"/>
      <c r="Q92" s="489"/>
      <c r="R92" s="489"/>
      <c r="S92" s="489"/>
      <c r="T92" s="489"/>
      <c r="U92" s="489"/>
      <c r="V92" s="489"/>
      <c r="W92" s="489"/>
      <c r="X92" s="489"/>
      <c r="Y92" s="489"/>
      <c r="Z92" s="489"/>
      <c r="AA92" s="489"/>
      <c r="AB92" s="489"/>
      <c r="AC92" s="489"/>
      <c r="AD92" s="489"/>
    </row>
    <row r="93" spans="1:30">
      <c r="A93" s="489"/>
      <c r="B93" s="489"/>
      <c r="C93" s="489"/>
      <c r="D93" s="489"/>
      <c r="E93" s="489"/>
      <c r="F93" s="489"/>
      <c r="G93" s="489"/>
      <c r="H93" s="489"/>
      <c r="I93" s="489"/>
      <c r="J93" s="489"/>
      <c r="K93" s="489"/>
      <c r="L93" s="489"/>
      <c r="M93" s="489"/>
      <c r="N93" s="489"/>
      <c r="O93" s="489"/>
      <c r="P93" s="489"/>
      <c r="Q93" s="489"/>
      <c r="R93" s="489"/>
      <c r="S93" s="489"/>
      <c r="T93" s="489"/>
      <c r="U93" s="489"/>
      <c r="V93" s="489"/>
      <c r="W93" s="489"/>
      <c r="X93" s="489"/>
      <c r="Y93" s="489"/>
      <c r="Z93" s="489"/>
      <c r="AA93" s="489"/>
      <c r="AB93" s="489"/>
      <c r="AC93" s="489"/>
      <c r="AD93" s="489"/>
    </row>
    <row r="94" spans="1:30">
      <c r="A94" s="489"/>
      <c r="B94" s="489"/>
      <c r="C94" s="489"/>
      <c r="D94" s="489"/>
      <c r="E94" s="489"/>
      <c r="F94" s="489"/>
      <c r="G94" s="489"/>
      <c r="H94" s="489"/>
      <c r="I94" s="489"/>
      <c r="J94" s="489"/>
      <c r="K94" s="489"/>
      <c r="L94" s="489"/>
      <c r="M94" s="489"/>
      <c r="N94" s="489"/>
      <c r="O94" s="489"/>
      <c r="P94" s="489"/>
      <c r="Q94" s="489"/>
      <c r="R94" s="489"/>
      <c r="S94" s="489"/>
      <c r="T94" s="489"/>
      <c r="U94" s="489"/>
      <c r="V94" s="489"/>
      <c r="W94" s="489"/>
      <c r="X94" s="489"/>
      <c r="Y94" s="489"/>
      <c r="Z94" s="489"/>
      <c r="AA94" s="489"/>
      <c r="AB94" s="489"/>
      <c r="AC94" s="489"/>
      <c r="AD94" s="489"/>
    </row>
    <row r="95" spans="1:30">
      <c r="A95" s="489"/>
      <c r="B95" s="489"/>
      <c r="C95" s="489"/>
      <c r="D95" s="489"/>
      <c r="E95" s="489"/>
      <c r="F95" s="489"/>
      <c r="G95" s="489"/>
      <c r="H95" s="489"/>
      <c r="I95" s="489"/>
      <c r="J95" s="489"/>
      <c r="K95" s="489"/>
      <c r="L95" s="489"/>
      <c r="M95" s="489"/>
      <c r="N95" s="489"/>
      <c r="O95" s="489"/>
      <c r="P95" s="489"/>
      <c r="Q95" s="489"/>
      <c r="R95" s="489"/>
      <c r="S95" s="489"/>
      <c r="T95" s="489"/>
      <c r="U95" s="489"/>
      <c r="V95" s="489"/>
      <c r="W95" s="489"/>
      <c r="X95" s="489"/>
      <c r="Y95" s="489"/>
      <c r="Z95" s="489"/>
      <c r="AA95" s="489"/>
      <c r="AB95" s="489"/>
      <c r="AC95" s="489"/>
      <c r="AD95" s="489"/>
    </row>
    <row r="96" spans="1:30">
      <c r="A96" s="489"/>
      <c r="B96" s="489"/>
      <c r="C96" s="489"/>
      <c r="D96" s="489"/>
      <c r="E96" s="489"/>
      <c r="F96" s="489"/>
      <c r="G96" s="489"/>
      <c r="H96" s="489"/>
      <c r="I96" s="489"/>
      <c r="J96" s="489"/>
      <c r="K96" s="489"/>
      <c r="L96" s="489"/>
      <c r="M96" s="489"/>
      <c r="N96" s="489"/>
      <c r="O96" s="489"/>
      <c r="P96" s="489"/>
      <c r="Q96" s="489"/>
      <c r="R96" s="489"/>
      <c r="S96" s="489"/>
      <c r="T96" s="489"/>
      <c r="U96" s="489"/>
      <c r="V96" s="489"/>
      <c r="W96" s="489"/>
      <c r="X96" s="489"/>
      <c r="Y96" s="489"/>
      <c r="Z96" s="489"/>
      <c r="AA96" s="489"/>
      <c r="AB96" s="489"/>
      <c r="AC96" s="489"/>
      <c r="AD96" s="489"/>
    </row>
    <row r="97" spans="1:30">
      <c r="A97" s="489"/>
      <c r="B97" s="489"/>
      <c r="C97" s="489"/>
      <c r="D97" s="489"/>
      <c r="E97" s="489"/>
      <c r="F97" s="489"/>
      <c r="G97" s="489"/>
      <c r="H97" s="489"/>
      <c r="I97" s="489"/>
      <c r="J97" s="489"/>
      <c r="K97" s="489"/>
      <c r="L97" s="489"/>
      <c r="M97" s="489"/>
      <c r="N97" s="489"/>
      <c r="O97" s="489"/>
      <c r="P97" s="489"/>
      <c r="Q97" s="489"/>
      <c r="R97" s="489"/>
      <c r="S97" s="489"/>
      <c r="T97" s="489"/>
      <c r="U97" s="489"/>
      <c r="V97" s="489"/>
      <c r="W97" s="489"/>
      <c r="X97" s="489"/>
      <c r="Y97" s="489"/>
      <c r="Z97" s="489"/>
      <c r="AA97" s="489"/>
      <c r="AB97" s="489"/>
      <c r="AC97" s="489"/>
      <c r="AD97" s="489"/>
    </row>
    <row r="98" spans="1:30">
      <c r="A98" s="489"/>
      <c r="B98" s="489"/>
      <c r="C98" s="489"/>
      <c r="D98" s="489"/>
      <c r="E98" s="489"/>
      <c r="F98" s="489"/>
      <c r="G98" s="489"/>
      <c r="H98" s="489"/>
      <c r="I98" s="489"/>
      <c r="J98" s="489"/>
      <c r="K98" s="489"/>
      <c r="L98" s="489"/>
      <c r="M98" s="489"/>
      <c r="N98" s="489"/>
      <c r="O98" s="489"/>
      <c r="P98" s="489"/>
      <c r="Q98" s="489"/>
      <c r="R98" s="489"/>
      <c r="S98" s="489"/>
      <c r="T98" s="489"/>
      <c r="U98" s="489"/>
      <c r="V98" s="489"/>
      <c r="W98" s="489"/>
      <c r="X98" s="489"/>
      <c r="Y98" s="489"/>
      <c r="Z98" s="489"/>
      <c r="AA98" s="489"/>
      <c r="AB98" s="489"/>
      <c r="AC98" s="489"/>
      <c r="AD98" s="489"/>
    </row>
    <row r="99" spans="1:30">
      <c r="A99" s="489"/>
      <c r="B99" s="489"/>
      <c r="C99" s="489"/>
      <c r="D99" s="489"/>
      <c r="E99" s="489"/>
      <c r="F99" s="489"/>
      <c r="G99" s="489"/>
      <c r="H99" s="489"/>
      <c r="I99" s="489"/>
      <c r="J99" s="489"/>
      <c r="K99" s="489"/>
      <c r="L99" s="489"/>
      <c r="M99" s="489"/>
      <c r="N99" s="489"/>
      <c r="O99" s="489"/>
      <c r="P99" s="489"/>
      <c r="Q99" s="489"/>
      <c r="R99" s="489"/>
      <c r="S99" s="489"/>
      <c r="T99" s="489"/>
      <c r="U99" s="489"/>
      <c r="V99" s="489"/>
      <c r="W99" s="489"/>
      <c r="X99" s="489"/>
      <c r="Y99" s="489"/>
      <c r="Z99" s="489"/>
      <c r="AA99" s="489"/>
      <c r="AB99" s="489"/>
      <c r="AC99" s="489"/>
      <c r="AD99" s="489"/>
    </row>
    <row r="100" spans="1:30">
      <c r="A100" s="489"/>
      <c r="B100" s="489"/>
      <c r="C100" s="489"/>
      <c r="D100" s="489"/>
      <c r="E100" s="489"/>
      <c r="F100" s="489"/>
      <c r="G100" s="489"/>
      <c r="H100" s="489"/>
      <c r="I100" s="489"/>
      <c r="J100" s="489"/>
      <c r="K100" s="489"/>
      <c r="L100" s="489"/>
      <c r="M100" s="489"/>
      <c r="N100" s="489"/>
      <c r="O100" s="489"/>
      <c r="P100" s="489"/>
      <c r="Q100" s="489"/>
      <c r="R100" s="489"/>
      <c r="S100" s="489"/>
      <c r="T100" s="489"/>
      <c r="U100" s="489"/>
      <c r="V100" s="489"/>
      <c r="W100" s="489"/>
      <c r="X100" s="489"/>
      <c r="Y100" s="489"/>
      <c r="Z100" s="489"/>
      <c r="AA100" s="489"/>
      <c r="AB100" s="489"/>
      <c r="AC100" s="489"/>
      <c r="AD100" s="489"/>
    </row>
    <row r="101" spans="1:30">
      <c r="A101" s="489"/>
      <c r="B101" s="489"/>
      <c r="C101" s="489"/>
      <c r="D101" s="489"/>
      <c r="E101" s="489"/>
      <c r="F101" s="489"/>
      <c r="G101" s="489"/>
      <c r="H101" s="489"/>
      <c r="I101" s="489"/>
      <c r="J101" s="489"/>
      <c r="K101" s="489"/>
      <c r="L101" s="489"/>
      <c r="M101" s="489"/>
      <c r="N101" s="489"/>
      <c r="O101" s="489"/>
      <c r="P101" s="489"/>
      <c r="Q101" s="489"/>
      <c r="R101" s="489"/>
      <c r="S101" s="489"/>
      <c r="T101" s="489"/>
      <c r="U101" s="489"/>
      <c r="V101" s="489"/>
      <c r="W101" s="489"/>
      <c r="X101" s="489"/>
      <c r="Y101" s="489"/>
      <c r="Z101" s="489"/>
      <c r="AA101" s="489"/>
      <c r="AB101" s="489"/>
      <c r="AC101" s="489"/>
      <c r="AD101" s="489"/>
    </row>
    <row r="102" spans="1:30">
      <c r="A102" s="489"/>
      <c r="B102" s="489"/>
      <c r="C102" s="489"/>
      <c r="D102" s="489"/>
      <c r="E102" s="489"/>
      <c r="F102" s="489"/>
      <c r="G102" s="489"/>
      <c r="H102" s="489"/>
      <c r="I102" s="489"/>
      <c r="J102" s="489"/>
      <c r="K102" s="489"/>
      <c r="L102" s="489"/>
      <c r="M102" s="489"/>
      <c r="N102" s="489"/>
      <c r="O102" s="489"/>
      <c r="P102" s="489"/>
      <c r="Q102" s="489"/>
      <c r="R102" s="489"/>
      <c r="S102" s="489"/>
      <c r="T102" s="489"/>
      <c r="U102" s="489"/>
      <c r="V102" s="489"/>
      <c r="W102" s="489"/>
      <c r="X102" s="489"/>
      <c r="Y102" s="489"/>
      <c r="Z102" s="489"/>
      <c r="AA102" s="489"/>
      <c r="AB102" s="489"/>
      <c r="AC102" s="489"/>
      <c r="AD102" s="489"/>
    </row>
    <row r="103" spans="1:30">
      <c r="A103" s="489"/>
      <c r="B103" s="489"/>
      <c r="C103" s="489"/>
      <c r="D103" s="489"/>
      <c r="E103" s="489"/>
      <c r="F103" s="489"/>
      <c r="G103" s="489"/>
      <c r="H103" s="489"/>
      <c r="I103" s="489"/>
      <c r="J103" s="489"/>
      <c r="K103" s="489"/>
      <c r="L103" s="489"/>
      <c r="M103" s="489"/>
      <c r="N103" s="489"/>
      <c r="O103" s="489"/>
      <c r="P103" s="489"/>
      <c r="Q103" s="489"/>
      <c r="R103" s="489"/>
      <c r="S103" s="489"/>
      <c r="T103" s="489"/>
      <c r="U103" s="489"/>
      <c r="V103" s="489"/>
      <c r="W103" s="489"/>
      <c r="X103" s="489"/>
      <c r="Y103" s="489"/>
      <c r="Z103" s="489"/>
      <c r="AA103" s="489"/>
      <c r="AB103" s="489"/>
      <c r="AC103" s="489"/>
      <c r="AD103" s="489"/>
    </row>
    <row r="104" spans="1:30">
      <c r="A104" s="489"/>
      <c r="B104" s="489"/>
      <c r="C104" s="489"/>
      <c r="D104" s="489"/>
      <c r="E104" s="489"/>
      <c r="F104" s="489"/>
      <c r="G104" s="489"/>
      <c r="H104" s="489"/>
      <c r="I104" s="489"/>
      <c r="J104" s="489"/>
      <c r="K104" s="489"/>
      <c r="L104" s="489"/>
      <c r="M104" s="489"/>
      <c r="N104" s="489"/>
      <c r="O104" s="489"/>
      <c r="P104" s="489"/>
      <c r="Q104" s="489"/>
      <c r="R104" s="489"/>
      <c r="S104" s="489"/>
      <c r="T104" s="489"/>
      <c r="U104" s="489"/>
      <c r="V104" s="489"/>
      <c r="W104" s="489"/>
      <c r="X104" s="489"/>
      <c r="Y104" s="489"/>
      <c r="Z104" s="489"/>
      <c r="AA104" s="489"/>
      <c r="AB104" s="489"/>
      <c r="AC104" s="489"/>
      <c r="AD104" s="489"/>
    </row>
    <row r="105" spans="1:30">
      <c r="A105" s="489"/>
      <c r="B105" s="489"/>
      <c r="C105" s="489"/>
      <c r="D105" s="489"/>
      <c r="E105" s="489"/>
      <c r="F105" s="489"/>
      <c r="G105" s="489"/>
      <c r="H105" s="489"/>
      <c r="I105" s="489"/>
      <c r="J105" s="489"/>
      <c r="K105" s="489"/>
      <c r="L105" s="489"/>
      <c r="M105" s="489"/>
      <c r="N105" s="489"/>
      <c r="O105" s="489"/>
      <c r="P105" s="489"/>
      <c r="Q105" s="489"/>
      <c r="R105" s="489"/>
      <c r="S105" s="489"/>
      <c r="T105" s="489"/>
      <c r="U105" s="489"/>
      <c r="V105" s="489"/>
      <c r="W105" s="489"/>
      <c r="X105" s="489"/>
      <c r="Y105" s="489"/>
      <c r="Z105" s="489"/>
      <c r="AA105" s="489"/>
      <c r="AB105" s="489"/>
      <c r="AC105" s="489"/>
      <c r="AD105" s="489"/>
    </row>
    <row r="106" spans="1:30">
      <c r="A106" s="489"/>
      <c r="B106" s="489"/>
      <c r="C106" s="489"/>
      <c r="D106" s="489"/>
      <c r="E106" s="489"/>
      <c r="F106" s="489"/>
      <c r="G106" s="489"/>
      <c r="H106" s="489"/>
      <c r="I106" s="489"/>
      <c r="J106" s="489"/>
      <c r="K106" s="489"/>
      <c r="L106" s="489"/>
      <c r="M106" s="489"/>
      <c r="N106" s="489"/>
      <c r="O106" s="489"/>
      <c r="P106" s="489"/>
      <c r="Q106" s="489"/>
      <c r="R106" s="489"/>
      <c r="S106" s="489"/>
      <c r="T106" s="489"/>
      <c r="U106" s="489"/>
      <c r="V106" s="489"/>
      <c r="W106" s="489"/>
      <c r="X106" s="489"/>
      <c r="Y106" s="489"/>
      <c r="Z106" s="489"/>
      <c r="AA106" s="489"/>
      <c r="AB106" s="489"/>
      <c r="AC106" s="489"/>
      <c r="AD106" s="489"/>
    </row>
    <row r="107" spans="1:30">
      <c r="A107" s="489"/>
      <c r="B107" s="489"/>
      <c r="C107" s="489"/>
      <c r="D107" s="489"/>
      <c r="E107" s="489"/>
      <c r="F107" s="489"/>
      <c r="G107" s="489"/>
      <c r="H107" s="489"/>
      <c r="I107" s="489"/>
      <c r="J107" s="489"/>
      <c r="K107" s="489"/>
      <c r="L107" s="489"/>
      <c r="M107" s="489"/>
      <c r="N107" s="489"/>
      <c r="O107" s="489"/>
      <c r="P107" s="489"/>
      <c r="Q107" s="489"/>
      <c r="R107" s="489"/>
      <c r="S107" s="489"/>
      <c r="T107" s="489"/>
      <c r="U107" s="489"/>
      <c r="V107" s="489"/>
      <c r="W107" s="489"/>
      <c r="X107" s="489"/>
      <c r="Y107" s="489"/>
      <c r="Z107" s="489"/>
      <c r="AA107" s="489"/>
      <c r="AB107" s="489"/>
      <c r="AC107" s="489"/>
      <c r="AD107" s="489"/>
    </row>
    <row r="108" spans="1:30">
      <c r="A108" s="489"/>
      <c r="B108" s="489"/>
      <c r="C108" s="489"/>
      <c r="D108" s="489"/>
      <c r="E108" s="489"/>
      <c r="F108" s="489"/>
      <c r="G108" s="489"/>
      <c r="H108" s="489"/>
      <c r="I108" s="489"/>
      <c r="J108" s="489"/>
      <c r="K108" s="489"/>
      <c r="L108" s="489"/>
      <c r="M108" s="489"/>
      <c r="N108" s="489"/>
      <c r="O108" s="489"/>
      <c r="P108" s="489"/>
      <c r="Q108" s="489"/>
      <c r="R108" s="489"/>
      <c r="S108" s="489"/>
      <c r="T108" s="489"/>
      <c r="U108" s="489"/>
      <c r="V108" s="489"/>
      <c r="W108" s="489"/>
      <c r="X108" s="489"/>
      <c r="Y108" s="489"/>
      <c r="Z108" s="489"/>
      <c r="AA108" s="489"/>
      <c r="AB108" s="489"/>
      <c r="AC108" s="489"/>
      <c r="AD108" s="489"/>
    </row>
    <row r="109" spans="1:30">
      <c r="A109" s="489"/>
      <c r="B109" s="489"/>
      <c r="C109" s="489"/>
      <c r="D109" s="489"/>
      <c r="E109" s="489"/>
      <c r="F109" s="489"/>
      <c r="G109" s="489"/>
      <c r="H109" s="489"/>
      <c r="I109" s="489"/>
      <c r="J109" s="489"/>
      <c r="K109" s="489"/>
      <c r="L109" s="489"/>
      <c r="M109" s="489"/>
      <c r="N109" s="489"/>
      <c r="O109" s="489"/>
      <c r="P109" s="489"/>
      <c r="Q109" s="489"/>
      <c r="R109" s="489"/>
      <c r="S109" s="489"/>
      <c r="T109" s="489"/>
      <c r="U109" s="489"/>
      <c r="V109" s="489"/>
      <c r="W109" s="489"/>
      <c r="X109" s="489"/>
      <c r="Y109" s="489"/>
      <c r="Z109" s="489"/>
      <c r="AA109" s="489"/>
      <c r="AB109" s="489"/>
      <c r="AC109" s="489"/>
      <c r="AD109" s="489"/>
    </row>
    <row r="110" spans="1:30">
      <c r="A110" s="489"/>
      <c r="B110" s="489"/>
      <c r="C110" s="489"/>
      <c r="D110" s="489"/>
      <c r="E110" s="489"/>
      <c r="F110" s="489"/>
      <c r="G110" s="489"/>
      <c r="H110" s="489"/>
      <c r="I110" s="489"/>
      <c r="J110" s="489"/>
      <c r="K110" s="489"/>
      <c r="L110" s="489"/>
      <c r="M110" s="489"/>
      <c r="N110" s="489"/>
      <c r="O110" s="489"/>
      <c r="P110" s="489"/>
      <c r="Q110" s="489"/>
      <c r="R110" s="489"/>
      <c r="S110" s="489"/>
      <c r="T110" s="489"/>
      <c r="U110" s="489"/>
      <c r="V110" s="489"/>
      <c r="W110" s="489"/>
      <c r="X110" s="489"/>
      <c r="Y110" s="489"/>
      <c r="Z110" s="489"/>
      <c r="AA110" s="489"/>
      <c r="AB110" s="489"/>
      <c r="AC110" s="489"/>
      <c r="AD110" s="489"/>
    </row>
    <row r="111" spans="1:30">
      <c r="A111" s="489"/>
      <c r="B111" s="489"/>
      <c r="C111" s="489"/>
      <c r="D111" s="489"/>
      <c r="E111" s="489"/>
      <c r="F111" s="489"/>
      <c r="G111" s="489"/>
      <c r="H111" s="489"/>
      <c r="I111" s="489"/>
      <c r="J111" s="489"/>
      <c r="K111" s="489"/>
      <c r="L111" s="489"/>
      <c r="M111" s="489"/>
      <c r="N111" s="489"/>
      <c r="O111" s="489"/>
      <c r="P111" s="489"/>
      <c r="Q111" s="489"/>
      <c r="R111" s="489"/>
      <c r="S111" s="489"/>
      <c r="T111" s="489"/>
      <c r="U111" s="489"/>
      <c r="V111" s="489"/>
      <c r="W111" s="489"/>
      <c r="X111" s="489"/>
      <c r="Y111" s="489"/>
      <c r="Z111" s="489"/>
      <c r="AA111" s="489"/>
      <c r="AB111" s="489"/>
      <c r="AC111" s="489"/>
      <c r="AD111" s="489"/>
    </row>
    <row r="112" spans="1:30">
      <c r="A112" s="489"/>
      <c r="B112" s="489"/>
      <c r="C112" s="489"/>
      <c r="D112" s="489"/>
      <c r="E112" s="489"/>
      <c r="F112" s="489"/>
      <c r="G112" s="489"/>
      <c r="H112" s="489"/>
      <c r="I112" s="489"/>
      <c r="J112" s="489"/>
      <c r="K112" s="489"/>
      <c r="L112" s="489"/>
      <c r="M112" s="489"/>
      <c r="N112" s="489"/>
      <c r="O112" s="489"/>
      <c r="P112" s="489"/>
      <c r="Q112" s="489"/>
      <c r="R112" s="489"/>
      <c r="S112" s="489"/>
      <c r="T112" s="489"/>
      <c r="U112" s="489"/>
      <c r="V112" s="489"/>
      <c r="W112" s="489"/>
      <c r="X112" s="489"/>
      <c r="Y112" s="489"/>
      <c r="Z112" s="489"/>
      <c r="AA112" s="489"/>
      <c r="AB112" s="489"/>
      <c r="AC112" s="489"/>
      <c r="AD112" s="489"/>
    </row>
    <row r="113" spans="1:30">
      <c r="A113" s="489"/>
      <c r="B113" s="489"/>
      <c r="C113" s="489"/>
      <c r="D113" s="489"/>
      <c r="E113" s="489"/>
      <c r="F113" s="489"/>
      <c r="G113" s="489"/>
      <c r="H113" s="489"/>
      <c r="I113" s="489"/>
      <c r="J113" s="489"/>
      <c r="K113" s="489"/>
      <c r="L113" s="489"/>
      <c r="M113" s="489"/>
      <c r="N113" s="489"/>
      <c r="O113" s="489"/>
      <c r="P113" s="489"/>
      <c r="Q113" s="489"/>
      <c r="R113" s="489"/>
      <c r="S113" s="489"/>
      <c r="T113" s="489"/>
      <c r="U113" s="489"/>
      <c r="V113" s="489"/>
      <c r="W113" s="489"/>
      <c r="X113" s="489"/>
      <c r="Y113" s="489"/>
      <c r="Z113" s="489"/>
      <c r="AA113" s="489"/>
      <c r="AB113" s="489"/>
      <c r="AC113" s="489"/>
      <c r="AD113" s="489"/>
    </row>
    <row r="114" spans="1:30">
      <c r="A114" s="489"/>
      <c r="B114" s="489"/>
      <c r="C114" s="489"/>
      <c r="D114" s="489"/>
      <c r="E114" s="489"/>
      <c r="F114" s="489"/>
      <c r="G114" s="489"/>
      <c r="H114" s="489"/>
      <c r="I114" s="489"/>
      <c r="J114" s="489"/>
      <c r="K114" s="489"/>
      <c r="L114" s="489"/>
      <c r="M114" s="489"/>
      <c r="N114" s="489"/>
      <c r="O114" s="489"/>
      <c r="P114" s="489"/>
      <c r="Q114" s="489"/>
      <c r="R114" s="489"/>
      <c r="S114" s="489"/>
      <c r="T114" s="489"/>
      <c r="U114" s="489"/>
      <c r="V114" s="489"/>
      <c r="W114" s="489"/>
      <c r="X114" s="489"/>
      <c r="Y114" s="489"/>
      <c r="Z114" s="489"/>
      <c r="AA114" s="489"/>
      <c r="AB114" s="489"/>
      <c r="AC114" s="489"/>
      <c r="AD114" s="489"/>
    </row>
    <row r="115" spans="1:30">
      <c r="A115" s="489"/>
      <c r="B115" s="489"/>
      <c r="C115" s="489"/>
      <c r="D115" s="489"/>
      <c r="E115" s="489"/>
      <c r="F115" s="489"/>
      <c r="G115" s="489"/>
      <c r="H115" s="489"/>
      <c r="I115" s="489"/>
      <c r="J115" s="489"/>
      <c r="K115" s="489"/>
      <c r="L115" s="489"/>
      <c r="M115" s="489"/>
      <c r="N115" s="489"/>
      <c r="O115" s="489"/>
      <c r="P115" s="489"/>
      <c r="Q115" s="489"/>
      <c r="R115" s="489"/>
      <c r="S115" s="489"/>
      <c r="T115" s="489"/>
      <c r="U115" s="489"/>
      <c r="V115" s="489"/>
      <c r="W115" s="489"/>
      <c r="X115" s="489"/>
      <c r="Y115" s="489"/>
      <c r="Z115" s="489"/>
      <c r="AA115" s="489"/>
      <c r="AB115" s="489"/>
      <c r="AC115" s="489"/>
      <c r="AD115" s="489"/>
    </row>
    <row r="116" spans="1:30">
      <c r="A116" s="489"/>
      <c r="B116" s="489"/>
      <c r="C116" s="489"/>
      <c r="D116" s="489"/>
      <c r="E116" s="489"/>
      <c r="F116" s="489"/>
      <c r="G116" s="489"/>
      <c r="H116" s="489"/>
      <c r="I116" s="489"/>
      <c r="J116" s="489"/>
      <c r="K116" s="489"/>
      <c r="L116" s="489"/>
      <c r="M116" s="489"/>
      <c r="N116" s="489"/>
      <c r="O116" s="489"/>
      <c r="P116" s="489"/>
      <c r="Q116" s="489"/>
      <c r="R116" s="489"/>
      <c r="S116" s="489"/>
      <c r="T116" s="489"/>
      <c r="U116" s="489"/>
      <c r="V116" s="489"/>
      <c r="W116" s="489"/>
      <c r="X116" s="489"/>
      <c r="Y116" s="489"/>
      <c r="Z116" s="489"/>
      <c r="AA116" s="489"/>
      <c r="AB116" s="489"/>
      <c r="AC116" s="489"/>
      <c r="AD116" s="489"/>
    </row>
    <row r="117" spans="1:30">
      <c r="A117" s="489"/>
      <c r="B117" s="489"/>
      <c r="C117" s="489"/>
      <c r="D117" s="489"/>
      <c r="E117" s="489"/>
      <c r="F117" s="489"/>
      <c r="G117" s="489"/>
      <c r="H117" s="489"/>
      <c r="I117" s="489"/>
      <c r="J117" s="489"/>
      <c r="K117" s="489"/>
      <c r="L117" s="489"/>
      <c r="M117" s="489"/>
      <c r="N117" s="489"/>
      <c r="O117" s="489"/>
      <c r="P117" s="489"/>
      <c r="Q117" s="489"/>
      <c r="R117" s="489"/>
      <c r="S117" s="489"/>
      <c r="T117" s="489"/>
      <c r="U117" s="489"/>
      <c r="V117" s="489"/>
      <c r="W117" s="489"/>
      <c r="X117" s="489"/>
      <c r="Y117" s="489"/>
      <c r="Z117" s="489"/>
      <c r="AA117" s="489"/>
      <c r="AB117" s="489"/>
      <c r="AC117" s="489"/>
      <c r="AD117" s="489"/>
    </row>
    <row r="118" spans="1:30">
      <c r="A118" s="489"/>
      <c r="B118" s="489"/>
      <c r="C118" s="489"/>
      <c r="D118" s="489"/>
      <c r="E118" s="489"/>
      <c r="F118" s="489"/>
      <c r="G118" s="489"/>
      <c r="H118" s="489"/>
      <c r="I118" s="489"/>
      <c r="J118" s="489"/>
      <c r="K118" s="489"/>
      <c r="L118" s="489"/>
      <c r="M118" s="489"/>
      <c r="N118" s="489"/>
      <c r="O118" s="489"/>
      <c r="P118" s="489"/>
      <c r="Q118" s="489"/>
      <c r="R118" s="489"/>
      <c r="S118" s="489"/>
      <c r="T118" s="489"/>
      <c r="U118" s="489"/>
      <c r="V118" s="489"/>
      <c r="W118" s="489"/>
      <c r="X118" s="489"/>
      <c r="Y118" s="489"/>
      <c r="Z118" s="489"/>
      <c r="AA118" s="489"/>
      <c r="AB118" s="489"/>
      <c r="AC118" s="489"/>
      <c r="AD118" s="489"/>
    </row>
    <row r="119" spans="1:30">
      <c r="A119" s="489"/>
      <c r="B119" s="489"/>
      <c r="C119" s="489"/>
      <c r="D119" s="489"/>
      <c r="E119" s="489"/>
      <c r="F119" s="489"/>
      <c r="G119" s="489"/>
      <c r="H119" s="489"/>
      <c r="I119" s="489"/>
      <c r="J119" s="489"/>
      <c r="K119" s="489"/>
      <c r="L119" s="489"/>
      <c r="M119" s="489"/>
      <c r="N119" s="489"/>
      <c r="O119" s="489"/>
      <c r="P119" s="489"/>
      <c r="Q119" s="489"/>
      <c r="R119" s="489"/>
      <c r="S119" s="489"/>
      <c r="T119" s="489"/>
      <c r="U119" s="489"/>
      <c r="V119" s="489"/>
      <c r="W119" s="489"/>
      <c r="X119" s="489"/>
      <c r="Y119" s="489"/>
      <c r="Z119" s="489"/>
      <c r="AA119" s="489"/>
      <c r="AB119" s="489"/>
      <c r="AC119" s="489"/>
      <c r="AD119" s="489"/>
    </row>
    <row r="120" spans="1:30">
      <c r="A120" s="489"/>
      <c r="B120" s="489"/>
      <c r="C120" s="489"/>
      <c r="D120" s="489"/>
      <c r="E120" s="489"/>
      <c r="F120" s="489"/>
      <c r="G120" s="489"/>
      <c r="H120" s="489"/>
      <c r="I120" s="489"/>
      <c r="J120" s="489"/>
      <c r="K120" s="489"/>
      <c r="L120" s="489"/>
      <c r="M120" s="489"/>
      <c r="N120" s="489"/>
      <c r="O120" s="489"/>
      <c r="P120" s="489"/>
      <c r="Q120" s="489"/>
      <c r="R120" s="489"/>
      <c r="S120" s="489"/>
      <c r="T120" s="489"/>
      <c r="U120" s="489"/>
      <c r="V120" s="489"/>
      <c r="W120" s="489"/>
      <c r="X120" s="489"/>
      <c r="Y120" s="489"/>
      <c r="Z120" s="489"/>
      <c r="AA120" s="489"/>
      <c r="AB120" s="489"/>
      <c r="AC120" s="489"/>
      <c r="AD120" s="489"/>
    </row>
    <row r="121" spans="1:30">
      <c r="A121" s="489"/>
      <c r="B121" s="489"/>
      <c r="C121" s="489"/>
      <c r="D121" s="489"/>
      <c r="E121" s="489"/>
      <c r="F121" s="489"/>
      <c r="G121" s="489"/>
      <c r="H121" s="489"/>
      <c r="I121" s="489"/>
      <c r="J121" s="489"/>
      <c r="K121" s="489"/>
      <c r="L121" s="489"/>
      <c r="M121" s="489"/>
      <c r="N121" s="489"/>
      <c r="O121" s="489"/>
      <c r="P121" s="489"/>
      <c r="Q121" s="489"/>
      <c r="R121" s="489"/>
      <c r="S121" s="489"/>
      <c r="T121" s="489"/>
      <c r="U121" s="489"/>
      <c r="V121" s="489"/>
      <c r="W121" s="489"/>
      <c r="X121" s="489"/>
      <c r="Y121" s="489"/>
      <c r="Z121" s="489"/>
      <c r="AA121" s="489"/>
      <c r="AB121" s="489"/>
      <c r="AC121" s="489"/>
      <c r="AD121" s="489"/>
    </row>
    <row r="122" spans="1:30">
      <c r="A122" s="489"/>
      <c r="B122" s="489"/>
      <c r="C122" s="489"/>
      <c r="D122" s="489"/>
      <c r="E122" s="489"/>
      <c r="F122" s="489"/>
      <c r="G122" s="489"/>
      <c r="H122" s="489"/>
      <c r="I122" s="489"/>
      <c r="J122" s="489"/>
      <c r="K122" s="489"/>
      <c r="L122" s="489"/>
      <c r="M122" s="489"/>
      <c r="N122" s="489"/>
      <c r="O122" s="489"/>
      <c r="P122" s="489"/>
      <c r="Q122" s="489"/>
      <c r="R122" s="489"/>
      <c r="S122" s="489"/>
      <c r="T122" s="489"/>
      <c r="U122" s="489"/>
      <c r="V122" s="489"/>
      <c r="W122" s="489"/>
      <c r="X122" s="489"/>
      <c r="Y122" s="489"/>
      <c r="Z122" s="489"/>
      <c r="AA122" s="489"/>
      <c r="AB122" s="489"/>
      <c r="AC122" s="489"/>
      <c r="AD122" s="489"/>
    </row>
    <row r="123" spans="1:30">
      <c r="A123" s="489"/>
      <c r="B123" s="489"/>
      <c r="C123" s="489"/>
      <c r="D123" s="489"/>
      <c r="E123" s="489"/>
      <c r="F123" s="489"/>
      <c r="G123" s="489"/>
      <c r="H123" s="489"/>
      <c r="I123" s="489"/>
      <c r="J123" s="489"/>
      <c r="K123" s="489"/>
      <c r="L123" s="489"/>
      <c r="M123" s="489"/>
      <c r="N123" s="489"/>
      <c r="O123" s="489"/>
      <c r="P123" s="489"/>
      <c r="Q123" s="489"/>
      <c r="R123" s="489"/>
      <c r="S123" s="489"/>
      <c r="T123" s="489"/>
      <c r="U123" s="489"/>
      <c r="V123" s="489"/>
      <c r="W123" s="489"/>
      <c r="X123" s="489"/>
      <c r="Y123" s="489"/>
      <c r="Z123" s="489"/>
      <c r="AA123" s="489"/>
      <c r="AB123" s="489"/>
      <c r="AC123" s="489"/>
      <c r="AD123" s="489"/>
    </row>
    <row r="124" spans="1:30">
      <c r="A124" s="489"/>
      <c r="B124" s="489"/>
      <c r="C124" s="489"/>
      <c r="D124" s="489"/>
      <c r="E124" s="489"/>
      <c r="F124" s="489"/>
      <c r="G124" s="489"/>
      <c r="H124" s="489"/>
      <c r="I124" s="489"/>
      <c r="J124" s="489"/>
      <c r="K124" s="489"/>
      <c r="L124" s="489"/>
      <c r="M124" s="489"/>
      <c r="N124" s="489"/>
      <c r="O124" s="489"/>
      <c r="P124" s="489"/>
      <c r="Q124" s="489"/>
      <c r="R124" s="489"/>
      <c r="S124" s="489"/>
      <c r="T124" s="489"/>
      <c r="U124" s="489"/>
      <c r="V124" s="489"/>
      <c r="W124" s="489"/>
      <c r="X124" s="489"/>
      <c r="Y124" s="489"/>
      <c r="Z124" s="489"/>
      <c r="AA124" s="489"/>
      <c r="AB124" s="489"/>
      <c r="AC124" s="489"/>
      <c r="AD124" s="489"/>
    </row>
    <row r="125" spans="1:30">
      <c r="A125" s="489"/>
      <c r="B125" s="489"/>
      <c r="C125" s="489"/>
      <c r="D125" s="489"/>
      <c r="E125" s="489"/>
      <c r="F125" s="489"/>
      <c r="G125" s="489"/>
      <c r="H125" s="489"/>
      <c r="I125" s="489"/>
      <c r="J125" s="489"/>
      <c r="K125" s="489"/>
      <c r="L125" s="489"/>
      <c r="M125" s="489"/>
      <c r="N125" s="489"/>
      <c r="O125" s="489"/>
      <c r="P125" s="489"/>
      <c r="Q125" s="489"/>
      <c r="R125" s="489"/>
      <c r="S125" s="489"/>
      <c r="T125" s="489"/>
      <c r="U125" s="489"/>
      <c r="V125" s="489"/>
      <c r="W125" s="489"/>
      <c r="X125" s="489"/>
      <c r="Y125" s="489"/>
      <c r="Z125" s="489"/>
      <c r="AA125" s="489"/>
      <c r="AB125" s="489"/>
      <c r="AC125" s="489"/>
      <c r="AD125" s="489"/>
    </row>
    <row r="126" spans="1:30">
      <c r="A126" s="489"/>
      <c r="B126" s="489"/>
      <c r="C126" s="489"/>
      <c r="D126" s="489"/>
      <c r="E126" s="489"/>
      <c r="F126" s="489"/>
      <c r="G126" s="489"/>
      <c r="H126" s="489"/>
      <c r="I126" s="489"/>
      <c r="J126" s="489"/>
      <c r="K126" s="489"/>
      <c r="L126" s="489"/>
      <c r="M126" s="489"/>
      <c r="N126" s="489"/>
      <c r="O126" s="489"/>
      <c r="P126" s="489"/>
      <c r="Q126" s="489"/>
      <c r="R126" s="489"/>
      <c r="S126" s="489"/>
      <c r="T126" s="489"/>
      <c r="U126" s="489"/>
      <c r="V126" s="489"/>
      <c r="W126" s="489"/>
      <c r="X126" s="489"/>
      <c r="Y126" s="489"/>
      <c r="Z126" s="489"/>
      <c r="AA126" s="489"/>
      <c r="AB126" s="489"/>
      <c r="AC126" s="489"/>
      <c r="AD126" s="489"/>
    </row>
    <row r="127" spans="1:30">
      <c r="A127" s="489"/>
      <c r="B127" s="489"/>
      <c r="C127" s="489"/>
      <c r="D127" s="489"/>
      <c r="E127" s="489"/>
      <c r="F127" s="489"/>
      <c r="G127" s="489"/>
      <c r="H127" s="489"/>
      <c r="I127" s="489"/>
      <c r="J127" s="489"/>
      <c r="K127" s="489"/>
      <c r="L127" s="489"/>
      <c r="M127" s="489"/>
      <c r="N127" s="489"/>
      <c r="O127" s="489"/>
      <c r="P127" s="489"/>
      <c r="Q127" s="489"/>
      <c r="R127" s="489"/>
      <c r="S127" s="489"/>
      <c r="T127" s="489"/>
      <c r="U127" s="489"/>
      <c r="V127" s="489"/>
      <c r="W127" s="489"/>
      <c r="X127" s="489"/>
      <c r="Y127" s="489"/>
      <c r="Z127" s="489"/>
      <c r="AA127" s="489"/>
      <c r="AB127" s="489"/>
      <c r="AC127" s="489"/>
      <c r="AD127" s="489"/>
    </row>
    <row r="128" spans="1:30">
      <c r="A128" s="489"/>
      <c r="B128" s="489"/>
      <c r="C128" s="489"/>
      <c r="D128" s="489"/>
      <c r="E128" s="489"/>
      <c r="F128" s="489"/>
      <c r="G128" s="489"/>
      <c r="H128" s="489"/>
      <c r="I128" s="489"/>
      <c r="J128" s="489"/>
      <c r="K128" s="489"/>
      <c r="L128" s="489"/>
      <c r="M128" s="489"/>
      <c r="N128" s="489"/>
      <c r="O128" s="489"/>
      <c r="P128" s="489"/>
      <c r="Q128" s="489"/>
      <c r="R128" s="489"/>
      <c r="S128" s="489"/>
      <c r="T128" s="489"/>
      <c r="U128" s="489"/>
      <c r="V128" s="489"/>
      <c r="W128" s="489"/>
      <c r="X128" s="489"/>
      <c r="Y128" s="489"/>
      <c r="Z128" s="489"/>
      <c r="AA128" s="489"/>
      <c r="AB128" s="489"/>
      <c r="AC128" s="489"/>
      <c r="AD128" s="489"/>
    </row>
    <row r="129" spans="1:30">
      <c r="A129" s="489"/>
      <c r="B129" s="489"/>
      <c r="C129" s="489"/>
      <c r="D129" s="489"/>
      <c r="E129" s="489"/>
      <c r="F129" s="489"/>
      <c r="G129" s="489"/>
      <c r="H129" s="489"/>
      <c r="I129" s="489"/>
      <c r="J129" s="489"/>
      <c r="K129" s="489"/>
      <c r="L129" s="489"/>
      <c r="M129" s="489"/>
      <c r="N129" s="489"/>
      <c r="O129" s="489"/>
      <c r="P129" s="489"/>
      <c r="Q129" s="489"/>
      <c r="R129" s="489"/>
      <c r="S129" s="489"/>
      <c r="T129" s="489"/>
      <c r="U129" s="489"/>
      <c r="V129" s="489"/>
      <c r="W129" s="489"/>
      <c r="X129" s="489"/>
      <c r="Y129" s="489"/>
      <c r="Z129" s="489"/>
      <c r="AA129" s="489"/>
      <c r="AB129" s="489"/>
      <c r="AC129" s="489"/>
      <c r="AD129" s="489"/>
    </row>
    <row r="130" spans="1:30">
      <c r="A130" s="489"/>
      <c r="B130" s="489"/>
      <c r="C130" s="489"/>
      <c r="D130" s="489"/>
      <c r="E130" s="489"/>
      <c r="F130" s="489"/>
      <c r="G130" s="489"/>
      <c r="H130" s="489"/>
      <c r="I130" s="489"/>
      <c r="J130" s="489"/>
      <c r="K130" s="489"/>
      <c r="L130" s="489"/>
      <c r="M130" s="489"/>
      <c r="N130" s="489"/>
      <c r="O130" s="489"/>
      <c r="P130" s="489"/>
      <c r="Q130" s="489"/>
      <c r="R130" s="489"/>
      <c r="S130" s="489"/>
      <c r="T130" s="489"/>
      <c r="U130" s="489"/>
      <c r="V130" s="489"/>
      <c r="W130" s="489"/>
      <c r="X130" s="489"/>
      <c r="Y130" s="489"/>
      <c r="Z130" s="489"/>
      <c r="AA130" s="489"/>
      <c r="AB130" s="489"/>
      <c r="AC130" s="489"/>
      <c r="AD130" s="489"/>
    </row>
    <row r="131" spans="1:30">
      <c r="A131" s="489"/>
      <c r="B131" s="489"/>
      <c r="C131" s="489"/>
      <c r="D131" s="489"/>
      <c r="E131" s="489"/>
      <c r="F131" s="489"/>
      <c r="G131" s="489"/>
      <c r="H131" s="489"/>
      <c r="I131" s="489"/>
      <c r="J131" s="489"/>
      <c r="K131" s="489"/>
      <c r="L131" s="489"/>
      <c r="M131" s="489"/>
      <c r="N131" s="489"/>
      <c r="O131" s="489"/>
      <c r="P131" s="489"/>
      <c r="Q131" s="489"/>
      <c r="R131" s="489"/>
      <c r="S131" s="489"/>
      <c r="T131" s="489"/>
      <c r="U131" s="489"/>
      <c r="V131" s="489"/>
      <c r="W131" s="489"/>
      <c r="X131" s="489"/>
      <c r="Y131" s="489"/>
      <c r="Z131" s="489"/>
      <c r="AA131" s="489"/>
      <c r="AB131" s="489"/>
      <c r="AC131" s="489"/>
      <c r="AD131" s="489"/>
    </row>
    <row r="132" spans="1:30">
      <c r="A132" s="489"/>
      <c r="B132" s="489"/>
      <c r="C132" s="489"/>
      <c r="D132" s="489"/>
      <c r="E132" s="489"/>
      <c r="F132" s="489"/>
      <c r="G132" s="489"/>
      <c r="H132" s="489"/>
      <c r="I132" s="489"/>
      <c r="J132" s="489"/>
      <c r="K132" s="489"/>
      <c r="L132" s="489"/>
      <c r="M132" s="489"/>
      <c r="N132" s="489"/>
      <c r="O132" s="489"/>
      <c r="P132" s="489"/>
      <c r="Q132" s="489"/>
      <c r="R132" s="489"/>
      <c r="S132" s="489"/>
      <c r="T132" s="489"/>
      <c r="U132" s="489"/>
      <c r="V132" s="489"/>
      <c r="W132" s="489"/>
      <c r="X132" s="489"/>
      <c r="Y132" s="489"/>
      <c r="Z132" s="489"/>
      <c r="AA132" s="489"/>
      <c r="AB132" s="489"/>
      <c r="AC132" s="489"/>
      <c r="AD132" s="489"/>
    </row>
    <row r="133" spans="1:30">
      <c r="A133" s="489"/>
      <c r="B133" s="489"/>
      <c r="C133" s="489"/>
      <c r="D133" s="489"/>
      <c r="E133" s="489"/>
      <c r="F133" s="489"/>
      <c r="G133" s="489"/>
      <c r="H133" s="489"/>
      <c r="I133" s="489"/>
      <c r="J133" s="489"/>
      <c r="K133" s="489"/>
      <c r="L133" s="489"/>
      <c r="M133" s="489"/>
      <c r="N133" s="489"/>
      <c r="O133" s="489"/>
      <c r="P133" s="489"/>
      <c r="Q133" s="489"/>
      <c r="R133" s="489"/>
      <c r="S133" s="489"/>
      <c r="T133" s="489"/>
      <c r="U133" s="489"/>
      <c r="V133" s="489"/>
      <c r="W133" s="489"/>
      <c r="X133" s="489"/>
      <c r="Y133" s="489"/>
      <c r="Z133" s="489"/>
      <c r="AA133" s="489"/>
      <c r="AB133" s="489"/>
      <c r="AC133" s="489"/>
      <c r="AD133" s="489"/>
    </row>
    <row r="134" spans="1:30">
      <c r="A134" s="489"/>
      <c r="B134" s="489"/>
      <c r="C134" s="489"/>
      <c r="D134" s="489"/>
      <c r="E134" s="489"/>
      <c r="F134" s="489"/>
      <c r="G134" s="489"/>
      <c r="H134" s="489"/>
      <c r="I134" s="489"/>
      <c r="J134" s="489"/>
      <c r="K134" s="489"/>
      <c r="L134" s="489"/>
      <c r="M134" s="489"/>
      <c r="N134" s="489"/>
      <c r="O134" s="489"/>
      <c r="P134" s="489"/>
      <c r="Q134" s="489"/>
      <c r="R134" s="489"/>
      <c r="S134" s="489"/>
      <c r="T134" s="489"/>
      <c r="U134" s="489"/>
      <c r="V134" s="489"/>
      <c r="W134" s="489"/>
      <c r="X134" s="489"/>
      <c r="Y134" s="489"/>
      <c r="Z134" s="489"/>
      <c r="AA134" s="489"/>
      <c r="AB134" s="489"/>
      <c r="AC134" s="489"/>
      <c r="AD134" s="489"/>
    </row>
    <row r="135" spans="1:30">
      <c r="A135" s="489"/>
      <c r="B135" s="489"/>
      <c r="C135" s="489"/>
      <c r="D135" s="489"/>
      <c r="E135" s="489"/>
      <c r="F135" s="489"/>
      <c r="G135" s="489"/>
      <c r="H135" s="489"/>
      <c r="I135" s="489"/>
      <c r="J135" s="489"/>
      <c r="K135" s="489"/>
      <c r="L135" s="489"/>
      <c r="M135" s="489"/>
      <c r="N135" s="489"/>
      <c r="O135" s="489"/>
      <c r="P135" s="489"/>
      <c r="Q135" s="489"/>
      <c r="R135" s="489"/>
      <c r="S135" s="489"/>
      <c r="T135" s="489"/>
      <c r="U135" s="489"/>
      <c r="V135" s="489"/>
      <c r="W135" s="489"/>
      <c r="X135" s="489"/>
      <c r="Y135" s="489"/>
      <c r="Z135" s="489"/>
      <c r="AA135" s="489"/>
      <c r="AB135" s="489"/>
      <c r="AC135" s="489"/>
      <c r="AD135" s="489"/>
    </row>
    <row r="136" spans="1:30">
      <c r="A136" s="489"/>
      <c r="B136" s="489"/>
      <c r="C136" s="489"/>
      <c r="D136" s="489"/>
      <c r="E136" s="489"/>
      <c r="F136" s="489"/>
      <c r="G136" s="489"/>
      <c r="H136" s="489"/>
      <c r="I136" s="489"/>
      <c r="J136" s="489"/>
      <c r="K136" s="489"/>
      <c r="L136" s="489"/>
      <c r="M136" s="489"/>
      <c r="N136" s="489"/>
      <c r="O136" s="489"/>
      <c r="P136" s="489"/>
      <c r="Q136" s="489"/>
      <c r="R136" s="489"/>
      <c r="S136" s="489"/>
      <c r="T136" s="489"/>
      <c r="U136" s="489"/>
      <c r="V136" s="489"/>
      <c r="W136" s="489"/>
      <c r="X136" s="489"/>
      <c r="Y136" s="489"/>
      <c r="Z136" s="489"/>
      <c r="AA136" s="489"/>
      <c r="AB136" s="489"/>
      <c r="AC136" s="489"/>
      <c r="AD136" s="489"/>
    </row>
    <row r="137" spans="1:30">
      <c r="A137" s="489"/>
      <c r="B137" s="489"/>
      <c r="C137" s="489"/>
      <c r="D137" s="489"/>
      <c r="E137" s="489"/>
      <c r="F137" s="489"/>
      <c r="G137" s="489"/>
      <c r="H137" s="489"/>
      <c r="I137" s="489"/>
      <c r="J137" s="489"/>
      <c r="K137" s="489"/>
      <c r="L137" s="489"/>
      <c r="M137" s="489"/>
      <c r="N137" s="489"/>
      <c r="O137" s="489"/>
      <c r="P137" s="489"/>
      <c r="Q137" s="489"/>
      <c r="R137" s="489"/>
      <c r="S137" s="489"/>
      <c r="T137" s="489"/>
      <c r="U137" s="489"/>
      <c r="V137" s="489"/>
      <c r="W137" s="489"/>
      <c r="X137" s="489"/>
      <c r="Y137" s="489"/>
      <c r="Z137" s="489"/>
      <c r="AA137" s="489"/>
      <c r="AB137" s="489"/>
      <c r="AC137" s="489"/>
      <c r="AD137" s="489"/>
    </row>
    <row r="138" spans="1:30">
      <c r="A138" s="489"/>
      <c r="B138" s="489"/>
      <c r="C138" s="489"/>
      <c r="D138" s="489"/>
      <c r="E138" s="489"/>
      <c r="F138" s="489"/>
      <c r="G138" s="489"/>
      <c r="H138" s="489"/>
      <c r="I138" s="489"/>
      <c r="J138" s="489"/>
      <c r="K138" s="489"/>
      <c r="L138" s="489"/>
      <c r="M138" s="489"/>
      <c r="N138" s="489"/>
      <c r="O138" s="489"/>
      <c r="P138" s="489"/>
      <c r="Q138" s="489"/>
      <c r="R138" s="489"/>
      <c r="S138" s="489"/>
      <c r="T138" s="489"/>
      <c r="U138" s="489"/>
      <c r="V138" s="489"/>
      <c r="W138" s="489"/>
      <c r="X138" s="489"/>
      <c r="Y138" s="489"/>
      <c r="Z138" s="489"/>
      <c r="AA138" s="489"/>
      <c r="AB138" s="489"/>
      <c r="AC138" s="489"/>
      <c r="AD138" s="489"/>
    </row>
    <row r="139" spans="1:30">
      <c r="A139" s="489"/>
      <c r="B139" s="489"/>
      <c r="C139" s="489"/>
      <c r="D139" s="489"/>
      <c r="E139" s="489"/>
      <c r="F139" s="489"/>
      <c r="G139" s="489"/>
      <c r="H139" s="489"/>
      <c r="I139" s="489"/>
      <c r="J139" s="489"/>
      <c r="K139" s="489"/>
      <c r="L139" s="489"/>
      <c r="M139" s="489"/>
      <c r="N139" s="489"/>
      <c r="O139" s="489"/>
      <c r="P139" s="489"/>
      <c r="Q139" s="489"/>
      <c r="R139" s="489"/>
      <c r="S139" s="489"/>
      <c r="T139" s="489"/>
      <c r="U139" s="489"/>
      <c r="V139" s="489"/>
      <c r="W139" s="489"/>
      <c r="X139" s="489"/>
      <c r="Y139" s="489"/>
      <c r="Z139" s="489"/>
      <c r="AA139" s="489"/>
      <c r="AB139" s="489"/>
      <c r="AC139" s="489"/>
      <c r="AD139" s="489"/>
    </row>
    <row r="140" spans="1:30">
      <c r="A140" s="489"/>
      <c r="B140" s="489"/>
      <c r="C140" s="489"/>
      <c r="D140" s="489"/>
      <c r="E140" s="489"/>
      <c r="F140" s="489"/>
      <c r="G140" s="489"/>
      <c r="H140" s="489"/>
      <c r="I140" s="489"/>
      <c r="J140" s="489"/>
      <c r="K140" s="489"/>
      <c r="L140" s="489"/>
      <c r="M140" s="489"/>
      <c r="N140" s="489"/>
      <c r="O140" s="489"/>
      <c r="P140" s="489"/>
      <c r="Q140" s="489"/>
      <c r="R140" s="489"/>
      <c r="S140" s="489"/>
      <c r="T140" s="489"/>
      <c r="U140" s="489"/>
      <c r="V140" s="489"/>
      <c r="W140" s="489"/>
      <c r="X140" s="489"/>
      <c r="Y140" s="489"/>
      <c r="Z140" s="489"/>
      <c r="AA140" s="489"/>
      <c r="AB140" s="489"/>
      <c r="AC140" s="489"/>
      <c r="AD140" s="489"/>
    </row>
    <row r="141" spans="1:30">
      <c r="A141" s="489"/>
      <c r="B141" s="489"/>
      <c r="C141" s="489"/>
      <c r="D141" s="489"/>
      <c r="E141" s="489"/>
      <c r="F141" s="489"/>
      <c r="G141" s="489"/>
      <c r="H141" s="489"/>
      <c r="I141" s="489"/>
      <c r="J141" s="489"/>
      <c r="K141" s="489"/>
      <c r="L141" s="489"/>
      <c r="M141" s="489"/>
      <c r="N141" s="489"/>
      <c r="O141" s="489"/>
      <c r="P141" s="489"/>
      <c r="Q141" s="489"/>
      <c r="R141" s="489"/>
      <c r="S141" s="489"/>
      <c r="T141" s="489"/>
      <c r="U141" s="489"/>
      <c r="V141" s="489"/>
      <c r="W141" s="489"/>
      <c r="X141" s="489"/>
      <c r="Y141" s="489"/>
      <c r="Z141" s="489"/>
      <c r="AA141" s="489"/>
      <c r="AB141" s="489"/>
      <c r="AC141" s="489"/>
      <c r="AD141" s="489"/>
    </row>
    <row r="142" spans="1:30">
      <c r="A142" s="489"/>
      <c r="B142" s="489"/>
      <c r="C142" s="489"/>
      <c r="D142" s="489"/>
      <c r="E142" s="489"/>
      <c r="F142" s="489"/>
      <c r="G142" s="489"/>
      <c r="H142" s="489"/>
      <c r="I142" s="489"/>
      <c r="J142" s="489"/>
      <c r="K142" s="489"/>
      <c r="L142" s="489"/>
      <c r="M142" s="489"/>
      <c r="N142" s="489"/>
      <c r="O142" s="489"/>
      <c r="P142" s="489"/>
      <c r="Q142" s="489"/>
      <c r="R142" s="489"/>
      <c r="S142" s="489"/>
      <c r="T142" s="489"/>
      <c r="U142" s="489"/>
      <c r="V142" s="489"/>
      <c r="W142" s="489"/>
      <c r="X142" s="489"/>
      <c r="Y142" s="489"/>
      <c r="Z142" s="489"/>
      <c r="AA142" s="489"/>
      <c r="AB142" s="489"/>
      <c r="AC142" s="489"/>
      <c r="AD142" s="489"/>
    </row>
    <row r="143" spans="1:30">
      <c r="A143" s="489"/>
      <c r="B143" s="489"/>
      <c r="C143" s="489"/>
      <c r="D143" s="489"/>
      <c r="E143" s="489"/>
      <c r="F143" s="489"/>
      <c r="G143" s="489"/>
      <c r="H143" s="489"/>
      <c r="I143" s="489"/>
      <c r="J143" s="489"/>
      <c r="K143" s="489"/>
      <c r="L143" s="489"/>
      <c r="M143" s="489"/>
      <c r="N143" s="489"/>
      <c r="O143" s="489"/>
      <c r="P143" s="489"/>
      <c r="Q143" s="489"/>
      <c r="R143" s="489"/>
      <c r="S143" s="489"/>
      <c r="T143" s="489"/>
      <c r="U143" s="489"/>
      <c r="V143" s="489"/>
      <c r="W143" s="489"/>
      <c r="X143" s="489"/>
      <c r="Y143" s="489"/>
      <c r="Z143" s="489"/>
      <c r="AA143" s="489"/>
      <c r="AB143" s="489"/>
      <c r="AC143" s="489"/>
      <c r="AD143" s="489"/>
    </row>
    <row r="144" spans="1:30">
      <c r="A144" s="489"/>
      <c r="B144" s="489"/>
      <c r="C144" s="489"/>
      <c r="D144" s="489"/>
      <c r="E144" s="489"/>
      <c r="F144" s="489"/>
      <c r="G144" s="489"/>
      <c r="H144" s="489"/>
      <c r="I144" s="489"/>
      <c r="J144" s="489"/>
      <c r="K144" s="489"/>
      <c r="L144" s="489"/>
      <c r="M144" s="489"/>
      <c r="N144" s="489"/>
      <c r="O144" s="489"/>
      <c r="P144" s="489"/>
      <c r="Q144" s="489"/>
      <c r="R144" s="489"/>
      <c r="S144" s="489"/>
      <c r="T144" s="489"/>
      <c r="U144" s="489"/>
      <c r="V144" s="489"/>
      <c r="W144" s="489"/>
      <c r="X144" s="489"/>
      <c r="Y144" s="489"/>
      <c r="Z144" s="489"/>
      <c r="AA144" s="489"/>
      <c r="AB144" s="489"/>
      <c r="AC144" s="489"/>
      <c r="AD144" s="489"/>
    </row>
    <row r="145" spans="1:30">
      <c r="A145" s="489"/>
      <c r="B145" s="489"/>
      <c r="C145" s="489"/>
      <c r="D145" s="489"/>
      <c r="E145" s="489"/>
      <c r="F145" s="489"/>
      <c r="G145" s="489"/>
      <c r="H145" s="489"/>
      <c r="I145" s="489"/>
      <c r="J145" s="489"/>
      <c r="K145" s="489"/>
      <c r="L145" s="489"/>
      <c r="M145" s="489"/>
      <c r="N145" s="489"/>
      <c r="O145" s="489"/>
      <c r="P145" s="489"/>
      <c r="Q145" s="489"/>
      <c r="R145" s="489"/>
      <c r="S145" s="489"/>
      <c r="T145" s="489"/>
      <c r="U145" s="489"/>
      <c r="V145" s="489"/>
      <c r="W145" s="489"/>
      <c r="X145" s="489"/>
      <c r="Y145" s="489"/>
      <c r="Z145" s="489"/>
      <c r="AA145" s="489"/>
      <c r="AB145" s="489"/>
      <c r="AC145" s="489"/>
      <c r="AD145" s="489"/>
    </row>
    <row r="146" spans="1:30">
      <c r="A146" s="489"/>
      <c r="B146" s="489"/>
      <c r="C146" s="489"/>
      <c r="D146" s="489"/>
      <c r="E146" s="489"/>
      <c r="F146" s="489"/>
      <c r="G146" s="489"/>
      <c r="H146" s="489"/>
      <c r="I146" s="489"/>
      <c r="J146" s="489"/>
      <c r="K146" s="489"/>
      <c r="L146" s="489"/>
      <c r="M146" s="489"/>
      <c r="N146" s="489"/>
      <c r="O146" s="489"/>
      <c r="P146" s="489"/>
      <c r="Q146" s="489"/>
      <c r="R146" s="489"/>
      <c r="S146" s="489"/>
      <c r="T146" s="489"/>
      <c r="U146" s="489"/>
      <c r="V146" s="489"/>
      <c r="W146" s="489"/>
      <c r="X146" s="489"/>
      <c r="Y146" s="489"/>
      <c r="Z146" s="489"/>
      <c r="AA146" s="489"/>
      <c r="AB146" s="489"/>
      <c r="AC146" s="489"/>
      <c r="AD146" s="489"/>
    </row>
    <row r="147" spans="1:30">
      <c r="A147" s="489"/>
      <c r="B147" s="489"/>
      <c r="C147" s="489"/>
      <c r="D147" s="489"/>
      <c r="E147" s="489"/>
      <c r="F147" s="489"/>
      <c r="G147" s="489"/>
      <c r="H147" s="489"/>
      <c r="I147" s="489"/>
      <c r="J147" s="489"/>
      <c r="K147" s="489"/>
      <c r="L147" s="489"/>
      <c r="M147" s="489"/>
      <c r="N147" s="489"/>
      <c r="O147" s="489"/>
      <c r="P147" s="489"/>
      <c r="Q147" s="489"/>
      <c r="R147" s="489"/>
      <c r="S147" s="489"/>
      <c r="T147" s="489"/>
      <c r="U147" s="489"/>
      <c r="V147" s="489"/>
      <c r="W147" s="489"/>
      <c r="X147" s="489"/>
      <c r="Y147" s="489"/>
      <c r="Z147" s="489"/>
      <c r="AA147" s="489"/>
      <c r="AB147" s="489"/>
      <c r="AC147" s="489"/>
      <c r="AD147" s="489"/>
    </row>
    <row r="148" spans="1:30">
      <c r="A148" s="489"/>
      <c r="B148" s="489"/>
      <c r="C148" s="489"/>
      <c r="D148" s="489"/>
      <c r="E148" s="489"/>
      <c r="F148" s="489"/>
      <c r="G148" s="489"/>
      <c r="H148" s="489"/>
      <c r="I148" s="489"/>
      <c r="J148" s="489"/>
      <c r="K148" s="489"/>
      <c r="L148" s="489"/>
      <c r="M148" s="489"/>
      <c r="N148" s="489"/>
      <c r="O148" s="489"/>
      <c r="P148" s="489"/>
      <c r="Q148" s="489"/>
      <c r="R148" s="489"/>
      <c r="S148" s="489"/>
      <c r="T148" s="489"/>
      <c r="U148" s="489"/>
      <c r="V148" s="489"/>
      <c r="W148" s="489"/>
      <c r="X148" s="489"/>
      <c r="Y148" s="489"/>
      <c r="Z148" s="489"/>
      <c r="AA148" s="489"/>
      <c r="AB148" s="489"/>
      <c r="AC148" s="489"/>
      <c r="AD148" s="489"/>
    </row>
    <row r="149" spans="1:30">
      <c r="A149" s="489"/>
      <c r="B149" s="489"/>
      <c r="C149" s="489"/>
      <c r="D149" s="489"/>
      <c r="E149" s="489"/>
      <c r="F149" s="489"/>
      <c r="G149" s="489"/>
      <c r="H149" s="489"/>
      <c r="I149" s="489"/>
      <c r="J149" s="489"/>
      <c r="K149" s="489"/>
      <c r="L149" s="489"/>
      <c r="M149" s="489"/>
      <c r="N149" s="489"/>
      <c r="O149" s="489"/>
      <c r="P149" s="489"/>
      <c r="Q149" s="489"/>
      <c r="R149" s="489"/>
      <c r="S149" s="489"/>
      <c r="T149" s="489"/>
      <c r="U149" s="489"/>
      <c r="V149" s="489"/>
      <c r="W149" s="489"/>
      <c r="X149" s="489"/>
      <c r="Y149" s="489"/>
      <c r="Z149" s="489"/>
      <c r="AA149" s="489"/>
      <c r="AB149" s="489"/>
      <c r="AC149" s="489"/>
      <c r="AD149" s="489"/>
    </row>
    <row r="150" spans="1:30">
      <c r="A150" s="489"/>
      <c r="B150" s="489"/>
      <c r="C150" s="489"/>
      <c r="D150" s="489"/>
      <c r="E150" s="489"/>
      <c r="F150" s="489"/>
      <c r="G150" s="489"/>
      <c r="H150" s="489"/>
      <c r="I150" s="489"/>
      <c r="J150" s="489"/>
      <c r="K150" s="489"/>
      <c r="L150" s="489"/>
      <c r="M150" s="489"/>
      <c r="N150" s="489"/>
      <c r="O150" s="489"/>
      <c r="P150" s="489"/>
      <c r="Q150" s="489"/>
      <c r="R150" s="489"/>
      <c r="S150" s="489"/>
      <c r="T150" s="489"/>
      <c r="U150" s="489"/>
      <c r="V150" s="489"/>
      <c r="W150" s="489"/>
      <c r="X150" s="489"/>
      <c r="Y150" s="489"/>
      <c r="Z150" s="489"/>
      <c r="AA150" s="489"/>
      <c r="AB150" s="489"/>
      <c r="AC150" s="489"/>
      <c r="AD150" s="489"/>
    </row>
    <row r="151" spans="1:30">
      <c r="A151" s="489"/>
      <c r="B151" s="489"/>
      <c r="C151" s="489"/>
      <c r="D151" s="489"/>
      <c r="E151" s="489"/>
      <c r="F151" s="489"/>
      <c r="G151" s="489"/>
      <c r="H151" s="489"/>
      <c r="I151" s="489"/>
      <c r="J151" s="489"/>
      <c r="K151" s="489"/>
      <c r="L151" s="489"/>
      <c r="M151" s="489"/>
      <c r="N151" s="489"/>
      <c r="O151" s="489"/>
      <c r="P151" s="489"/>
      <c r="Q151" s="489"/>
      <c r="R151" s="489"/>
      <c r="S151" s="489"/>
      <c r="T151" s="489"/>
      <c r="U151" s="489"/>
      <c r="V151" s="489"/>
      <c r="W151" s="489"/>
      <c r="X151" s="489"/>
      <c r="Y151" s="489"/>
      <c r="Z151" s="489"/>
      <c r="AA151" s="489"/>
      <c r="AB151" s="489"/>
      <c r="AC151" s="489"/>
      <c r="AD151" s="489"/>
    </row>
    <row r="152" spans="1:30">
      <c r="A152" s="489"/>
      <c r="B152" s="489"/>
      <c r="C152" s="489"/>
      <c r="D152" s="489"/>
      <c r="E152" s="489"/>
      <c r="F152" s="489"/>
      <c r="G152" s="489"/>
      <c r="H152" s="489"/>
      <c r="I152" s="489"/>
      <c r="J152" s="489"/>
      <c r="K152" s="489"/>
      <c r="L152" s="489"/>
      <c r="M152" s="489"/>
      <c r="N152" s="489"/>
      <c r="O152" s="489"/>
      <c r="P152" s="489"/>
      <c r="Q152" s="489"/>
      <c r="R152" s="489"/>
      <c r="S152" s="489"/>
      <c r="T152" s="489"/>
      <c r="U152" s="489"/>
      <c r="V152" s="489"/>
      <c r="W152" s="489"/>
      <c r="X152" s="489"/>
      <c r="Y152" s="489"/>
      <c r="Z152" s="489"/>
      <c r="AA152" s="489"/>
      <c r="AB152" s="489"/>
      <c r="AC152" s="489"/>
      <c r="AD152" s="489"/>
    </row>
    <row r="153" spans="1:30">
      <c r="A153" s="489"/>
      <c r="B153" s="489"/>
      <c r="C153" s="489"/>
      <c r="D153" s="489"/>
      <c r="E153" s="489"/>
      <c r="F153" s="489"/>
      <c r="G153" s="489"/>
      <c r="H153" s="489"/>
      <c r="I153" s="489"/>
      <c r="J153" s="489"/>
      <c r="K153" s="489"/>
      <c r="L153" s="489"/>
      <c r="M153" s="489"/>
      <c r="N153" s="489"/>
      <c r="O153" s="489"/>
      <c r="P153" s="489"/>
      <c r="Q153" s="489"/>
      <c r="R153" s="489"/>
      <c r="S153" s="489"/>
      <c r="T153" s="489"/>
      <c r="U153" s="489"/>
      <c r="V153" s="489"/>
      <c r="W153" s="489"/>
      <c r="X153" s="489"/>
      <c r="Y153" s="489"/>
      <c r="Z153" s="489"/>
      <c r="AA153" s="489"/>
      <c r="AB153" s="489"/>
      <c r="AC153" s="489"/>
      <c r="AD153" s="489"/>
    </row>
    <row r="154" spans="1:30">
      <c r="A154" s="489"/>
      <c r="B154" s="489"/>
      <c r="C154" s="489"/>
      <c r="D154" s="489"/>
      <c r="E154" s="489"/>
      <c r="F154" s="489"/>
      <c r="G154" s="489"/>
      <c r="H154" s="489"/>
      <c r="I154" s="489"/>
      <c r="J154" s="489"/>
      <c r="K154" s="489"/>
      <c r="L154" s="489"/>
      <c r="M154" s="489"/>
      <c r="N154" s="489"/>
      <c r="O154" s="489"/>
      <c r="P154" s="489"/>
      <c r="Q154" s="489"/>
      <c r="R154" s="489"/>
      <c r="S154" s="489"/>
      <c r="T154" s="489"/>
      <c r="U154" s="489"/>
      <c r="V154" s="489"/>
      <c r="W154" s="489"/>
      <c r="X154" s="489"/>
      <c r="Y154" s="489"/>
      <c r="Z154" s="489"/>
      <c r="AA154" s="489"/>
      <c r="AB154" s="489"/>
      <c r="AC154" s="489"/>
      <c r="AD154" s="489"/>
    </row>
    <row r="155" spans="1:30">
      <c r="A155" s="489"/>
      <c r="B155" s="489"/>
      <c r="C155" s="489"/>
      <c r="D155" s="489"/>
      <c r="E155" s="489"/>
      <c r="F155" s="489"/>
      <c r="G155" s="489"/>
      <c r="H155" s="489"/>
      <c r="I155" s="489"/>
      <c r="J155" s="489"/>
      <c r="K155" s="489"/>
      <c r="L155" s="489"/>
      <c r="M155" s="489"/>
      <c r="N155" s="489"/>
      <c r="O155" s="489"/>
      <c r="P155" s="489"/>
      <c r="Q155" s="489"/>
      <c r="R155" s="489"/>
      <c r="S155" s="489"/>
      <c r="T155" s="489"/>
      <c r="U155" s="489"/>
      <c r="V155" s="489"/>
      <c r="W155" s="489"/>
      <c r="X155" s="489"/>
      <c r="Y155" s="489"/>
      <c r="Z155" s="489"/>
      <c r="AA155" s="489"/>
      <c r="AB155" s="489"/>
      <c r="AC155" s="489"/>
      <c r="AD155" s="489"/>
    </row>
    <row r="156" spans="1:30">
      <c r="A156" s="489"/>
      <c r="B156" s="489"/>
      <c r="C156" s="489"/>
      <c r="D156" s="489"/>
      <c r="E156" s="489"/>
      <c r="F156" s="489"/>
      <c r="G156" s="489"/>
      <c r="H156" s="489"/>
      <c r="I156" s="489"/>
      <c r="J156" s="489"/>
      <c r="K156" s="489"/>
      <c r="L156" s="489"/>
      <c r="M156" s="489"/>
      <c r="N156" s="489"/>
      <c r="O156" s="489"/>
      <c r="P156" s="489"/>
      <c r="Q156" s="489"/>
      <c r="R156" s="489"/>
      <c r="S156" s="489"/>
      <c r="T156" s="489"/>
      <c r="U156" s="489"/>
      <c r="V156" s="489"/>
      <c r="W156" s="489"/>
      <c r="X156" s="489"/>
      <c r="Y156" s="489"/>
      <c r="Z156" s="489"/>
      <c r="AA156" s="489"/>
      <c r="AB156" s="489"/>
      <c r="AC156" s="489"/>
      <c r="AD156" s="489"/>
    </row>
    <row r="157" spans="1:30">
      <c r="A157" s="489"/>
      <c r="B157" s="489"/>
      <c r="C157" s="489"/>
      <c r="D157" s="489"/>
      <c r="E157" s="489"/>
      <c r="F157" s="489"/>
      <c r="G157" s="489"/>
      <c r="H157" s="489"/>
      <c r="I157" s="489"/>
      <c r="J157" s="489"/>
      <c r="K157" s="489"/>
      <c r="L157" s="489"/>
      <c r="M157" s="489"/>
      <c r="N157" s="489"/>
      <c r="O157" s="489"/>
      <c r="P157" s="489"/>
      <c r="Q157" s="489"/>
      <c r="R157" s="489"/>
      <c r="S157" s="489"/>
      <c r="T157" s="489"/>
      <c r="U157" s="489"/>
      <c r="V157" s="489"/>
      <c r="W157" s="489"/>
      <c r="X157" s="489"/>
      <c r="Y157" s="489"/>
      <c r="Z157" s="489"/>
      <c r="AA157" s="489"/>
      <c r="AB157" s="489"/>
      <c r="AC157" s="489"/>
      <c r="AD157" s="489"/>
    </row>
    <row r="158" spans="1:30">
      <c r="A158" s="489"/>
      <c r="B158" s="489"/>
      <c r="C158" s="489"/>
      <c r="D158" s="489"/>
      <c r="E158" s="489"/>
      <c r="F158" s="489"/>
      <c r="G158" s="489"/>
      <c r="H158" s="489"/>
      <c r="I158" s="489"/>
      <c r="J158" s="489"/>
      <c r="K158" s="489"/>
      <c r="L158" s="489"/>
      <c r="M158" s="489"/>
      <c r="N158" s="489"/>
      <c r="O158" s="489"/>
      <c r="P158" s="489"/>
      <c r="Q158" s="489"/>
      <c r="R158" s="489"/>
      <c r="S158" s="489"/>
      <c r="T158" s="489"/>
      <c r="U158" s="489"/>
      <c r="V158" s="489"/>
      <c r="W158" s="489"/>
      <c r="X158" s="489"/>
      <c r="Y158" s="489"/>
      <c r="Z158" s="489"/>
      <c r="AA158" s="489"/>
      <c r="AB158" s="489"/>
      <c r="AC158" s="489"/>
      <c r="AD158" s="489"/>
    </row>
    <row r="159" spans="1:30">
      <c r="A159" s="489"/>
      <c r="B159" s="489"/>
      <c r="C159" s="489"/>
      <c r="D159" s="489"/>
      <c r="E159" s="489"/>
      <c r="F159" s="489"/>
      <c r="G159" s="489"/>
      <c r="H159" s="489"/>
      <c r="I159" s="489"/>
      <c r="J159" s="489"/>
      <c r="K159" s="489"/>
      <c r="L159" s="489"/>
      <c r="M159" s="489"/>
      <c r="N159" s="489"/>
      <c r="O159" s="489"/>
      <c r="P159" s="489"/>
      <c r="Q159" s="489"/>
      <c r="R159" s="489"/>
      <c r="S159" s="489"/>
      <c r="T159" s="489"/>
      <c r="U159" s="489"/>
      <c r="V159" s="489"/>
      <c r="W159" s="489"/>
      <c r="X159" s="489"/>
      <c r="Y159" s="489"/>
      <c r="Z159" s="489"/>
      <c r="AA159" s="489"/>
      <c r="AB159" s="489"/>
      <c r="AC159" s="489"/>
      <c r="AD159" s="489"/>
    </row>
    <row r="160" spans="1:30">
      <c r="A160" s="489"/>
      <c r="B160" s="489"/>
      <c r="C160" s="489"/>
      <c r="D160" s="489"/>
      <c r="E160" s="489"/>
      <c r="F160" s="489"/>
      <c r="G160" s="489"/>
      <c r="H160" s="489"/>
      <c r="I160" s="489"/>
      <c r="J160" s="489"/>
      <c r="K160" s="489"/>
      <c r="L160" s="489"/>
      <c r="M160" s="489"/>
      <c r="N160" s="489"/>
      <c r="O160" s="489"/>
      <c r="P160" s="489"/>
      <c r="Q160" s="489"/>
      <c r="R160" s="489"/>
      <c r="S160" s="489"/>
      <c r="T160" s="489"/>
      <c r="U160" s="489"/>
      <c r="V160" s="489"/>
      <c r="W160" s="489"/>
      <c r="X160" s="489"/>
      <c r="Y160" s="489"/>
      <c r="Z160" s="489"/>
      <c r="AA160" s="489"/>
      <c r="AB160" s="489"/>
      <c r="AC160" s="489"/>
      <c r="AD160" s="489"/>
    </row>
    <row r="161" spans="1:30">
      <c r="A161" s="489"/>
      <c r="B161" s="489"/>
      <c r="C161" s="489"/>
      <c r="D161" s="489"/>
      <c r="E161" s="489"/>
      <c r="F161" s="489"/>
      <c r="G161" s="489"/>
      <c r="H161" s="489"/>
      <c r="I161" s="489"/>
      <c r="J161" s="489"/>
      <c r="K161" s="489"/>
      <c r="L161" s="489"/>
      <c r="M161" s="489"/>
      <c r="N161" s="489"/>
      <c r="O161" s="489"/>
      <c r="P161" s="489"/>
      <c r="Q161" s="489"/>
      <c r="R161" s="489"/>
      <c r="S161" s="489"/>
      <c r="T161" s="489"/>
      <c r="U161" s="489"/>
      <c r="V161" s="489"/>
      <c r="W161" s="489"/>
      <c r="X161" s="489"/>
      <c r="Y161" s="489"/>
      <c r="Z161" s="489"/>
      <c r="AA161" s="489"/>
      <c r="AB161" s="489"/>
      <c r="AC161" s="489"/>
      <c r="AD161" s="489"/>
    </row>
    <row r="162" spans="1:30">
      <c r="A162" s="489"/>
      <c r="B162" s="489"/>
      <c r="C162" s="489"/>
      <c r="D162" s="489"/>
      <c r="E162" s="489"/>
      <c r="F162" s="489"/>
      <c r="G162" s="489"/>
      <c r="H162" s="489"/>
      <c r="I162" s="489"/>
      <c r="J162" s="489"/>
      <c r="K162" s="489"/>
      <c r="L162" s="489"/>
      <c r="M162" s="489"/>
      <c r="N162" s="489"/>
      <c r="O162" s="489"/>
      <c r="P162" s="489"/>
      <c r="Q162" s="489"/>
      <c r="R162" s="489"/>
      <c r="S162" s="489"/>
      <c r="T162" s="489"/>
      <c r="U162" s="489"/>
      <c r="V162" s="489"/>
      <c r="W162" s="489"/>
      <c r="X162" s="489"/>
      <c r="Y162" s="489"/>
      <c r="Z162" s="489"/>
      <c r="AA162" s="489"/>
      <c r="AB162" s="489"/>
      <c r="AC162" s="489"/>
      <c r="AD162" s="489"/>
    </row>
    <row r="163" spans="1:30">
      <c r="A163" s="489"/>
      <c r="B163" s="489"/>
      <c r="C163" s="489"/>
      <c r="D163" s="489"/>
      <c r="E163" s="489"/>
      <c r="F163" s="489"/>
      <c r="G163" s="489"/>
      <c r="H163" s="489"/>
      <c r="I163" s="489"/>
      <c r="J163" s="489"/>
      <c r="K163" s="489"/>
      <c r="L163" s="489"/>
      <c r="M163" s="489"/>
      <c r="N163" s="489"/>
      <c r="O163" s="489"/>
      <c r="P163" s="489"/>
      <c r="Q163" s="489"/>
      <c r="R163" s="489"/>
      <c r="S163" s="489"/>
      <c r="T163" s="489"/>
      <c r="U163" s="489"/>
      <c r="V163" s="489"/>
      <c r="W163" s="489"/>
      <c r="X163" s="489"/>
      <c r="Y163" s="489"/>
      <c r="Z163" s="489"/>
      <c r="AA163" s="489"/>
      <c r="AB163" s="489"/>
      <c r="AC163" s="489"/>
      <c r="AD163" s="489"/>
    </row>
    <row r="164" spans="1:30">
      <c r="A164" s="489"/>
      <c r="B164" s="489"/>
      <c r="C164" s="489"/>
      <c r="D164" s="489"/>
      <c r="E164" s="489"/>
      <c r="F164" s="489"/>
      <c r="G164" s="489"/>
      <c r="H164" s="489"/>
      <c r="I164" s="489"/>
      <c r="J164" s="489"/>
      <c r="K164" s="489"/>
      <c r="L164" s="489"/>
      <c r="M164" s="489"/>
      <c r="N164" s="489"/>
      <c r="O164" s="489"/>
      <c r="P164" s="489"/>
      <c r="Q164" s="489"/>
      <c r="R164" s="489"/>
      <c r="S164" s="489"/>
      <c r="T164" s="489"/>
      <c r="U164" s="489"/>
      <c r="V164" s="489"/>
      <c r="W164" s="489"/>
      <c r="X164" s="489"/>
      <c r="Y164" s="489"/>
      <c r="Z164" s="489"/>
      <c r="AA164" s="489"/>
      <c r="AB164" s="489"/>
      <c r="AC164" s="489"/>
      <c r="AD164" s="489"/>
    </row>
    <row r="165" spans="1:30">
      <c r="A165" s="489"/>
      <c r="B165" s="489"/>
      <c r="C165" s="489"/>
      <c r="D165" s="489"/>
      <c r="E165" s="489"/>
      <c r="F165" s="489"/>
      <c r="G165" s="489"/>
      <c r="H165" s="489"/>
      <c r="I165" s="489"/>
      <c r="J165" s="489"/>
      <c r="K165" s="489"/>
      <c r="L165" s="489"/>
      <c r="M165" s="489"/>
      <c r="N165" s="489"/>
      <c r="O165" s="489"/>
      <c r="P165" s="489"/>
      <c r="Q165" s="489"/>
      <c r="R165" s="489"/>
      <c r="S165" s="489"/>
      <c r="T165" s="489"/>
      <c r="U165" s="489"/>
      <c r="V165" s="489"/>
      <c r="W165" s="489"/>
      <c r="X165" s="489"/>
      <c r="Y165" s="489"/>
      <c r="Z165" s="489"/>
      <c r="AA165" s="489"/>
      <c r="AB165" s="489"/>
      <c r="AC165" s="489"/>
      <c r="AD165" s="489"/>
    </row>
    <row r="166" spans="1:30">
      <c r="A166" s="489"/>
      <c r="B166" s="489"/>
      <c r="C166" s="489"/>
      <c r="D166" s="489"/>
      <c r="E166" s="489"/>
      <c r="F166" s="489"/>
      <c r="G166" s="489"/>
      <c r="H166" s="489"/>
      <c r="I166" s="489"/>
      <c r="J166" s="489"/>
      <c r="K166" s="489"/>
      <c r="L166" s="489"/>
      <c r="M166" s="489"/>
      <c r="N166" s="489"/>
      <c r="O166" s="489"/>
      <c r="P166" s="489"/>
      <c r="Q166" s="489"/>
      <c r="R166" s="489"/>
      <c r="S166" s="489"/>
      <c r="T166" s="489"/>
      <c r="U166" s="489"/>
      <c r="V166" s="489"/>
      <c r="W166" s="489"/>
      <c r="X166" s="489"/>
      <c r="Y166" s="489"/>
      <c r="Z166" s="489"/>
      <c r="AA166" s="489"/>
      <c r="AB166" s="489"/>
      <c r="AC166" s="489"/>
      <c r="AD166" s="489"/>
    </row>
    <row r="167" spans="1:30">
      <c r="A167" s="489"/>
      <c r="B167" s="489"/>
      <c r="C167" s="489"/>
      <c r="D167" s="489"/>
      <c r="E167" s="489"/>
      <c r="F167" s="489"/>
      <c r="G167" s="489"/>
      <c r="H167" s="489"/>
      <c r="I167" s="489"/>
      <c r="J167" s="489"/>
      <c r="K167" s="489"/>
      <c r="L167" s="489"/>
      <c r="M167" s="489"/>
      <c r="N167" s="489"/>
      <c r="O167" s="489"/>
      <c r="P167" s="489"/>
      <c r="Q167" s="489"/>
      <c r="R167" s="489"/>
      <c r="S167" s="489"/>
      <c r="T167" s="489"/>
      <c r="U167" s="489"/>
      <c r="V167" s="489"/>
      <c r="W167" s="489"/>
      <c r="X167" s="489"/>
      <c r="Y167" s="489"/>
      <c r="Z167" s="489"/>
      <c r="AA167" s="489"/>
      <c r="AB167" s="489"/>
      <c r="AC167" s="489"/>
      <c r="AD167" s="489"/>
    </row>
  </sheetData>
  <mergeCells count="2">
    <mergeCell ref="A2:P2"/>
    <mergeCell ref="A3:P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N79"/>
  <sheetViews>
    <sheetView topLeftCell="A22" workbookViewId="0">
      <selection activeCell="O33" sqref="O33"/>
    </sheetView>
  </sheetViews>
  <sheetFormatPr defaultRowHeight="14.25"/>
  <cols>
    <col min="1" max="1" width="1.625" style="1189" customWidth="1"/>
    <col min="2" max="2" width="1.625" style="1125" customWidth="1"/>
    <col min="3" max="3" width="46.75" style="1125" customWidth="1"/>
    <col min="4" max="4" width="11.75" style="1125" customWidth="1"/>
    <col min="5" max="10" width="14.625" style="1125" customWidth="1"/>
    <col min="11" max="11" width="11.375" style="1125" customWidth="1"/>
    <col min="12" max="12" width="13.5" style="1125" customWidth="1"/>
    <col min="13" max="31" width="9" style="1125"/>
    <col min="32" max="32" width="11.75" style="1125" customWidth="1"/>
    <col min="33" max="33" width="14.25" style="1125" customWidth="1"/>
    <col min="34" max="34" width="13.75" style="1125" customWidth="1"/>
    <col min="35" max="35" width="15.25" style="1125" customWidth="1"/>
    <col min="36" max="36" width="12.25" style="1125" customWidth="1"/>
    <col min="37" max="37" width="14.75" style="1125" customWidth="1"/>
    <col min="38" max="38" width="12.5" style="1125" customWidth="1"/>
    <col min="39" max="39" width="10.25" style="1125" customWidth="1"/>
    <col min="40" max="40" width="13.5" style="1125" customWidth="1"/>
    <col min="41" max="256" width="9" style="1125"/>
    <col min="257" max="258" width="1.5" style="1125" customWidth="1"/>
    <col min="259" max="259" width="41" style="1125" customWidth="1"/>
    <col min="260" max="260" width="10.375" style="1125" bestFit="1" customWidth="1"/>
    <col min="261" max="266" width="12.875" style="1125" customWidth="1"/>
    <col min="267" max="267" width="10" style="1125" customWidth="1"/>
    <col min="268" max="268" width="11.875" style="1125" customWidth="1"/>
    <col min="269" max="287" width="9" style="1125"/>
    <col min="288" max="288" width="10.375" style="1125" bestFit="1" customWidth="1"/>
    <col min="289" max="289" width="12.5" style="1125" bestFit="1" customWidth="1"/>
    <col min="290" max="290" width="12.125" style="1125" bestFit="1" customWidth="1"/>
    <col min="291" max="291" width="13.375" style="1125" bestFit="1" customWidth="1"/>
    <col min="292" max="292" width="10.75" style="1125" bestFit="1" customWidth="1"/>
    <col min="293" max="293" width="13" style="1125" bestFit="1" customWidth="1"/>
    <col min="294" max="294" width="11" style="1125" bestFit="1" customWidth="1"/>
    <col min="295" max="295" width="9" style="1125" bestFit="1" customWidth="1"/>
    <col min="296" max="296" width="11.875" style="1125" bestFit="1" customWidth="1"/>
    <col min="297" max="512" width="9" style="1125"/>
    <col min="513" max="514" width="1.5" style="1125" customWidth="1"/>
    <col min="515" max="515" width="41" style="1125" customWidth="1"/>
    <col min="516" max="516" width="10.375" style="1125" bestFit="1" customWidth="1"/>
    <col min="517" max="522" width="12.875" style="1125" customWidth="1"/>
    <col min="523" max="523" width="10" style="1125" customWidth="1"/>
    <col min="524" max="524" width="11.875" style="1125" customWidth="1"/>
    <col min="525" max="543" width="9" style="1125"/>
    <col min="544" max="544" width="10.375" style="1125" bestFit="1" customWidth="1"/>
    <col min="545" max="545" width="12.5" style="1125" bestFit="1" customWidth="1"/>
    <col min="546" max="546" width="12.125" style="1125" bestFit="1" customWidth="1"/>
    <col min="547" max="547" width="13.375" style="1125" bestFit="1" customWidth="1"/>
    <col min="548" max="548" width="10.75" style="1125" bestFit="1" customWidth="1"/>
    <col min="549" max="549" width="13" style="1125" bestFit="1" customWidth="1"/>
    <col min="550" max="550" width="11" style="1125" bestFit="1" customWidth="1"/>
    <col min="551" max="551" width="9" style="1125" bestFit="1" customWidth="1"/>
    <col min="552" max="552" width="11.875" style="1125" bestFit="1" customWidth="1"/>
    <col min="553" max="768" width="9" style="1125"/>
    <col min="769" max="770" width="1.5" style="1125" customWidth="1"/>
    <col min="771" max="771" width="41" style="1125" customWidth="1"/>
    <col min="772" max="772" width="10.375" style="1125" bestFit="1" customWidth="1"/>
    <col min="773" max="778" width="12.875" style="1125" customWidth="1"/>
    <col min="779" max="779" width="10" style="1125" customWidth="1"/>
    <col min="780" max="780" width="11.875" style="1125" customWidth="1"/>
    <col min="781" max="799" width="9" style="1125"/>
    <col min="800" max="800" width="10.375" style="1125" bestFit="1" customWidth="1"/>
    <col min="801" max="801" width="12.5" style="1125" bestFit="1" customWidth="1"/>
    <col min="802" max="802" width="12.125" style="1125" bestFit="1" customWidth="1"/>
    <col min="803" max="803" width="13.375" style="1125" bestFit="1" customWidth="1"/>
    <col min="804" max="804" width="10.75" style="1125" bestFit="1" customWidth="1"/>
    <col min="805" max="805" width="13" style="1125" bestFit="1" customWidth="1"/>
    <col min="806" max="806" width="11" style="1125" bestFit="1" customWidth="1"/>
    <col min="807" max="807" width="9" style="1125" bestFit="1" customWidth="1"/>
    <col min="808" max="808" width="11.875" style="1125" bestFit="1" customWidth="1"/>
    <col min="809" max="1024" width="9" style="1125"/>
    <col min="1025" max="1026" width="1.5" style="1125" customWidth="1"/>
    <col min="1027" max="1027" width="41" style="1125" customWidth="1"/>
    <col min="1028" max="1028" width="10.375" style="1125" bestFit="1" customWidth="1"/>
    <col min="1029" max="1034" width="12.875" style="1125" customWidth="1"/>
    <col min="1035" max="1035" width="10" style="1125" customWidth="1"/>
    <col min="1036" max="1036" width="11.875" style="1125" customWidth="1"/>
    <col min="1037" max="1055" width="9" style="1125"/>
    <col min="1056" max="1056" width="10.375" style="1125" bestFit="1" customWidth="1"/>
    <col min="1057" max="1057" width="12.5" style="1125" bestFit="1" customWidth="1"/>
    <col min="1058" max="1058" width="12.125" style="1125" bestFit="1" customWidth="1"/>
    <col min="1059" max="1059" width="13.375" style="1125" bestFit="1" customWidth="1"/>
    <col min="1060" max="1060" width="10.75" style="1125" bestFit="1" customWidth="1"/>
    <col min="1061" max="1061" width="13" style="1125" bestFit="1" customWidth="1"/>
    <col min="1062" max="1062" width="11" style="1125" bestFit="1" customWidth="1"/>
    <col min="1063" max="1063" width="9" style="1125" bestFit="1" customWidth="1"/>
    <col min="1064" max="1064" width="11.875" style="1125" bestFit="1" customWidth="1"/>
    <col min="1065" max="1280" width="9" style="1125"/>
    <col min="1281" max="1282" width="1.5" style="1125" customWidth="1"/>
    <col min="1283" max="1283" width="41" style="1125" customWidth="1"/>
    <col min="1284" max="1284" width="10.375" style="1125" bestFit="1" customWidth="1"/>
    <col min="1285" max="1290" width="12.875" style="1125" customWidth="1"/>
    <col min="1291" max="1291" width="10" style="1125" customWidth="1"/>
    <col min="1292" max="1292" width="11.875" style="1125" customWidth="1"/>
    <col min="1293" max="1311" width="9" style="1125"/>
    <col min="1312" max="1312" width="10.375" style="1125" bestFit="1" customWidth="1"/>
    <col min="1313" max="1313" width="12.5" style="1125" bestFit="1" customWidth="1"/>
    <col min="1314" max="1314" width="12.125" style="1125" bestFit="1" customWidth="1"/>
    <col min="1315" max="1315" width="13.375" style="1125" bestFit="1" customWidth="1"/>
    <col min="1316" max="1316" width="10.75" style="1125" bestFit="1" customWidth="1"/>
    <col min="1317" max="1317" width="13" style="1125" bestFit="1" customWidth="1"/>
    <col min="1318" max="1318" width="11" style="1125" bestFit="1" customWidth="1"/>
    <col min="1319" max="1319" width="9" style="1125" bestFit="1" customWidth="1"/>
    <col min="1320" max="1320" width="11.875" style="1125" bestFit="1" customWidth="1"/>
    <col min="1321" max="1536" width="9" style="1125"/>
    <col min="1537" max="1538" width="1.5" style="1125" customWidth="1"/>
    <col min="1539" max="1539" width="41" style="1125" customWidth="1"/>
    <col min="1540" max="1540" width="10.375" style="1125" bestFit="1" customWidth="1"/>
    <col min="1541" max="1546" width="12.875" style="1125" customWidth="1"/>
    <col min="1547" max="1547" width="10" style="1125" customWidth="1"/>
    <col min="1548" max="1548" width="11.875" style="1125" customWidth="1"/>
    <col min="1549" max="1567" width="9" style="1125"/>
    <col min="1568" max="1568" width="10.375" style="1125" bestFit="1" customWidth="1"/>
    <col min="1569" max="1569" width="12.5" style="1125" bestFit="1" customWidth="1"/>
    <col min="1570" max="1570" width="12.125" style="1125" bestFit="1" customWidth="1"/>
    <col min="1571" max="1571" width="13.375" style="1125" bestFit="1" customWidth="1"/>
    <col min="1572" max="1572" width="10.75" style="1125" bestFit="1" customWidth="1"/>
    <col min="1573" max="1573" width="13" style="1125" bestFit="1" customWidth="1"/>
    <col min="1574" max="1574" width="11" style="1125" bestFit="1" customWidth="1"/>
    <col min="1575" max="1575" width="9" style="1125" bestFit="1" customWidth="1"/>
    <col min="1576" max="1576" width="11.875" style="1125" bestFit="1" customWidth="1"/>
    <col min="1577" max="1792" width="9" style="1125"/>
    <col min="1793" max="1794" width="1.5" style="1125" customWidth="1"/>
    <col min="1795" max="1795" width="41" style="1125" customWidth="1"/>
    <col min="1796" max="1796" width="10.375" style="1125" bestFit="1" customWidth="1"/>
    <col min="1797" max="1802" width="12.875" style="1125" customWidth="1"/>
    <col min="1803" max="1803" width="10" style="1125" customWidth="1"/>
    <col min="1804" max="1804" width="11.875" style="1125" customWidth="1"/>
    <col min="1805" max="1823" width="9" style="1125"/>
    <col min="1824" max="1824" width="10.375" style="1125" bestFit="1" customWidth="1"/>
    <col min="1825" max="1825" width="12.5" style="1125" bestFit="1" customWidth="1"/>
    <col min="1826" max="1826" width="12.125" style="1125" bestFit="1" customWidth="1"/>
    <col min="1827" max="1827" width="13.375" style="1125" bestFit="1" customWidth="1"/>
    <col min="1828" max="1828" width="10.75" style="1125" bestFit="1" customWidth="1"/>
    <col min="1829" max="1829" width="13" style="1125" bestFit="1" customWidth="1"/>
    <col min="1830" max="1830" width="11" style="1125" bestFit="1" customWidth="1"/>
    <col min="1831" max="1831" width="9" style="1125" bestFit="1" customWidth="1"/>
    <col min="1832" max="1832" width="11.875" style="1125" bestFit="1" customWidth="1"/>
    <col min="1833" max="2048" width="9" style="1125"/>
    <col min="2049" max="2050" width="1.5" style="1125" customWidth="1"/>
    <col min="2051" max="2051" width="41" style="1125" customWidth="1"/>
    <col min="2052" max="2052" width="10.375" style="1125" bestFit="1" customWidth="1"/>
    <col min="2053" max="2058" width="12.875" style="1125" customWidth="1"/>
    <col min="2059" max="2059" width="10" style="1125" customWidth="1"/>
    <col min="2060" max="2060" width="11.875" style="1125" customWidth="1"/>
    <col min="2061" max="2079" width="9" style="1125"/>
    <col min="2080" max="2080" width="10.375" style="1125" bestFit="1" customWidth="1"/>
    <col min="2081" max="2081" width="12.5" style="1125" bestFit="1" customWidth="1"/>
    <col min="2082" max="2082" width="12.125" style="1125" bestFit="1" customWidth="1"/>
    <col min="2083" max="2083" width="13.375" style="1125" bestFit="1" customWidth="1"/>
    <col min="2084" max="2084" width="10.75" style="1125" bestFit="1" customWidth="1"/>
    <col min="2085" max="2085" width="13" style="1125" bestFit="1" customWidth="1"/>
    <col min="2086" max="2086" width="11" style="1125" bestFit="1" customWidth="1"/>
    <col min="2087" max="2087" width="9" style="1125" bestFit="1" customWidth="1"/>
    <col min="2088" max="2088" width="11.875" style="1125" bestFit="1" customWidth="1"/>
    <col min="2089" max="2304" width="9" style="1125"/>
    <col min="2305" max="2306" width="1.5" style="1125" customWidth="1"/>
    <col min="2307" max="2307" width="41" style="1125" customWidth="1"/>
    <col min="2308" max="2308" width="10.375" style="1125" bestFit="1" customWidth="1"/>
    <col min="2309" max="2314" width="12.875" style="1125" customWidth="1"/>
    <col min="2315" max="2315" width="10" style="1125" customWidth="1"/>
    <col min="2316" max="2316" width="11.875" style="1125" customWidth="1"/>
    <col min="2317" max="2335" width="9" style="1125"/>
    <col min="2336" max="2336" width="10.375" style="1125" bestFit="1" customWidth="1"/>
    <col min="2337" max="2337" width="12.5" style="1125" bestFit="1" customWidth="1"/>
    <col min="2338" max="2338" width="12.125" style="1125" bestFit="1" customWidth="1"/>
    <col min="2339" max="2339" width="13.375" style="1125" bestFit="1" customWidth="1"/>
    <col min="2340" max="2340" width="10.75" style="1125" bestFit="1" customWidth="1"/>
    <col min="2341" max="2341" width="13" style="1125" bestFit="1" customWidth="1"/>
    <col min="2342" max="2342" width="11" style="1125" bestFit="1" customWidth="1"/>
    <col min="2343" max="2343" width="9" style="1125" bestFit="1" customWidth="1"/>
    <col min="2344" max="2344" width="11.875" style="1125" bestFit="1" customWidth="1"/>
    <col min="2345" max="2560" width="9" style="1125"/>
    <col min="2561" max="2562" width="1.5" style="1125" customWidth="1"/>
    <col min="2563" max="2563" width="41" style="1125" customWidth="1"/>
    <col min="2564" max="2564" width="10.375" style="1125" bestFit="1" customWidth="1"/>
    <col min="2565" max="2570" width="12.875" style="1125" customWidth="1"/>
    <col min="2571" max="2571" width="10" style="1125" customWidth="1"/>
    <col min="2572" max="2572" width="11.875" style="1125" customWidth="1"/>
    <col min="2573" max="2591" width="9" style="1125"/>
    <col min="2592" max="2592" width="10.375" style="1125" bestFit="1" customWidth="1"/>
    <col min="2593" max="2593" width="12.5" style="1125" bestFit="1" customWidth="1"/>
    <col min="2594" max="2594" width="12.125" style="1125" bestFit="1" customWidth="1"/>
    <col min="2595" max="2595" width="13.375" style="1125" bestFit="1" customWidth="1"/>
    <col min="2596" max="2596" width="10.75" style="1125" bestFit="1" customWidth="1"/>
    <col min="2597" max="2597" width="13" style="1125" bestFit="1" customWidth="1"/>
    <col min="2598" max="2598" width="11" style="1125" bestFit="1" customWidth="1"/>
    <col min="2599" max="2599" width="9" style="1125" bestFit="1" customWidth="1"/>
    <col min="2600" max="2600" width="11.875" style="1125" bestFit="1" customWidth="1"/>
    <col min="2601" max="2816" width="9" style="1125"/>
    <col min="2817" max="2818" width="1.5" style="1125" customWidth="1"/>
    <col min="2819" max="2819" width="41" style="1125" customWidth="1"/>
    <col min="2820" max="2820" width="10.375" style="1125" bestFit="1" customWidth="1"/>
    <col min="2821" max="2826" width="12.875" style="1125" customWidth="1"/>
    <col min="2827" max="2827" width="10" style="1125" customWidth="1"/>
    <col min="2828" max="2828" width="11.875" style="1125" customWidth="1"/>
    <col min="2829" max="2847" width="9" style="1125"/>
    <col min="2848" max="2848" width="10.375" style="1125" bestFit="1" customWidth="1"/>
    <col min="2849" max="2849" width="12.5" style="1125" bestFit="1" customWidth="1"/>
    <col min="2850" max="2850" width="12.125" style="1125" bestFit="1" customWidth="1"/>
    <col min="2851" max="2851" width="13.375" style="1125" bestFit="1" customWidth="1"/>
    <col min="2852" max="2852" width="10.75" style="1125" bestFit="1" customWidth="1"/>
    <col min="2853" max="2853" width="13" style="1125" bestFit="1" customWidth="1"/>
    <col min="2854" max="2854" width="11" style="1125" bestFit="1" customWidth="1"/>
    <col min="2855" max="2855" width="9" style="1125" bestFit="1" customWidth="1"/>
    <col min="2856" max="2856" width="11.875" style="1125" bestFit="1" customWidth="1"/>
    <col min="2857" max="3072" width="9" style="1125"/>
    <col min="3073" max="3074" width="1.5" style="1125" customWidth="1"/>
    <col min="3075" max="3075" width="41" style="1125" customWidth="1"/>
    <col min="3076" max="3076" width="10.375" style="1125" bestFit="1" customWidth="1"/>
    <col min="3077" max="3082" width="12.875" style="1125" customWidth="1"/>
    <col min="3083" max="3083" width="10" style="1125" customWidth="1"/>
    <col min="3084" max="3084" width="11.875" style="1125" customWidth="1"/>
    <col min="3085" max="3103" width="9" style="1125"/>
    <col min="3104" max="3104" width="10.375" style="1125" bestFit="1" customWidth="1"/>
    <col min="3105" max="3105" width="12.5" style="1125" bestFit="1" customWidth="1"/>
    <col min="3106" max="3106" width="12.125" style="1125" bestFit="1" customWidth="1"/>
    <col min="3107" max="3107" width="13.375" style="1125" bestFit="1" customWidth="1"/>
    <col min="3108" max="3108" width="10.75" style="1125" bestFit="1" customWidth="1"/>
    <col min="3109" max="3109" width="13" style="1125" bestFit="1" customWidth="1"/>
    <col min="3110" max="3110" width="11" style="1125" bestFit="1" customWidth="1"/>
    <col min="3111" max="3111" width="9" style="1125" bestFit="1" customWidth="1"/>
    <col min="3112" max="3112" width="11.875" style="1125" bestFit="1" customWidth="1"/>
    <col min="3113" max="3328" width="9" style="1125"/>
    <col min="3329" max="3330" width="1.5" style="1125" customWidth="1"/>
    <col min="3331" max="3331" width="41" style="1125" customWidth="1"/>
    <col min="3332" max="3332" width="10.375" style="1125" bestFit="1" customWidth="1"/>
    <col min="3333" max="3338" width="12.875" style="1125" customWidth="1"/>
    <col min="3339" max="3339" width="10" style="1125" customWidth="1"/>
    <col min="3340" max="3340" width="11.875" style="1125" customWidth="1"/>
    <col min="3341" max="3359" width="9" style="1125"/>
    <col min="3360" max="3360" width="10.375" style="1125" bestFit="1" customWidth="1"/>
    <col min="3361" max="3361" width="12.5" style="1125" bestFit="1" customWidth="1"/>
    <col min="3362" max="3362" width="12.125" style="1125" bestFit="1" customWidth="1"/>
    <col min="3363" max="3363" width="13.375" style="1125" bestFit="1" customWidth="1"/>
    <col min="3364" max="3364" width="10.75" style="1125" bestFit="1" customWidth="1"/>
    <col min="3365" max="3365" width="13" style="1125" bestFit="1" customWidth="1"/>
    <col min="3366" max="3366" width="11" style="1125" bestFit="1" customWidth="1"/>
    <col min="3367" max="3367" width="9" style="1125" bestFit="1" customWidth="1"/>
    <col min="3368" max="3368" width="11.875" style="1125" bestFit="1" customWidth="1"/>
    <col min="3369" max="3584" width="9" style="1125"/>
    <col min="3585" max="3586" width="1.5" style="1125" customWidth="1"/>
    <col min="3587" max="3587" width="41" style="1125" customWidth="1"/>
    <col min="3588" max="3588" width="10.375" style="1125" bestFit="1" customWidth="1"/>
    <col min="3589" max="3594" width="12.875" style="1125" customWidth="1"/>
    <col min="3595" max="3595" width="10" style="1125" customWidth="1"/>
    <col min="3596" max="3596" width="11.875" style="1125" customWidth="1"/>
    <col min="3597" max="3615" width="9" style="1125"/>
    <col min="3616" max="3616" width="10.375" style="1125" bestFit="1" customWidth="1"/>
    <col min="3617" max="3617" width="12.5" style="1125" bestFit="1" customWidth="1"/>
    <col min="3618" max="3618" width="12.125" style="1125" bestFit="1" customWidth="1"/>
    <col min="3619" max="3619" width="13.375" style="1125" bestFit="1" customWidth="1"/>
    <col min="3620" max="3620" width="10.75" style="1125" bestFit="1" customWidth="1"/>
    <col min="3621" max="3621" width="13" style="1125" bestFit="1" customWidth="1"/>
    <col min="3622" max="3622" width="11" style="1125" bestFit="1" customWidth="1"/>
    <col min="3623" max="3623" width="9" style="1125" bestFit="1" customWidth="1"/>
    <col min="3624" max="3624" width="11.875" style="1125" bestFit="1" customWidth="1"/>
    <col min="3625" max="3840" width="9" style="1125"/>
    <col min="3841" max="3842" width="1.5" style="1125" customWidth="1"/>
    <col min="3843" max="3843" width="41" style="1125" customWidth="1"/>
    <col min="3844" max="3844" width="10.375" style="1125" bestFit="1" customWidth="1"/>
    <col min="3845" max="3850" width="12.875" style="1125" customWidth="1"/>
    <col min="3851" max="3851" width="10" style="1125" customWidth="1"/>
    <col min="3852" max="3852" width="11.875" style="1125" customWidth="1"/>
    <col min="3853" max="3871" width="9" style="1125"/>
    <col min="3872" max="3872" width="10.375" style="1125" bestFit="1" customWidth="1"/>
    <col min="3873" max="3873" width="12.5" style="1125" bestFit="1" customWidth="1"/>
    <col min="3874" max="3874" width="12.125" style="1125" bestFit="1" customWidth="1"/>
    <col min="3875" max="3875" width="13.375" style="1125" bestFit="1" customWidth="1"/>
    <col min="3876" max="3876" width="10.75" style="1125" bestFit="1" customWidth="1"/>
    <col min="3877" max="3877" width="13" style="1125" bestFit="1" customWidth="1"/>
    <col min="3878" max="3878" width="11" style="1125" bestFit="1" customWidth="1"/>
    <col min="3879" max="3879" width="9" style="1125" bestFit="1" customWidth="1"/>
    <col min="3880" max="3880" width="11.875" style="1125" bestFit="1" customWidth="1"/>
    <col min="3881" max="4096" width="9" style="1125"/>
    <col min="4097" max="4098" width="1.5" style="1125" customWidth="1"/>
    <col min="4099" max="4099" width="41" style="1125" customWidth="1"/>
    <col min="4100" max="4100" width="10.375" style="1125" bestFit="1" customWidth="1"/>
    <col min="4101" max="4106" width="12.875" style="1125" customWidth="1"/>
    <col min="4107" max="4107" width="10" style="1125" customWidth="1"/>
    <col min="4108" max="4108" width="11.875" style="1125" customWidth="1"/>
    <col min="4109" max="4127" width="9" style="1125"/>
    <col min="4128" max="4128" width="10.375" style="1125" bestFit="1" customWidth="1"/>
    <col min="4129" max="4129" width="12.5" style="1125" bestFit="1" customWidth="1"/>
    <col min="4130" max="4130" width="12.125" style="1125" bestFit="1" customWidth="1"/>
    <col min="4131" max="4131" width="13.375" style="1125" bestFit="1" customWidth="1"/>
    <col min="4132" max="4132" width="10.75" style="1125" bestFit="1" customWidth="1"/>
    <col min="4133" max="4133" width="13" style="1125" bestFit="1" customWidth="1"/>
    <col min="4134" max="4134" width="11" style="1125" bestFit="1" customWidth="1"/>
    <col min="4135" max="4135" width="9" style="1125" bestFit="1" customWidth="1"/>
    <col min="4136" max="4136" width="11.875" style="1125" bestFit="1" customWidth="1"/>
    <col min="4137" max="4352" width="9" style="1125"/>
    <col min="4353" max="4354" width="1.5" style="1125" customWidth="1"/>
    <col min="4355" max="4355" width="41" style="1125" customWidth="1"/>
    <col min="4356" max="4356" width="10.375" style="1125" bestFit="1" customWidth="1"/>
    <col min="4357" max="4362" width="12.875" style="1125" customWidth="1"/>
    <col min="4363" max="4363" width="10" style="1125" customWidth="1"/>
    <col min="4364" max="4364" width="11.875" style="1125" customWidth="1"/>
    <col min="4365" max="4383" width="9" style="1125"/>
    <col min="4384" max="4384" width="10.375" style="1125" bestFit="1" customWidth="1"/>
    <col min="4385" max="4385" width="12.5" style="1125" bestFit="1" customWidth="1"/>
    <col min="4386" max="4386" width="12.125" style="1125" bestFit="1" customWidth="1"/>
    <col min="4387" max="4387" width="13.375" style="1125" bestFit="1" customWidth="1"/>
    <col min="4388" max="4388" width="10.75" style="1125" bestFit="1" customWidth="1"/>
    <col min="4389" max="4389" width="13" style="1125" bestFit="1" customWidth="1"/>
    <col min="4390" max="4390" width="11" style="1125" bestFit="1" customWidth="1"/>
    <col min="4391" max="4391" width="9" style="1125" bestFit="1" customWidth="1"/>
    <col min="4392" max="4392" width="11.875" style="1125" bestFit="1" customWidth="1"/>
    <col min="4393" max="4608" width="9" style="1125"/>
    <col min="4609" max="4610" width="1.5" style="1125" customWidth="1"/>
    <col min="4611" max="4611" width="41" style="1125" customWidth="1"/>
    <col min="4612" max="4612" width="10.375" style="1125" bestFit="1" customWidth="1"/>
    <col min="4613" max="4618" width="12.875" style="1125" customWidth="1"/>
    <col min="4619" max="4619" width="10" style="1125" customWidth="1"/>
    <col min="4620" max="4620" width="11.875" style="1125" customWidth="1"/>
    <col min="4621" max="4639" width="9" style="1125"/>
    <col min="4640" max="4640" width="10.375" style="1125" bestFit="1" customWidth="1"/>
    <col min="4641" max="4641" width="12.5" style="1125" bestFit="1" customWidth="1"/>
    <col min="4642" max="4642" width="12.125" style="1125" bestFit="1" customWidth="1"/>
    <col min="4643" max="4643" width="13.375" style="1125" bestFit="1" customWidth="1"/>
    <col min="4644" max="4644" width="10.75" style="1125" bestFit="1" customWidth="1"/>
    <col min="4645" max="4645" width="13" style="1125" bestFit="1" customWidth="1"/>
    <col min="4646" max="4646" width="11" style="1125" bestFit="1" customWidth="1"/>
    <col min="4647" max="4647" width="9" style="1125" bestFit="1" customWidth="1"/>
    <col min="4648" max="4648" width="11.875" style="1125" bestFit="1" customWidth="1"/>
    <col min="4649" max="4864" width="9" style="1125"/>
    <col min="4865" max="4866" width="1.5" style="1125" customWidth="1"/>
    <col min="4867" max="4867" width="41" style="1125" customWidth="1"/>
    <col min="4868" max="4868" width="10.375" style="1125" bestFit="1" customWidth="1"/>
    <col min="4869" max="4874" width="12.875" style="1125" customWidth="1"/>
    <col min="4875" max="4875" width="10" style="1125" customWidth="1"/>
    <col min="4876" max="4876" width="11.875" style="1125" customWidth="1"/>
    <col min="4877" max="4895" width="9" style="1125"/>
    <col min="4896" max="4896" width="10.375" style="1125" bestFit="1" customWidth="1"/>
    <col min="4897" max="4897" width="12.5" style="1125" bestFit="1" customWidth="1"/>
    <col min="4898" max="4898" width="12.125" style="1125" bestFit="1" customWidth="1"/>
    <col min="4899" max="4899" width="13.375" style="1125" bestFit="1" customWidth="1"/>
    <col min="4900" max="4900" width="10.75" style="1125" bestFit="1" customWidth="1"/>
    <col min="4901" max="4901" width="13" style="1125" bestFit="1" customWidth="1"/>
    <col min="4902" max="4902" width="11" style="1125" bestFit="1" customWidth="1"/>
    <col min="4903" max="4903" width="9" style="1125" bestFit="1" customWidth="1"/>
    <col min="4904" max="4904" width="11.875" style="1125" bestFit="1" customWidth="1"/>
    <col min="4905" max="5120" width="9" style="1125"/>
    <col min="5121" max="5122" width="1.5" style="1125" customWidth="1"/>
    <col min="5123" max="5123" width="41" style="1125" customWidth="1"/>
    <col min="5124" max="5124" width="10.375" style="1125" bestFit="1" customWidth="1"/>
    <col min="5125" max="5130" width="12.875" style="1125" customWidth="1"/>
    <col min="5131" max="5131" width="10" style="1125" customWidth="1"/>
    <col min="5132" max="5132" width="11.875" style="1125" customWidth="1"/>
    <col min="5133" max="5151" width="9" style="1125"/>
    <col min="5152" max="5152" width="10.375" style="1125" bestFit="1" customWidth="1"/>
    <col min="5153" max="5153" width="12.5" style="1125" bestFit="1" customWidth="1"/>
    <col min="5154" max="5154" width="12.125" style="1125" bestFit="1" customWidth="1"/>
    <col min="5155" max="5155" width="13.375" style="1125" bestFit="1" customWidth="1"/>
    <col min="5156" max="5156" width="10.75" style="1125" bestFit="1" customWidth="1"/>
    <col min="5157" max="5157" width="13" style="1125" bestFit="1" customWidth="1"/>
    <col min="5158" max="5158" width="11" style="1125" bestFit="1" customWidth="1"/>
    <col min="5159" max="5159" width="9" style="1125" bestFit="1" customWidth="1"/>
    <col min="5160" max="5160" width="11.875" style="1125" bestFit="1" customWidth="1"/>
    <col min="5161" max="5376" width="9" style="1125"/>
    <col min="5377" max="5378" width="1.5" style="1125" customWidth="1"/>
    <col min="5379" max="5379" width="41" style="1125" customWidth="1"/>
    <col min="5380" max="5380" width="10.375" style="1125" bestFit="1" customWidth="1"/>
    <col min="5381" max="5386" width="12.875" style="1125" customWidth="1"/>
    <col min="5387" max="5387" width="10" style="1125" customWidth="1"/>
    <col min="5388" max="5388" width="11.875" style="1125" customWidth="1"/>
    <col min="5389" max="5407" width="9" style="1125"/>
    <col min="5408" max="5408" width="10.375" style="1125" bestFit="1" customWidth="1"/>
    <col min="5409" max="5409" width="12.5" style="1125" bestFit="1" customWidth="1"/>
    <col min="5410" max="5410" width="12.125" style="1125" bestFit="1" customWidth="1"/>
    <col min="5411" max="5411" width="13.375" style="1125" bestFit="1" customWidth="1"/>
    <col min="5412" max="5412" width="10.75" style="1125" bestFit="1" customWidth="1"/>
    <col min="5413" max="5413" width="13" style="1125" bestFit="1" customWidth="1"/>
    <col min="5414" max="5414" width="11" style="1125" bestFit="1" customWidth="1"/>
    <col min="5415" max="5415" width="9" style="1125" bestFit="1" customWidth="1"/>
    <col min="5416" max="5416" width="11.875" style="1125" bestFit="1" customWidth="1"/>
    <col min="5417" max="5632" width="9" style="1125"/>
    <col min="5633" max="5634" width="1.5" style="1125" customWidth="1"/>
    <col min="5635" max="5635" width="41" style="1125" customWidth="1"/>
    <col min="5636" max="5636" width="10.375" style="1125" bestFit="1" customWidth="1"/>
    <col min="5637" max="5642" width="12.875" style="1125" customWidth="1"/>
    <col min="5643" max="5643" width="10" style="1125" customWidth="1"/>
    <col min="5644" max="5644" width="11.875" style="1125" customWidth="1"/>
    <col min="5645" max="5663" width="9" style="1125"/>
    <col min="5664" max="5664" width="10.375" style="1125" bestFit="1" customWidth="1"/>
    <col min="5665" max="5665" width="12.5" style="1125" bestFit="1" customWidth="1"/>
    <col min="5666" max="5666" width="12.125" style="1125" bestFit="1" customWidth="1"/>
    <col min="5667" max="5667" width="13.375" style="1125" bestFit="1" customWidth="1"/>
    <col min="5668" max="5668" width="10.75" style="1125" bestFit="1" customWidth="1"/>
    <col min="5669" max="5669" width="13" style="1125" bestFit="1" customWidth="1"/>
    <col min="5670" max="5670" width="11" style="1125" bestFit="1" customWidth="1"/>
    <col min="5671" max="5671" width="9" style="1125" bestFit="1" customWidth="1"/>
    <col min="5672" max="5672" width="11.875" style="1125" bestFit="1" customWidth="1"/>
    <col min="5673" max="5888" width="9" style="1125"/>
    <col min="5889" max="5890" width="1.5" style="1125" customWidth="1"/>
    <col min="5891" max="5891" width="41" style="1125" customWidth="1"/>
    <col min="5892" max="5892" width="10.375" style="1125" bestFit="1" customWidth="1"/>
    <col min="5893" max="5898" width="12.875" style="1125" customWidth="1"/>
    <col min="5899" max="5899" width="10" style="1125" customWidth="1"/>
    <col min="5900" max="5900" width="11.875" style="1125" customWidth="1"/>
    <col min="5901" max="5919" width="9" style="1125"/>
    <col min="5920" max="5920" width="10.375" style="1125" bestFit="1" customWidth="1"/>
    <col min="5921" max="5921" width="12.5" style="1125" bestFit="1" customWidth="1"/>
    <col min="5922" max="5922" width="12.125" style="1125" bestFit="1" customWidth="1"/>
    <col min="5923" max="5923" width="13.375" style="1125" bestFit="1" customWidth="1"/>
    <col min="5924" max="5924" width="10.75" style="1125" bestFit="1" customWidth="1"/>
    <col min="5925" max="5925" width="13" style="1125" bestFit="1" customWidth="1"/>
    <col min="5926" max="5926" width="11" style="1125" bestFit="1" customWidth="1"/>
    <col min="5927" max="5927" width="9" style="1125" bestFit="1" customWidth="1"/>
    <col min="5928" max="5928" width="11.875" style="1125" bestFit="1" customWidth="1"/>
    <col min="5929" max="6144" width="9" style="1125"/>
    <col min="6145" max="6146" width="1.5" style="1125" customWidth="1"/>
    <col min="6147" max="6147" width="41" style="1125" customWidth="1"/>
    <col min="6148" max="6148" width="10.375" style="1125" bestFit="1" customWidth="1"/>
    <col min="6149" max="6154" width="12.875" style="1125" customWidth="1"/>
    <col min="6155" max="6155" width="10" style="1125" customWidth="1"/>
    <col min="6156" max="6156" width="11.875" style="1125" customWidth="1"/>
    <col min="6157" max="6175" width="9" style="1125"/>
    <col min="6176" max="6176" width="10.375" style="1125" bestFit="1" customWidth="1"/>
    <col min="6177" max="6177" width="12.5" style="1125" bestFit="1" customWidth="1"/>
    <col min="6178" max="6178" width="12.125" style="1125" bestFit="1" customWidth="1"/>
    <col min="6179" max="6179" width="13.375" style="1125" bestFit="1" customWidth="1"/>
    <col min="6180" max="6180" width="10.75" style="1125" bestFit="1" customWidth="1"/>
    <col min="6181" max="6181" width="13" style="1125" bestFit="1" customWidth="1"/>
    <col min="6182" max="6182" width="11" style="1125" bestFit="1" customWidth="1"/>
    <col min="6183" max="6183" width="9" style="1125" bestFit="1" customWidth="1"/>
    <col min="6184" max="6184" width="11.875" style="1125" bestFit="1" customWidth="1"/>
    <col min="6185" max="6400" width="9" style="1125"/>
    <col min="6401" max="6402" width="1.5" style="1125" customWidth="1"/>
    <col min="6403" max="6403" width="41" style="1125" customWidth="1"/>
    <col min="6404" max="6404" width="10.375" style="1125" bestFit="1" customWidth="1"/>
    <col min="6405" max="6410" width="12.875" style="1125" customWidth="1"/>
    <col min="6411" max="6411" width="10" style="1125" customWidth="1"/>
    <col min="6412" max="6412" width="11.875" style="1125" customWidth="1"/>
    <col min="6413" max="6431" width="9" style="1125"/>
    <col min="6432" max="6432" width="10.375" style="1125" bestFit="1" customWidth="1"/>
    <col min="6433" max="6433" width="12.5" style="1125" bestFit="1" customWidth="1"/>
    <col min="6434" max="6434" width="12.125" style="1125" bestFit="1" customWidth="1"/>
    <col min="6435" max="6435" width="13.375" style="1125" bestFit="1" customWidth="1"/>
    <col min="6436" max="6436" width="10.75" style="1125" bestFit="1" customWidth="1"/>
    <col min="6437" max="6437" width="13" style="1125" bestFit="1" customWidth="1"/>
    <col min="6438" max="6438" width="11" style="1125" bestFit="1" customWidth="1"/>
    <col min="6439" max="6439" width="9" style="1125" bestFit="1" customWidth="1"/>
    <col min="6440" max="6440" width="11.875" style="1125" bestFit="1" customWidth="1"/>
    <col min="6441" max="6656" width="9" style="1125"/>
    <col min="6657" max="6658" width="1.5" style="1125" customWidth="1"/>
    <col min="6659" max="6659" width="41" style="1125" customWidth="1"/>
    <col min="6660" max="6660" width="10.375" style="1125" bestFit="1" customWidth="1"/>
    <col min="6661" max="6666" width="12.875" style="1125" customWidth="1"/>
    <col min="6667" max="6667" width="10" style="1125" customWidth="1"/>
    <col min="6668" max="6668" width="11.875" style="1125" customWidth="1"/>
    <col min="6669" max="6687" width="9" style="1125"/>
    <col min="6688" max="6688" width="10.375" style="1125" bestFit="1" customWidth="1"/>
    <col min="6689" max="6689" width="12.5" style="1125" bestFit="1" customWidth="1"/>
    <col min="6690" max="6690" width="12.125" style="1125" bestFit="1" customWidth="1"/>
    <col min="6691" max="6691" width="13.375" style="1125" bestFit="1" customWidth="1"/>
    <col min="6692" max="6692" width="10.75" style="1125" bestFit="1" customWidth="1"/>
    <col min="6693" max="6693" width="13" style="1125" bestFit="1" customWidth="1"/>
    <col min="6694" max="6694" width="11" style="1125" bestFit="1" customWidth="1"/>
    <col min="6695" max="6695" width="9" style="1125" bestFit="1" customWidth="1"/>
    <col min="6696" max="6696" width="11.875" style="1125" bestFit="1" customWidth="1"/>
    <col min="6697" max="6912" width="9" style="1125"/>
    <col min="6913" max="6914" width="1.5" style="1125" customWidth="1"/>
    <col min="6915" max="6915" width="41" style="1125" customWidth="1"/>
    <col min="6916" max="6916" width="10.375" style="1125" bestFit="1" customWidth="1"/>
    <col min="6917" max="6922" width="12.875" style="1125" customWidth="1"/>
    <col min="6923" max="6923" width="10" style="1125" customWidth="1"/>
    <col min="6924" max="6924" width="11.875" style="1125" customWidth="1"/>
    <col min="6925" max="6943" width="9" style="1125"/>
    <col min="6944" max="6944" width="10.375" style="1125" bestFit="1" customWidth="1"/>
    <col min="6945" max="6945" width="12.5" style="1125" bestFit="1" customWidth="1"/>
    <col min="6946" max="6946" width="12.125" style="1125" bestFit="1" customWidth="1"/>
    <col min="6947" max="6947" width="13.375" style="1125" bestFit="1" customWidth="1"/>
    <col min="6948" max="6948" width="10.75" style="1125" bestFit="1" customWidth="1"/>
    <col min="6949" max="6949" width="13" style="1125" bestFit="1" customWidth="1"/>
    <col min="6950" max="6950" width="11" style="1125" bestFit="1" customWidth="1"/>
    <col min="6951" max="6951" width="9" style="1125" bestFit="1" customWidth="1"/>
    <col min="6952" max="6952" width="11.875" style="1125" bestFit="1" customWidth="1"/>
    <col min="6953" max="7168" width="9" style="1125"/>
    <col min="7169" max="7170" width="1.5" style="1125" customWidth="1"/>
    <col min="7171" max="7171" width="41" style="1125" customWidth="1"/>
    <col min="7172" max="7172" width="10.375" style="1125" bestFit="1" customWidth="1"/>
    <col min="7173" max="7178" width="12.875" style="1125" customWidth="1"/>
    <col min="7179" max="7179" width="10" style="1125" customWidth="1"/>
    <col min="7180" max="7180" width="11.875" style="1125" customWidth="1"/>
    <col min="7181" max="7199" width="9" style="1125"/>
    <col min="7200" max="7200" width="10.375" style="1125" bestFit="1" customWidth="1"/>
    <col min="7201" max="7201" width="12.5" style="1125" bestFit="1" customWidth="1"/>
    <col min="7202" max="7202" width="12.125" style="1125" bestFit="1" customWidth="1"/>
    <col min="7203" max="7203" width="13.375" style="1125" bestFit="1" customWidth="1"/>
    <col min="7204" max="7204" width="10.75" style="1125" bestFit="1" customWidth="1"/>
    <col min="7205" max="7205" width="13" style="1125" bestFit="1" customWidth="1"/>
    <col min="7206" max="7206" width="11" style="1125" bestFit="1" customWidth="1"/>
    <col min="7207" max="7207" width="9" style="1125" bestFit="1" customWidth="1"/>
    <col min="7208" max="7208" width="11.875" style="1125" bestFit="1" customWidth="1"/>
    <col min="7209" max="7424" width="9" style="1125"/>
    <col min="7425" max="7426" width="1.5" style="1125" customWidth="1"/>
    <col min="7427" max="7427" width="41" style="1125" customWidth="1"/>
    <col min="7428" max="7428" width="10.375" style="1125" bestFit="1" customWidth="1"/>
    <col min="7429" max="7434" width="12.875" style="1125" customWidth="1"/>
    <col min="7435" max="7435" width="10" style="1125" customWidth="1"/>
    <col min="7436" max="7436" width="11.875" style="1125" customWidth="1"/>
    <col min="7437" max="7455" width="9" style="1125"/>
    <col min="7456" max="7456" width="10.375" style="1125" bestFit="1" customWidth="1"/>
    <col min="7457" max="7457" width="12.5" style="1125" bestFit="1" customWidth="1"/>
    <col min="7458" max="7458" width="12.125" style="1125" bestFit="1" customWidth="1"/>
    <col min="7459" max="7459" width="13.375" style="1125" bestFit="1" customWidth="1"/>
    <col min="7460" max="7460" width="10.75" style="1125" bestFit="1" customWidth="1"/>
    <col min="7461" max="7461" width="13" style="1125" bestFit="1" customWidth="1"/>
    <col min="7462" max="7462" width="11" style="1125" bestFit="1" customWidth="1"/>
    <col min="7463" max="7463" width="9" style="1125" bestFit="1" customWidth="1"/>
    <col min="7464" max="7464" width="11.875" style="1125" bestFit="1" customWidth="1"/>
    <col min="7465" max="7680" width="9" style="1125"/>
    <col min="7681" max="7682" width="1.5" style="1125" customWidth="1"/>
    <col min="7683" max="7683" width="41" style="1125" customWidth="1"/>
    <col min="7684" max="7684" width="10.375" style="1125" bestFit="1" customWidth="1"/>
    <col min="7685" max="7690" width="12.875" style="1125" customWidth="1"/>
    <col min="7691" max="7691" width="10" style="1125" customWidth="1"/>
    <col min="7692" max="7692" width="11.875" style="1125" customWidth="1"/>
    <col min="7693" max="7711" width="9" style="1125"/>
    <col min="7712" max="7712" width="10.375" style="1125" bestFit="1" customWidth="1"/>
    <col min="7713" max="7713" width="12.5" style="1125" bestFit="1" customWidth="1"/>
    <col min="7714" max="7714" width="12.125" style="1125" bestFit="1" customWidth="1"/>
    <col min="7715" max="7715" width="13.375" style="1125" bestFit="1" customWidth="1"/>
    <col min="7716" max="7716" width="10.75" style="1125" bestFit="1" customWidth="1"/>
    <col min="7717" max="7717" width="13" style="1125" bestFit="1" customWidth="1"/>
    <col min="7718" max="7718" width="11" style="1125" bestFit="1" customWidth="1"/>
    <col min="7719" max="7719" width="9" style="1125" bestFit="1" customWidth="1"/>
    <col min="7720" max="7720" width="11.875" style="1125" bestFit="1" customWidth="1"/>
    <col min="7721" max="7936" width="9" style="1125"/>
    <col min="7937" max="7938" width="1.5" style="1125" customWidth="1"/>
    <col min="7939" max="7939" width="41" style="1125" customWidth="1"/>
    <col min="7940" max="7940" width="10.375" style="1125" bestFit="1" customWidth="1"/>
    <col min="7941" max="7946" width="12.875" style="1125" customWidth="1"/>
    <col min="7947" max="7947" width="10" style="1125" customWidth="1"/>
    <col min="7948" max="7948" width="11.875" style="1125" customWidth="1"/>
    <col min="7949" max="7967" width="9" style="1125"/>
    <col min="7968" max="7968" width="10.375" style="1125" bestFit="1" customWidth="1"/>
    <col min="7969" max="7969" width="12.5" style="1125" bestFit="1" customWidth="1"/>
    <col min="7970" max="7970" width="12.125" style="1125" bestFit="1" customWidth="1"/>
    <col min="7971" max="7971" width="13.375" style="1125" bestFit="1" customWidth="1"/>
    <col min="7972" max="7972" width="10.75" style="1125" bestFit="1" customWidth="1"/>
    <col min="7973" max="7973" width="13" style="1125" bestFit="1" customWidth="1"/>
    <col min="7974" max="7974" width="11" style="1125" bestFit="1" customWidth="1"/>
    <col min="7975" max="7975" width="9" style="1125" bestFit="1" customWidth="1"/>
    <col min="7976" max="7976" width="11.875" style="1125" bestFit="1" customWidth="1"/>
    <col min="7977" max="8192" width="9" style="1125"/>
    <col min="8193" max="8194" width="1.5" style="1125" customWidth="1"/>
    <col min="8195" max="8195" width="41" style="1125" customWidth="1"/>
    <col min="8196" max="8196" width="10.375" style="1125" bestFit="1" customWidth="1"/>
    <col min="8197" max="8202" width="12.875" style="1125" customWidth="1"/>
    <col min="8203" max="8203" width="10" style="1125" customWidth="1"/>
    <col min="8204" max="8204" width="11.875" style="1125" customWidth="1"/>
    <col min="8205" max="8223" width="9" style="1125"/>
    <col min="8224" max="8224" width="10.375" style="1125" bestFit="1" customWidth="1"/>
    <col min="8225" max="8225" width="12.5" style="1125" bestFit="1" customWidth="1"/>
    <col min="8226" max="8226" width="12.125" style="1125" bestFit="1" customWidth="1"/>
    <col min="8227" max="8227" width="13.375" style="1125" bestFit="1" customWidth="1"/>
    <col min="8228" max="8228" width="10.75" style="1125" bestFit="1" customWidth="1"/>
    <col min="8229" max="8229" width="13" style="1125" bestFit="1" customWidth="1"/>
    <col min="8230" max="8230" width="11" style="1125" bestFit="1" customWidth="1"/>
    <col min="8231" max="8231" width="9" style="1125" bestFit="1" customWidth="1"/>
    <col min="8232" max="8232" width="11.875" style="1125" bestFit="1" customWidth="1"/>
    <col min="8233" max="8448" width="9" style="1125"/>
    <col min="8449" max="8450" width="1.5" style="1125" customWidth="1"/>
    <col min="8451" max="8451" width="41" style="1125" customWidth="1"/>
    <col min="8452" max="8452" width="10.375" style="1125" bestFit="1" customWidth="1"/>
    <col min="8453" max="8458" width="12.875" style="1125" customWidth="1"/>
    <col min="8459" max="8459" width="10" style="1125" customWidth="1"/>
    <col min="8460" max="8460" width="11.875" style="1125" customWidth="1"/>
    <col min="8461" max="8479" width="9" style="1125"/>
    <col min="8480" max="8480" width="10.375" style="1125" bestFit="1" customWidth="1"/>
    <col min="8481" max="8481" width="12.5" style="1125" bestFit="1" customWidth="1"/>
    <col min="8482" max="8482" width="12.125" style="1125" bestFit="1" customWidth="1"/>
    <col min="8483" max="8483" width="13.375" style="1125" bestFit="1" customWidth="1"/>
    <col min="8484" max="8484" width="10.75" style="1125" bestFit="1" customWidth="1"/>
    <col min="8485" max="8485" width="13" style="1125" bestFit="1" customWidth="1"/>
    <col min="8486" max="8486" width="11" style="1125" bestFit="1" customWidth="1"/>
    <col min="8487" max="8487" width="9" style="1125" bestFit="1" customWidth="1"/>
    <col min="8488" max="8488" width="11.875" style="1125" bestFit="1" customWidth="1"/>
    <col min="8489" max="8704" width="9" style="1125"/>
    <col min="8705" max="8706" width="1.5" style="1125" customWidth="1"/>
    <col min="8707" max="8707" width="41" style="1125" customWidth="1"/>
    <col min="8708" max="8708" width="10.375" style="1125" bestFit="1" customWidth="1"/>
    <col min="8709" max="8714" width="12.875" style="1125" customWidth="1"/>
    <col min="8715" max="8715" width="10" style="1125" customWidth="1"/>
    <col min="8716" max="8716" width="11.875" style="1125" customWidth="1"/>
    <col min="8717" max="8735" width="9" style="1125"/>
    <col min="8736" max="8736" width="10.375" style="1125" bestFit="1" customWidth="1"/>
    <col min="8737" max="8737" width="12.5" style="1125" bestFit="1" customWidth="1"/>
    <col min="8738" max="8738" width="12.125" style="1125" bestFit="1" customWidth="1"/>
    <col min="8739" max="8739" width="13.375" style="1125" bestFit="1" customWidth="1"/>
    <col min="8740" max="8740" width="10.75" style="1125" bestFit="1" customWidth="1"/>
    <col min="8741" max="8741" width="13" style="1125" bestFit="1" customWidth="1"/>
    <col min="8742" max="8742" width="11" style="1125" bestFit="1" customWidth="1"/>
    <col min="8743" max="8743" width="9" style="1125" bestFit="1" customWidth="1"/>
    <col min="8744" max="8744" width="11.875" style="1125" bestFit="1" customWidth="1"/>
    <col min="8745" max="8960" width="9" style="1125"/>
    <col min="8961" max="8962" width="1.5" style="1125" customWidth="1"/>
    <col min="8963" max="8963" width="41" style="1125" customWidth="1"/>
    <col min="8964" max="8964" width="10.375" style="1125" bestFit="1" customWidth="1"/>
    <col min="8965" max="8970" width="12.875" style="1125" customWidth="1"/>
    <col min="8971" max="8971" width="10" style="1125" customWidth="1"/>
    <col min="8972" max="8972" width="11.875" style="1125" customWidth="1"/>
    <col min="8973" max="8991" width="9" style="1125"/>
    <col min="8992" max="8992" width="10.375" style="1125" bestFit="1" customWidth="1"/>
    <col min="8993" max="8993" width="12.5" style="1125" bestFit="1" customWidth="1"/>
    <col min="8994" max="8994" width="12.125" style="1125" bestFit="1" customWidth="1"/>
    <col min="8995" max="8995" width="13.375" style="1125" bestFit="1" customWidth="1"/>
    <col min="8996" max="8996" width="10.75" style="1125" bestFit="1" customWidth="1"/>
    <col min="8997" max="8997" width="13" style="1125" bestFit="1" customWidth="1"/>
    <col min="8998" max="8998" width="11" style="1125" bestFit="1" customWidth="1"/>
    <col min="8999" max="8999" width="9" style="1125" bestFit="1" customWidth="1"/>
    <col min="9000" max="9000" width="11.875" style="1125" bestFit="1" customWidth="1"/>
    <col min="9001" max="9216" width="9" style="1125"/>
    <col min="9217" max="9218" width="1.5" style="1125" customWidth="1"/>
    <col min="9219" max="9219" width="41" style="1125" customWidth="1"/>
    <col min="9220" max="9220" width="10.375" style="1125" bestFit="1" customWidth="1"/>
    <col min="9221" max="9226" width="12.875" style="1125" customWidth="1"/>
    <col min="9227" max="9227" width="10" style="1125" customWidth="1"/>
    <col min="9228" max="9228" width="11.875" style="1125" customWidth="1"/>
    <col min="9229" max="9247" width="9" style="1125"/>
    <col min="9248" max="9248" width="10.375" style="1125" bestFit="1" customWidth="1"/>
    <col min="9249" max="9249" width="12.5" style="1125" bestFit="1" customWidth="1"/>
    <col min="9250" max="9250" width="12.125" style="1125" bestFit="1" customWidth="1"/>
    <col min="9251" max="9251" width="13.375" style="1125" bestFit="1" customWidth="1"/>
    <col min="9252" max="9252" width="10.75" style="1125" bestFit="1" customWidth="1"/>
    <col min="9253" max="9253" width="13" style="1125" bestFit="1" customWidth="1"/>
    <col min="9254" max="9254" width="11" style="1125" bestFit="1" customWidth="1"/>
    <col min="9255" max="9255" width="9" style="1125" bestFit="1" customWidth="1"/>
    <col min="9256" max="9256" width="11.875" style="1125" bestFit="1" customWidth="1"/>
    <col min="9257" max="9472" width="9" style="1125"/>
    <col min="9473" max="9474" width="1.5" style="1125" customWidth="1"/>
    <col min="9475" max="9475" width="41" style="1125" customWidth="1"/>
    <col min="9476" max="9476" width="10.375" style="1125" bestFit="1" customWidth="1"/>
    <col min="9477" max="9482" width="12.875" style="1125" customWidth="1"/>
    <col min="9483" max="9483" width="10" style="1125" customWidth="1"/>
    <col min="9484" max="9484" width="11.875" style="1125" customWidth="1"/>
    <col min="9485" max="9503" width="9" style="1125"/>
    <col min="9504" max="9504" width="10.375" style="1125" bestFit="1" customWidth="1"/>
    <col min="9505" max="9505" width="12.5" style="1125" bestFit="1" customWidth="1"/>
    <col min="9506" max="9506" width="12.125" style="1125" bestFit="1" customWidth="1"/>
    <col min="9507" max="9507" width="13.375" style="1125" bestFit="1" customWidth="1"/>
    <col min="9508" max="9508" width="10.75" style="1125" bestFit="1" customWidth="1"/>
    <col min="9509" max="9509" width="13" style="1125" bestFit="1" customWidth="1"/>
    <col min="9510" max="9510" width="11" style="1125" bestFit="1" customWidth="1"/>
    <col min="9511" max="9511" width="9" style="1125" bestFit="1" customWidth="1"/>
    <col min="9512" max="9512" width="11.875" style="1125" bestFit="1" customWidth="1"/>
    <col min="9513" max="9728" width="9" style="1125"/>
    <col min="9729" max="9730" width="1.5" style="1125" customWidth="1"/>
    <col min="9731" max="9731" width="41" style="1125" customWidth="1"/>
    <col min="9732" max="9732" width="10.375" style="1125" bestFit="1" customWidth="1"/>
    <col min="9733" max="9738" width="12.875" style="1125" customWidth="1"/>
    <col min="9739" max="9739" width="10" style="1125" customWidth="1"/>
    <col min="9740" max="9740" width="11.875" style="1125" customWidth="1"/>
    <col min="9741" max="9759" width="9" style="1125"/>
    <col min="9760" max="9760" width="10.375" style="1125" bestFit="1" customWidth="1"/>
    <col min="9761" max="9761" width="12.5" style="1125" bestFit="1" customWidth="1"/>
    <col min="9762" max="9762" width="12.125" style="1125" bestFit="1" customWidth="1"/>
    <col min="9763" max="9763" width="13.375" style="1125" bestFit="1" customWidth="1"/>
    <col min="9764" max="9764" width="10.75" style="1125" bestFit="1" customWidth="1"/>
    <col min="9765" max="9765" width="13" style="1125" bestFit="1" customWidth="1"/>
    <col min="9766" max="9766" width="11" style="1125" bestFit="1" customWidth="1"/>
    <col min="9767" max="9767" width="9" style="1125" bestFit="1" customWidth="1"/>
    <col min="9768" max="9768" width="11.875" style="1125" bestFit="1" customWidth="1"/>
    <col min="9769" max="9984" width="9" style="1125"/>
    <col min="9985" max="9986" width="1.5" style="1125" customWidth="1"/>
    <col min="9987" max="9987" width="41" style="1125" customWidth="1"/>
    <col min="9988" max="9988" width="10.375" style="1125" bestFit="1" customWidth="1"/>
    <col min="9989" max="9994" width="12.875" style="1125" customWidth="1"/>
    <col min="9995" max="9995" width="10" style="1125" customWidth="1"/>
    <col min="9996" max="9996" width="11.875" style="1125" customWidth="1"/>
    <col min="9997" max="10015" width="9" style="1125"/>
    <col min="10016" max="10016" width="10.375" style="1125" bestFit="1" customWidth="1"/>
    <col min="10017" max="10017" width="12.5" style="1125" bestFit="1" customWidth="1"/>
    <col min="10018" max="10018" width="12.125" style="1125" bestFit="1" customWidth="1"/>
    <col min="10019" max="10019" width="13.375" style="1125" bestFit="1" customWidth="1"/>
    <col min="10020" max="10020" width="10.75" style="1125" bestFit="1" customWidth="1"/>
    <col min="10021" max="10021" width="13" style="1125" bestFit="1" customWidth="1"/>
    <col min="10022" max="10022" width="11" style="1125" bestFit="1" customWidth="1"/>
    <col min="10023" max="10023" width="9" style="1125" bestFit="1" customWidth="1"/>
    <col min="10024" max="10024" width="11.875" style="1125" bestFit="1" customWidth="1"/>
    <col min="10025" max="10240" width="9" style="1125"/>
    <col min="10241" max="10242" width="1.5" style="1125" customWidth="1"/>
    <col min="10243" max="10243" width="41" style="1125" customWidth="1"/>
    <col min="10244" max="10244" width="10.375" style="1125" bestFit="1" customWidth="1"/>
    <col min="10245" max="10250" width="12.875" style="1125" customWidth="1"/>
    <col min="10251" max="10251" width="10" style="1125" customWidth="1"/>
    <col min="10252" max="10252" width="11.875" style="1125" customWidth="1"/>
    <col min="10253" max="10271" width="9" style="1125"/>
    <col min="10272" max="10272" width="10.375" style="1125" bestFit="1" customWidth="1"/>
    <col min="10273" max="10273" width="12.5" style="1125" bestFit="1" customWidth="1"/>
    <col min="10274" max="10274" width="12.125" style="1125" bestFit="1" customWidth="1"/>
    <col min="10275" max="10275" width="13.375" style="1125" bestFit="1" customWidth="1"/>
    <col min="10276" max="10276" width="10.75" style="1125" bestFit="1" customWidth="1"/>
    <col min="10277" max="10277" width="13" style="1125" bestFit="1" customWidth="1"/>
    <col min="10278" max="10278" width="11" style="1125" bestFit="1" customWidth="1"/>
    <col min="10279" max="10279" width="9" style="1125" bestFit="1" customWidth="1"/>
    <col min="10280" max="10280" width="11.875" style="1125" bestFit="1" customWidth="1"/>
    <col min="10281" max="10496" width="9" style="1125"/>
    <col min="10497" max="10498" width="1.5" style="1125" customWidth="1"/>
    <col min="10499" max="10499" width="41" style="1125" customWidth="1"/>
    <col min="10500" max="10500" width="10.375" style="1125" bestFit="1" customWidth="1"/>
    <col min="10501" max="10506" width="12.875" style="1125" customWidth="1"/>
    <col min="10507" max="10507" width="10" style="1125" customWidth="1"/>
    <col min="10508" max="10508" width="11.875" style="1125" customWidth="1"/>
    <col min="10509" max="10527" width="9" style="1125"/>
    <col min="10528" max="10528" width="10.375" style="1125" bestFit="1" customWidth="1"/>
    <col min="10529" max="10529" width="12.5" style="1125" bestFit="1" customWidth="1"/>
    <col min="10530" max="10530" width="12.125" style="1125" bestFit="1" customWidth="1"/>
    <col min="10531" max="10531" width="13.375" style="1125" bestFit="1" customWidth="1"/>
    <col min="10532" max="10532" width="10.75" style="1125" bestFit="1" customWidth="1"/>
    <col min="10533" max="10533" width="13" style="1125" bestFit="1" customWidth="1"/>
    <col min="10534" max="10534" width="11" style="1125" bestFit="1" customWidth="1"/>
    <col min="10535" max="10535" width="9" style="1125" bestFit="1" customWidth="1"/>
    <col min="10536" max="10536" width="11.875" style="1125" bestFit="1" customWidth="1"/>
    <col min="10537" max="10752" width="9" style="1125"/>
    <col min="10753" max="10754" width="1.5" style="1125" customWidth="1"/>
    <col min="10755" max="10755" width="41" style="1125" customWidth="1"/>
    <col min="10756" max="10756" width="10.375" style="1125" bestFit="1" customWidth="1"/>
    <col min="10757" max="10762" width="12.875" style="1125" customWidth="1"/>
    <col min="10763" max="10763" width="10" style="1125" customWidth="1"/>
    <col min="10764" max="10764" width="11.875" style="1125" customWidth="1"/>
    <col min="10765" max="10783" width="9" style="1125"/>
    <col min="10784" max="10784" width="10.375" style="1125" bestFit="1" customWidth="1"/>
    <col min="10785" max="10785" width="12.5" style="1125" bestFit="1" customWidth="1"/>
    <col min="10786" max="10786" width="12.125" style="1125" bestFit="1" customWidth="1"/>
    <col min="10787" max="10787" width="13.375" style="1125" bestFit="1" customWidth="1"/>
    <col min="10788" max="10788" width="10.75" style="1125" bestFit="1" customWidth="1"/>
    <col min="10789" max="10789" width="13" style="1125" bestFit="1" customWidth="1"/>
    <col min="10790" max="10790" width="11" style="1125" bestFit="1" customWidth="1"/>
    <col min="10791" max="10791" width="9" style="1125" bestFit="1" customWidth="1"/>
    <col min="10792" max="10792" width="11.875" style="1125" bestFit="1" customWidth="1"/>
    <col min="10793" max="11008" width="9" style="1125"/>
    <col min="11009" max="11010" width="1.5" style="1125" customWidth="1"/>
    <col min="11011" max="11011" width="41" style="1125" customWidth="1"/>
    <col min="11012" max="11012" width="10.375" style="1125" bestFit="1" customWidth="1"/>
    <col min="11013" max="11018" width="12.875" style="1125" customWidth="1"/>
    <col min="11019" max="11019" width="10" style="1125" customWidth="1"/>
    <col min="11020" max="11020" width="11.875" style="1125" customWidth="1"/>
    <col min="11021" max="11039" width="9" style="1125"/>
    <col min="11040" max="11040" width="10.375" style="1125" bestFit="1" customWidth="1"/>
    <col min="11041" max="11041" width="12.5" style="1125" bestFit="1" customWidth="1"/>
    <col min="11042" max="11042" width="12.125" style="1125" bestFit="1" customWidth="1"/>
    <col min="11043" max="11043" width="13.375" style="1125" bestFit="1" customWidth="1"/>
    <col min="11044" max="11044" width="10.75" style="1125" bestFit="1" customWidth="1"/>
    <col min="11045" max="11045" width="13" style="1125" bestFit="1" customWidth="1"/>
    <col min="11046" max="11046" width="11" style="1125" bestFit="1" customWidth="1"/>
    <col min="11047" max="11047" width="9" style="1125" bestFit="1" customWidth="1"/>
    <col min="11048" max="11048" width="11.875" style="1125" bestFit="1" customWidth="1"/>
    <col min="11049" max="11264" width="9" style="1125"/>
    <col min="11265" max="11266" width="1.5" style="1125" customWidth="1"/>
    <col min="11267" max="11267" width="41" style="1125" customWidth="1"/>
    <col min="11268" max="11268" width="10.375" style="1125" bestFit="1" customWidth="1"/>
    <col min="11269" max="11274" width="12.875" style="1125" customWidth="1"/>
    <col min="11275" max="11275" width="10" style="1125" customWidth="1"/>
    <col min="11276" max="11276" width="11.875" style="1125" customWidth="1"/>
    <col min="11277" max="11295" width="9" style="1125"/>
    <col min="11296" max="11296" width="10.375" style="1125" bestFit="1" customWidth="1"/>
    <col min="11297" max="11297" width="12.5" style="1125" bestFit="1" customWidth="1"/>
    <col min="11298" max="11298" width="12.125" style="1125" bestFit="1" customWidth="1"/>
    <col min="11299" max="11299" width="13.375" style="1125" bestFit="1" customWidth="1"/>
    <col min="11300" max="11300" width="10.75" style="1125" bestFit="1" customWidth="1"/>
    <col min="11301" max="11301" width="13" style="1125" bestFit="1" customWidth="1"/>
    <col min="11302" max="11302" width="11" style="1125" bestFit="1" customWidth="1"/>
    <col min="11303" max="11303" width="9" style="1125" bestFit="1" customWidth="1"/>
    <col min="11304" max="11304" width="11.875" style="1125" bestFit="1" customWidth="1"/>
    <col min="11305" max="11520" width="9" style="1125"/>
    <col min="11521" max="11522" width="1.5" style="1125" customWidth="1"/>
    <col min="11523" max="11523" width="41" style="1125" customWidth="1"/>
    <col min="11524" max="11524" width="10.375" style="1125" bestFit="1" customWidth="1"/>
    <col min="11525" max="11530" width="12.875" style="1125" customWidth="1"/>
    <col min="11531" max="11531" width="10" style="1125" customWidth="1"/>
    <col min="11532" max="11532" width="11.875" style="1125" customWidth="1"/>
    <col min="11533" max="11551" width="9" style="1125"/>
    <col min="11552" max="11552" width="10.375" style="1125" bestFit="1" customWidth="1"/>
    <col min="11553" max="11553" width="12.5" style="1125" bestFit="1" customWidth="1"/>
    <col min="11554" max="11554" width="12.125" style="1125" bestFit="1" customWidth="1"/>
    <col min="11555" max="11555" width="13.375" style="1125" bestFit="1" customWidth="1"/>
    <col min="11556" max="11556" width="10.75" style="1125" bestFit="1" customWidth="1"/>
    <col min="11557" max="11557" width="13" style="1125" bestFit="1" customWidth="1"/>
    <col min="11558" max="11558" width="11" style="1125" bestFit="1" customWidth="1"/>
    <col min="11559" max="11559" width="9" style="1125" bestFit="1" customWidth="1"/>
    <col min="11560" max="11560" width="11.875" style="1125" bestFit="1" customWidth="1"/>
    <col min="11561" max="11776" width="9" style="1125"/>
    <col min="11777" max="11778" width="1.5" style="1125" customWidth="1"/>
    <col min="11779" max="11779" width="41" style="1125" customWidth="1"/>
    <col min="11780" max="11780" width="10.375" style="1125" bestFit="1" customWidth="1"/>
    <col min="11781" max="11786" width="12.875" style="1125" customWidth="1"/>
    <col min="11787" max="11787" width="10" style="1125" customWidth="1"/>
    <col min="11788" max="11788" width="11.875" style="1125" customWidth="1"/>
    <col min="11789" max="11807" width="9" style="1125"/>
    <col min="11808" max="11808" width="10.375" style="1125" bestFit="1" customWidth="1"/>
    <col min="11809" max="11809" width="12.5" style="1125" bestFit="1" customWidth="1"/>
    <col min="11810" max="11810" width="12.125" style="1125" bestFit="1" customWidth="1"/>
    <col min="11811" max="11811" width="13.375" style="1125" bestFit="1" customWidth="1"/>
    <col min="11812" max="11812" width="10.75" style="1125" bestFit="1" customWidth="1"/>
    <col min="11813" max="11813" width="13" style="1125" bestFit="1" customWidth="1"/>
    <col min="11814" max="11814" width="11" style="1125" bestFit="1" customWidth="1"/>
    <col min="11815" max="11815" width="9" style="1125" bestFit="1" customWidth="1"/>
    <col min="11816" max="11816" width="11.875" style="1125" bestFit="1" customWidth="1"/>
    <col min="11817" max="12032" width="9" style="1125"/>
    <col min="12033" max="12034" width="1.5" style="1125" customWidth="1"/>
    <col min="12035" max="12035" width="41" style="1125" customWidth="1"/>
    <col min="12036" max="12036" width="10.375" style="1125" bestFit="1" customWidth="1"/>
    <col min="12037" max="12042" width="12.875" style="1125" customWidth="1"/>
    <col min="12043" max="12043" width="10" style="1125" customWidth="1"/>
    <col min="12044" max="12044" width="11.875" style="1125" customWidth="1"/>
    <col min="12045" max="12063" width="9" style="1125"/>
    <col min="12064" max="12064" width="10.375" style="1125" bestFit="1" customWidth="1"/>
    <col min="12065" max="12065" width="12.5" style="1125" bestFit="1" customWidth="1"/>
    <col min="12066" max="12066" width="12.125" style="1125" bestFit="1" customWidth="1"/>
    <col min="12067" max="12067" width="13.375" style="1125" bestFit="1" customWidth="1"/>
    <col min="12068" max="12068" width="10.75" style="1125" bestFit="1" customWidth="1"/>
    <col min="12069" max="12069" width="13" style="1125" bestFit="1" customWidth="1"/>
    <col min="12070" max="12070" width="11" style="1125" bestFit="1" customWidth="1"/>
    <col min="12071" max="12071" width="9" style="1125" bestFit="1" customWidth="1"/>
    <col min="12072" max="12072" width="11.875" style="1125" bestFit="1" customWidth="1"/>
    <col min="12073" max="12288" width="9" style="1125"/>
    <col min="12289" max="12290" width="1.5" style="1125" customWidth="1"/>
    <col min="12291" max="12291" width="41" style="1125" customWidth="1"/>
    <col min="12292" max="12292" width="10.375" style="1125" bestFit="1" customWidth="1"/>
    <col min="12293" max="12298" width="12.875" style="1125" customWidth="1"/>
    <col min="12299" max="12299" width="10" style="1125" customWidth="1"/>
    <col min="12300" max="12300" width="11.875" style="1125" customWidth="1"/>
    <col min="12301" max="12319" width="9" style="1125"/>
    <col min="12320" max="12320" width="10.375" style="1125" bestFit="1" customWidth="1"/>
    <col min="12321" max="12321" width="12.5" style="1125" bestFit="1" customWidth="1"/>
    <col min="12322" max="12322" width="12.125" style="1125" bestFit="1" customWidth="1"/>
    <col min="12323" max="12323" width="13.375" style="1125" bestFit="1" customWidth="1"/>
    <col min="12324" max="12324" width="10.75" style="1125" bestFit="1" customWidth="1"/>
    <col min="12325" max="12325" width="13" style="1125" bestFit="1" customWidth="1"/>
    <col min="12326" max="12326" width="11" style="1125" bestFit="1" customWidth="1"/>
    <col min="12327" max="12327" width="9" style="1125" bestFit="1" customWidth="1"/>
    <col min="12328" max="12328" width="11.875" style="1125" bestFit="1" customWidth="1"/>
    <col min="12329" max="12544" width="9" style="1125"/>
    <col min="12545" max="12546" width="1.5" style="1125" customWidth="1"/>
    <col min="12547" max="12547" width="41" style="1125" customWidth="1"/>
    <col min="12548" max="12548" width="10.375" style="1125" bestFit="1" customWidth="1"/>
    <col min="12549" max="12554" width="12.875" style="1125" customWidth="1"/>
    <col min="12555" max="12555" width="10" style="1125" customWidth="1"/>
    <col min="12556" max="12556" width="11.875" style="1125" customWidth="1"/>
    <col min="12557" max="12575" width="9" style="1125"/>
    <col min="12576" max="12576" width="10.375" style="1125" bestFit="1" customWidth="1"/>
    <col min="12577" max="12577" width="12.5" style="1125" bestFit="1" customWidth="1"/>
    <col min="12578" max="12578" width="12.125" style="1125" bestFit="1" customWidth="1"/>
    <col min="12579" max="12579" width="13.375" style="1125" bestFit="1" customWidth="1"/>
    <col min="12580" max="12580" width="10.75" style="1125" bestFit="1" customWidth="1"/>
    <col min="12581" max="12581" width="13" style="1125" bestFit="1" customWidth="1"/>
    <col min="12582" max="12582" width="11" style="1125" bestFit="1" customWidth="1"/>
    <col min="12583" max="12583" width="9" style="1125" bestFit="1" customWidth="1"/>
    <col min="12584" max="12584" width="11.875" style="1125" bestFit="1" customWidth="1"/>
    <col min="12585" max="12800" width="9" style="1125"/>
    <col min="12801" max="12802" width="1.5" style="1125" customWidth="1"/>
    <col min="12803" max="12803" width="41" style="1125" customWidth="1"/>
    <col min="12804" max="12804" width="10.375" style="1125" bestFit="1" customWidth="1"/>
    <col min="12805" max="12810" width="12.875" style="1125" customWidth="1"/>
    <col min="12811" max="12811" width="10" style="1125" customWidth="1"/>
    <col min="12812" max="12812" width="11.875" style="1125" customWidth="1"/>
    <col min="12813" max="12831" width="9" style="1125"/>
    <col min="12832" max="12832" width="10.375" style="1125" bestFit="1" customWidth="1"/>
    <col min="12833" max="12833" width="12.5" style="1125" bestFit="1" customWidth="1"/>
    <col min="12834" max="12834" width="12.125" style="1125" bestFit="1" customWidth="1"/>
    <col min="12835" max="12835" width="13.375" style="1125" bestFit="1" customWidth="1"/>
    <col min="12836" max="12836" width="10.75" style="1125" bestFit="1" customWidth="1"/>
    <col min="12837" max="12837" width="13" style="1125" bestFit="1" customWidth="1"/>
    <col min="12838" max="12838" width="11" style="1125" bestFit="1" customWidth="1"/>
    <col min="12839" max="12839" width="9" style="1125" bestFit="1" customWidth="1"/>
    <col min="12840" max="12840" width="11.875" style="1125" bestFit="1" customWidth="1"/>
    <col min="12841" max="13056" width="9" style="1125"/>
    <col min="13057" max="13058" width="1.5" style="1125" customWidth="1"/>
    <col min="13059" max="13059" width="41" style="1125" customWidth="1"/>
    <col min="13060" max="13060" width="10.375" style="1125" bestFit="1" customWidth="1"/>
    <col min="13061" max="13066" width="12.875" style="1125" customWidth="1"/>
    <col min="13067" max="13067" width="10" style="1125" customWidth="1"/>
    <col min="13068" max="13068" width="11.875" style="1125" customWidth="1"/>
    <col min="13069" max="13087" width="9" style="1125"/>
    <col min="13088" max="13088" width="10.375" style="1125" bestFit="1" customWidth="1"/>
    <col min="13089" max="13089" width="12.5" style="1125" bestFit="1" customWidth="1"/>
    <col min="13090" max="13090" width="12.125" style="1125" bestFit="1" customWidth="1"/>
    <col min="13091" max="13091" width="13.375" style="1125" bestFit="1" customWidth="1"/>
    <col min="13092" max="13092" width="10.75" style="1125" bestFit="1" customWidth="1"/>
    <col min="13093" max="13093" width="13" style="1125" bestFit="1" customWidth="1"/>
    <col min="13094" max="13094" width="11" style="1125" bestFit="1" customWidth="1"/>
    <col min="13095" max="13095" width="9" style="1125" bestFit="1" customWidth="1"/>
    <col min="13096" max="13096" width="11.875" style="1125" bestFit="1" customWidth="1"/>
    <col min="13097" max="13312" width="9" style="1125"/>
    <col min="13313" max="13314" width="1.5" style="1125" customWidth="1"/>
    <col min="13315" max="13315" width="41" style="1125" customWidth="1"/>
    <col min="13316" max="13316" width="10.375" style="1125" bestFit="1" customWidth="1"/>
    <col min="13317" max="13322" width="12.875" style="1125" customWidth="1"/>
    <col min="13323" max="13323" width="10" style="1125" customWidth="1"/>
    <col min="13324" max="13324" width="11.875" style="1125" customWidth="1"/>
    <col min="13325" max="13343" width="9" style="1125"/>
    <col min="13344" max="13344" width="10.375" style="1125" bestFit="1" customWidth="1"/>
    <col min="13345" max="13345" width="12.5" style="1125" bestFit="1" customWidth="1"/>
    <col min="13346" max="13346" width="12.125" style="1125" bestFit="1" customWidth="1"/>
    <col min="13347" max="13347" width="13.375" style="1125" bestFit="1" customWidth="1"/>
    <col min="13348" max="13348" width="10.75" style="1125" bestFit="1" customWidth="1"/>
    <col min="13349" max="13349" width="13" style="1125" bestFit="1" customWidth="1"/>
    <col min="13350" max="13350" width="11" style="1125" bestFit="1" customWidth="1"/>
    <col min="13351" max="13351" width="9" style="1125" bestFit="1" customWidth="1"/>
    <col min="13352" max="13352" width="11.875" style="1125" bestFit="1" customWidth="1"/>
    <col min="13353" max="13568" width="9" style="1125"/>
    <col min="13569" max="13570" width="1.5" style="1125" customWidth="1"/>
    <col min="13571" max="13571" width="41" style="1125" customWidth="1"/>
    <col min="13572" max="13572" width="10.375" style="1125" bestFit="1" customWidth="1"/>
    <col min="13573" max="13578" width="12.875" style="1125" customWidth="1"/>
    <col min="13579" max="13579" width="10" style="1125" customWidth="1"/>
    <col min="13580" max="13580" width="11.875" style="1125" customWidth="1"/>
    <col min="13581" max="13599" width="9" style="1125"/>
    <col min="13600" max="13600" width="10.375" style="1125" bestFit="1" customWidth="1"/>
    <col min="13601" max="13601" width="12.5" style="1125" bestFit="1" customWidth="1"/>
    <col min="13602" max="13602" width="12.125" style="1125" bestFit="1" customWidth="1"/>
    <col min="13603" max="13603" width="13.375" style="1125" bestFit="1" customWidth="1"/>
    <col min="13604" max="13604" width="10.75" style="1125" bestFit="1" customWidth="1"/>
    <col min="13605" max="13605" width="13" style="1125" bestFit="1" customWidth="1"/>
    <col min="13606" max="13606" width="11" style="1125" bestFit="1" customWidth="1"/>
    <col min="13607" max="13607" width="9" style="1125" bestFit="1" customWidth="1"/>
    <col min="13608" max="13608" width="11.875" style="1125" bestFit="1" customWidth="1"/>
    <col min="13609" max="13824" width="9" style="1125"/>
    <col min="13825" max="13826" width="1.5" style="1125" customWidth="1"/>
    <col min="13827" max="13827" width="41" style="1125" customWidth="1"/>
    <col min="13828" max="13828" width="10.375" style="1125" bestFit="1" customWidth="1"/>
    <col min="13829" max="13834" width="12.875" style="1125" customWidth="1"/>
    <col min="13835" max="13835" width="10" style="1125" customWidth="1"/>
    <col min="13836" max="13836" width="11.875" style="1125" customWidth="1"/>
    <col min="13837" max="13855" width="9" style="1125"/>
    <col min="13856" max="13856" width="10.375" style="1125" bestFit="1" customWidth="1"/>
    <col min="13857" max="13857" width="12.5" style="1125" bestFit="1" customWidth="1"/>
    <col min="13858" max="13858" width="12.125" style="1125" bestFit="1" customWidth="1"/>
    <col min="13859" max="13859" width="13.375" style="1125" bestFit="1" customWidth="1"/>
    <col min="13860" max="13860" width="10.75" style="1125" bestFit="1" customWidth="1"/>
    <col min="13861" max="13861" width="13" style="1125" bestFit="1" customWidth="1"/>
    <col min="13862" max="13862" width="11" style="1125" bestFit="1" customWidth="1"/>
    <col min="13863" max="13863" width="9" style="1125" bestFit="1" customWidth="1"/>
    <col min="13864" max="13864" width="11.875" style="1125" bestFit="1" customWidth="1"/>
    <col min="13865" max="14080" width="9" style="1125"/>
    <col min="14081" max="14082" width="1.5" style="1125" customWidth="1"/>
    <col min="14083" max="14083" width="41" style="1125" customWidth="1"/>
    <col min="14084" max="14084" width="10.375" style="1125" bestFit="1" customWidth="1"/>
    <col min="14085" max="14090" width="12.875" style="1125" customWidth="1"/>
    <col min="14091" max="14091" width="10" style="1125" customWidth="1"/>
    <col min="14092" max="14092" width="11.875" style="1125" customWidth="1"/>
    <col min="14093" max="14111" width="9" style="1125"/>
    <col min="14112" max="14112" width="10.375" style="1125" bestFit="1" customWidth="1"/>
    <col min="14113" max="14113" width="12.5" style="1125" bestFit="1" customWidth="1"/>
    <col min="14114" max="14114" width="12.125" style="1125" bestFit="1" customWidth="1"/>
    <col min="14115" max="14115" width="13.375" style="1125" bestFit="1" customWidth="1"/>
    <col min="14116" max="14116" width="10.75" style="1125" bestFit="1" customWidth="1"/>
    <col min="14117" max="14117" width="13" style="1125" bestFit="1" customWidth="1"/>
    <col min="14118" max="14118" width="11" style="1125" bestFit="1" customWidth="1"/>
    <col min="14119" max="14119" width="9" style="1125" bestFit="1" customWidth="1"/>
    <col min="14120" max="14120" width="11.875" style="1125" bestFit="1" customWidth="1"/>
    <col min="14121" max="14336" width="9" style="1125"/>
    <col min="14337" max="14338" width="1.5" style="1125" customWidth="1"/>
    <col min="14339" max="14339" width="41" style="1125" customWidth="1"/>
    <col min="14340" max="14340" width="10.375" style="1125" bestFit="1" customWidth="1"/>
    <col min="14341" max="14346" width="12.875" style="1125" customWidth="1"/>
    <col min="14347" max="14347" width="10" style="1125" customWidth="1"/>
    <col min="14348" max="14348" width="11.875" style="1125" customWidth="1"/>
    <col min="14349" max="14367" width="9" style="1125"/>
    <col min="14368" max="14368" width="10.375" style="1125" bestFit="1" customWidth="1"/>
    <col min="14369" max="14369" width="12.5" style="1125" bestFit="1" customWidth="1"/>
    <col min="14370" max="14370" width="12.125" style="1125" bestFit="1" customWidth="1"/>
    <col min="14371" max="14371" width="13.375" style="1125" bestFit="1" customWidth="1"/>
    <col min="14372" max="14372" width="10.75" style="1125" bestFit="1" customWidth="1"/>
    <col min="14373" max="14373" width="13" style="1125" bestFit="1" customWidth="1"/>
    <col min="14374" max="14374" width="11" style="1125" bestFit="1" customWidth="1"/>
    <col min="14375" max="14375" width="9" style="1125" bestFit="1" customWidth="1"/>
    <col min="14376" max="14376" width="11.875" style="1125" bestFit="1" customWidth="1"/>
    <col min="14377" max="14592" width="9" style="1125"/>
    <col min="14593" max="14594" width="1.5" style="1125" customWidth="1"/>
    <col min="14595" max="14595" width="41" style="1125" customWidth="1"/>
    <col min="14596" max="14596" width="10.375" style="1125" bestFit="1" customWidth="1"/>
    <col min="14597" max="14602" width="12.875" style="1125" customWidth="1"/>
    <col min="14603" max="14603" width="10" style="1125" customWidth="1"/>
    <col min="14604" max="14604" width="11.875" style="1125" customWidth="1"/>
    <col min="14605" max="14623" width="9" style="1125"/>
    <col min="14624" max="14624" width="10.375" style="1125" bestFit="1" customWidth="1"/>
    <col min="14625" max="14625" width="12.5" style="1125" bestFit="1" customWidth="1"/>
    <col min="14626" max="14626" width="12.125" style="1125" bestFit="1" customWidth="1"/>
    <col min="14627" max="14627" width="13.375" style="1125" bestFit="1" customWidth="1"/>
    <col min="14628" max="14628" width="10.75" style="1125" bestFit="1" customWidth="1"/>
    <col min="14629" max="14629" width="13" style="1125" bestFit="1" customWidth="1"/>
    <col min="14630" max="14630" width="11" style="1125" bestFit="1" customWidth="1"/>
    <col min="14631" max="14631" width="9" style="1125" bestFit="1" customWidth="1"/>
    <col min="14632" max="14632" width="11.875" style="1125" bestFit="1" customWidth="1"/>
    <col min="14633" max="14848" width="9" style="1125"/>
    <col min="14849" max="14850" width="1.5" style="1125" customWidth="1"/>
    <col min="14851" max="14851" width="41" style="1125" customWidth="1"/>
    <col min="14852" max="14852" width="10.375" style="1125" bestFit="1" customWidth="1"/>
    <col min="14853" max="14858" width="12.875" style="1125" customWidth="1"/>
    <col min="14859" max="14859" width="10" style="1125" customWidth="1"/>
    <col min="14860" max="14860" width="11.875" style="1125" customWidth="1"/>
    <col min="14861" max="14879" width="9" style="1125"/>
    <col min="14880" max="14880" width="10.375" style="1125" bestFit="1" customWidth="1"/>
    <col min="14881" max="14881" width="12.5" style="1125" bestFit="1" customWidth="1"/>
    <col min="14882" max="14882" width="12.125" style="1125" bestFit="1" customWidth="1"/>
    <col min="14883" max="14883" width="13.375" style="1125" bestFit="1" customWidth="1"/>
    <col min="14884" max="14884" width="10.75" style="1125" bestFit="1" customWidth="1"/>
    <col min="14885" max="14885" width="13" style="1125" bestFit="1" customWidth="1"/>
    <col min="14886" max="14886" width="11" style="1125" bestFit="1" customWidth="1"/>
    <col min="14887" max="14887" width="9" style="1125" bestFit="1" customWidth="1"/>
    <col min="14888" max="14888" width="11.875" style="1125" bestFit="1" customWidth="1"/>
    <col min="14889" max="15104" width="9" style="1125"/>
    <col min="15105" max="15106" width="1.5" style="1125" customWidth="1"/>
    <col min="15107" max="15107" width="41" style="1125" customWidth="1"/>
    <col min="15108" max="15108" width="10.375" style="1125" bestFit="1" customWidth="1"/>
    <col min="15109" max="15114" width="12.875" style="1125" customWidth="1"/>
    <col min="15115" max="15115" width="10" style="1125" customWidth="1"/>
    <col min="15116" max="15116" width="11.875" style="1125" customWidth="1"/>
    <col min="15117" max="15135" width="9" style="1125"/>
    <col min="15136" max="15136" width="10.375" style="1125" bestFit="1" customWidth="1"/>
    <col min="15137" max="15137" width="12.5" style="1125" bestFit="1" customWidth="1"/>
    <col min="15138" max="15138" width="12.125" style="1125" bestFit="1" customWidth="1"/>
    <col min="15139" max="15139" width="13.375" style="1125" bestFit="1" customWidth="1"/>
    <col min="15140" max="15140" width="10.75" style="1125" bestFit="1" customWidth="1"/>
    <col min="15141" max="15141" width="13" style="1125" bestFit="1" customWidth="1"/>
    <col min="15142" max="15142" width="11" style="1125" bestFit="1" customWidth="1"/>
    <col min="15143" max="15143" width="9" style="1125" bestFit="1" customWidth="1"/>
    <col min="15144" max="15144" width="11.875" style="1125" bestFit="1" customWidth="1"/>
    <col min="15145" max="15360" width="9" style="1125"/>
    <col min="15361" max="15362" width="1.5" style="1125" customWidth="1"/>
    <col min="15363" max="15363" width="41" style="1125" customWidth="1"/>
    <col min="15364" max="15364" width="10.375" style="1125" bestFit="1" customWidth="1"/>
    <col min="15365" max="15370" width="12.875" style="1125" customWidth="1"/>
    <col min="15371" max="15371" width="10" style="1125" customWidth="1"/>
    <col min="15372" max="15372" width="11.875" style="1125" customWidth="1"/>
    <col min="15373" max="15391" width="9" style="1125"/>
    <col min="15392" max="15392" width="10.375" style="1125" bestFit="1" customWidth="1"/>
    <col min="15393" max="15393" width="12.5" style="1125" bestFit="1" customWidth="1"/>
    <col min="15394" max="15394" width="12.125" style="1125" bestFit="1" customWidth="1"/>
    <col min="15395" max="15395" width="13.375" style="1125" bestFit="1" customWidth="1"/>
    <col min="15396" max="15396" width="10.75" style="1125" bestFit="1" customWidth="1"/>
    <col min="15397" max="15397" width="13" style="1125" bestFit="1" customWidth="1"/>
    <col min="15398" max="15398" width="11" style="1125" bestFit="1" customWidth="1"/>
    <col min="15399" max="15399" width="9" style="1125" bestFit="1" customWidth="1"/>
    <col min="15400" max="15400" width="11.875" style="1125" bestFit="1" customWidth="1"/>
    <col min="15401" max="15616" width="9" style="1125"/>
    <col min="15617" max="15618" width="1.5" style="1125" customWidth="1"/>
    <col min="15619" max="15619" width="41" style="1125" customWidth="1"/>
    <col min="15620" max="15620" width="10.375" style="1125" bestFit="1" customWidth="1"/>
    <col min="15621" max="15626" width="12.875" style="1125" customWidth="1"/>
    <col min="15627" max="15627" width="10" style="1125" customWidth="1"/>
    <col min="15628" max="15628" width="11.875" style="1125" customWidth="1"/>
    <col min="15629" max="15647" width="9" style="1125"/>
    <col min="15648" max="15648" width="10.375" style="1125" bestFit="1" customWidth="1"/>
    <col min="15649" max="15649" width="12.5" style="1125" bestFit="1" customWidth="1"/>
    <col min="15650" max="15650" width="12.125" style="1125" bestFit="1" customWidth="1"/>
    <col min="15651" max="15651" width="13.375" style="1125" bestFit="1" customWidth="1"/>
    <col min="15652" max="15652" width="10.75" style="1125" bestFit="1" customWidth="1"/>
    <col min="15653" max="15653" width="13" style="1125" bestFit="1" customWidth="1"/>
    <col min="15654" max="15654" width="11" style="1125" bestFit="1" customWidth="1"/>
    <col min="15655" max="15655" width="9" style="1125" bestFit="1" customWidth="1"/>
    <col min="15656" max="15656" width="11.875" style="1125" bestFit="1" customWidth="1"/>
    <col min="15657" max="15872" width="9" style="1125"/>
    <col min="15873" max="15874" width="1.5" style="1125" customWidth="1"/>
    <col min="15875" max="15875" width="41" style="1125" customWidth="1"/>
    <col min="15876" max="15876" width="10.375" style="1125" bestFit="1" customWidth="1"/>
    <col min="15877" max="15882" width="12.875" style="1125" customWidth="1"/>
    <col min="15883" max="15883" width="10" style="1125" customWidth="1"/>
    <col min="15884" max="15884" width="11.875" style="1125" customWidth="1"/>
    <col min="15885" max="15903" width="9" style="1125"/>
    <col min="15904" max="15904" width="10.375" style="1125" bestFit="1" customWidth="1"/>
    <col min="15905" max="15905" width="12.5" style="1125" bestFit="1" customWidth="1"/>
    <col min="15906" max="15906" width="12.125" style="1125" bestFit="1" customWidth="1"/>
    <col min="15907" max="15907" width="13.375" style="1125" bestFit="1" customWidth="1"/>
    <col min="15908" max="15908" width="10.75" style="1125" bestFit="1" customWidth="1"/>
    <col min="15909" max="15909" width="13" style="1125" bestFit="1" customWidth="1"/>
    <col min="15910" max="15910" width="11" style="1125" bestFit="1" customWidth="1"/>
    <col min="15911" max="15911" width="9" style="1125" bestFit="1" customWidth="1"/>
    <col min="15912" max="15912" width="11.875" style="1125" bestFit="1" customWidth="1"/>
    <col min="15913" max="16128" width="9" style="1125"/>
    <col min="16129" max="16130" width="1.5" style="1125" customWidth="1"/>
    <col min="16131" max="16131" width="41" style="1125" customWidth="1"/>
    <col min="16132" max="16132" width="10.375" style="1125" bestFit="1" customWidth="1"/>
    <col min="16133" max="16138" width="12.875" style="1125" customWidth="1"/>
    <col min="16139" max="16139" width="10" style="1125" customWidth="1"/>
    <col min="16140" max="16140" width="11.875" style="1125" customWidth="1"/>
    <col min="16141" max="16159" width="9" style="1125"/>
    <col min="16160" max="16160" width="10.375" style="1125" bestFit="1" customWidth="1"/>
    <col min="16161" max="16161" width="12.5" style="1125" bestFit="1" customWidth="1"/>
    <col min="16162" max="16162" width="12.125" style="1125" bestFit="1" customWidth="1"/>
    <col min="16163" max="16163" width="13.375" style="1125" bestFit="1" customWidth="1"/>
    <col min="16164" max="16164" width="10.75" style="1125" bestFit="1" customWidth="1"/>
    <col min="16165" max="16165" width="13" style="1125" bestFit="1" customWidth="1"/>
    <col min="16166" max="16166" width="11" style="1125" bestFit="1" customWidth="1"/>
    <col min="16167" max="16167" width="9" style="1125" bestFit="1" customWidth="1"/>
    <col min="16168" max="16168" width="11.875" style="1125" bestFit="1" customWidth="1"/>
    <col min="16169" max="16384" width="9" style="1125"/>
  </cols>
  <sheetData>
    <row r="1" spans="1:11" s="1123" customFormat="1" ht="15" thickBot="1">
      <c r="C1" s="1123" t="s">
        <v>838</v>
      </c>
    </row>
    <row r="2" spans="1:11" ht="15" thickTop="1">
      <c r="A2" s="1124"/>
      <c r="C2" s="1126" t="s">
        <v>839</v>
      </c>
      <c r="D2" s="1127"/>
      <c r="E2" s="1128"/>
      <c r="G2" s="1128"/>
      <c r="H2" s="1128"/>
      <c r="I2" s="1128"/>
      <c r="J2" s="1128"/>
      <c r="K2" s="1128"/>
    </row>
    <row r="3" spans="1:11">
      <c r="A3" s="1124"/>
      <c r="C3" s="1448" t="s">
        <v>840</v>
      </c>
      <c r="D3" s="1449"/>
      <c r="E3" s="1449"/>
      <c r="F3" s="1449"/>
      <c r="G3" s="1449"/>
      <c r="H3" s="1129"/>
      <c r="I3" s="1129"/>
      <c r="J3" s="1129"/>
      <c r="K3" s="1129"/>
    </row>
    <row r="4" spans="1:11">
      <c r="A4" s="1124"/>
      <c r="C4" s="1128"/>
      <c r="D4" s="1128"/>
      <c r="E4" s="1128"/>
      <c r="F4" s="1128"/>
      <c r="G4" s="1128"/>
      <c r="H4" s="1128"/>
      <c r="I4" s="1128"/>
      <c r="J4" s="1128"/>
      <c r="K4" s="1128"/>
    </row>
    <row r="5" spans="1:11">
      <c r="A5" s="1130"/>
      <c r="C5" s="1450" t="s">
        <v>841</v>
      </c>
      <c r="D5" s="1450"/>
      <c r="E5" s="1131"/>
      <c r="F5" s="1131"/>
      <c r="G5" s="1131"/>
      <c r="H5" s="1131"/>
      <c r="I5" s="1131"/>
    </row>
    <row r="6" spans="1:11">
      <c r="A6" s="1130"/>
      <c r="C6" s="1132" t="s">
        <v>842</v>
      </c>
      <c r="D6" s="1133"/>
      <c r="E6" s="1134"/>
    </row>
    <row r="7" spans="1:11">
      <c r="A7" s="1130"/>
      <c r="D7" s="1128"/>
    </row>
    <row r="8" spans="1:11">
      <c r="A8" s="1130"/>
      <c r="B8" s="1135"/>
      <c r="C8" s="1136" t="s">
        <v>843</v>
      </c>
      <c r="D8" s="1137" t="s">
        <v>844</v>
      </c>
      <c r="E8" s="1128"/>
      <c r="K8" s="1138"/>
    </row>
    <row r="9" spans="1:11">
      <c r="A9" s="1130"/>
      <c r="B9" s="1135"/>
      <c r="C9" s="1139" t="s">
        <v>845</v>
      </c>
      <c r="D9" s="1140" t="s">
        <v>846</v>
      </c>
      <c r="E9" s="1141"/>
      <c r="F9" s="1128"/>
      <c r="H9" s="1142" t="s">
        <v>847</v>
      </c>
      <c r="I9" s="1142"/>
      <c r="J9" s="1142"/>
      <c r="K9" s="1142"/>
    </row>
    <row r="10" spans="1:11">
      <c r="A10" s="1130"/>
      <c r="B10" s="1135"/>
      <c r="C10" s="1139" t="s">
        <v>848</v>
      </c>
      <c r="D10" s="1140" t="s">
        <v>849</v>
      </c>
      <c r="E10" s="1141"/>
      <c r="F10" s="1128"/>
      <c r="H10" s="1142"/>
      <c r="I10" s="1142"/>
      <c r="J10" s="1142"/>
      <c r="K10" s="1142"/>
    </row>
    <row r="11" spans="1:11">
      <c r="A11" s="1130"/>
      <c r="B11" s="1143"/>
      <c r="C11" s="1139" t="s">
        <v>850</v>
      </c>
      <c r="D11" s="1140" t="s">
        <v>851</v>
      </c>
      <c r="E11" s="1141"/>
      <c r="F11" s="1128"/>
      <c r="H11" s="1142"/>
      <c r="I11" s="1142"/>
      <c r="J11" s="1142"/>
      <c r="K11" s="1142"/>
    </row>
    <row r="12" spans="1:11">
      <c r="A12" s="1130"/>
      <c r="B12" s="1143"/>
      <c r="C12" s="1139" t="s">
        <v>852</v>
      </c>
      <c r="D12" s="1140" t="s">
        <v>851</v>
      </c>
      <c r="E12" s="1141"/>
      <c r="F12" s="1128"/>
      <c r="H12" s="1142"/>
      <c r="I12" s="1142"/>
      <c r="J12" s="1142"/>
      <c r="K12" s="1142"/>
    </row>
    <row r="13" spans="1:11">
      <c r="A13" s="1130"/>
      <c r="B13" s="1143"/>
      <c r="C13" s="1139" t="s">
        <v>853</v>
      </c>
      <c r="D13" s="1140" t="s">
        <v>35</v>
      </c>
      <c r="E13" s="1144"/>
      <c r="F13" s="1145"/>
      <c r="H13" s="1146"/>
      <c r="I13" s="1146"/>
      <c r="J13" s="1146"/>
      <c r="K13" s="1146"/>
    </row>
    <row r="14" spans="1:11">
      <c r="A14" s="1130"/>
      <c r="B14" s="1143"/>
      <c r="C14" s="1139" t="s">
        <v>854</v>
      </c>
      <c r="D14" s="1140" t="s">
        <v>855</v>
      </c>
      <c r="E14" s="1144"/>
      <c r="F14" s="1145"/>
      <c r="H14" s="1146"/>
      <c r="I14" s="1146"/>
      <c r="J14" s="1146"/>
      <c r="K14" s="1146"/>
    </row>
    <row r="15" spans="1:11">
      <c r="A15" s="1130"/>
      <c r="B15" s="1143"/>
      <c r="C15" s="1139"/>
      <c r="D15" s="1140"/>
      <c r="E15" s="1146"/>
      <c r="F15" s="1145"/>
      <c r="H15" s="1146"/>
      <c r="I15" s="1146"/>
      <c r="J15" s="1146"/>
      <c r="K15" s="1146"/>
    </row>
    <row r="16" spans="1:11">
      <c r="A16" s="1130"/>
      <c r="B16" s="1143"/>
      <c r="C16" s="1139" t="s">
        <v>856</v>
      </c>
      <c r="D16" s="1140" t="s">
        <v>857</v>
      </c>
      <c r="E16" s="1147"/>
      <c r="F16" s="1148"/>
      <c r="H16" s="1149"/>
      <c r="I16" s="1149"/>
      <c r="J16" s="1149"/>
      <c r="K16" s="1149"/>
    </row>
    <row r="17" spans="1:40">
      <c r="A17" s="1130"/>
      <c r="B17" s="1143"/>
      <c r="C17" s="1139" t="s">
        <v>858</v>
      </c>
      <c r="D17" s="1140" t="s">
        <v>857</v>
      </c>
      <c r="E17" s="1147"/>
      <c r="F17" s="1148"/>
      <c r="G17" s="1149"/>
      <c r="H17" s="1149"/>
      <c r="I17" s="1149"/>
      <c r="J17" s="1149"/>
      <c r="K17" s="1149"/>
    </row>
    <row r="18" spans="1:40">
      <c r="A18" s="1124"/>
      <c r="B18" s="1143"/>
      <c r="C18" s="1139" t="s">
        <v>859</v>
      </c>
      <c r="D18" s="1140" t="s">
        <v>509</v>
      </c>
      <c r="E18" s="1150"/>
      <c r="F18" s="1151"/>
      <c r="G18" s="1152"/>
      <c r="H18" s="1152"/>
      <c r="I18" s="1152"/>
      <c r="J18" s="1152"/>
      <c r="K18" s="1152"/>
    </row>
    <row r="19" spans="1:40">
      <c r="A19" s="1124"/>
      <c r="B19" s="1143"/>
      <c r="C19" s="1139" t="s">
        <v>860</v>
      </c>
      <c r="D19" s="1140" t="s">
        <v>861</v>
      </c>
      <c r="E19" s="1153"/>
      <c r="F19" s="1148"/>
      <c r="G19" s="1154"/>
      <c r="J19" s="1149"/>
      <c r="K19" s="1149"/>
    </row>
    <row r="20" spans="1:40">
      <c r="A20" s="1124"/>
      <c r="B20" s="1143"/>
      <c r="C20" s="1139"/>
      <c r="D20" s="1140"/>
      <c r="E20" s="1155"/>
      <c r="F20" s="1156" t="b">
        <v>1</v>
      </c>
      <c r="G20" s="1156" t="b">
        <v>1</v>
      </c>
      <c r="H20" s="1157" t="b">
        <v>1</v>
      </c>
      <c r="I20" s="1157" t="b">
        <v>1</v>
      </c>
      <c r="J20" s="1156" t="b">
        <v>1</v>
      </c>
      <c r="K20" s="1156" t="b">
        <v>1</v>
      </c>
      <c r="L20" s="1156" t="b">
        <v>1</v>
      </c>
    </row>
    <row r="21" spans="1:40" ht="48.75" customHeight="1">
      <c r="A21" s="1124"/>
      <c r="B21" s="1143"/>
      <c r="C21" s="1158" t="s">
        <v>862</v>
      </c>
      <c r="D21" s="1140"/>
      <c r="E21" s="1159" t="s">
        <v>863</v>
      </c>
      <c r="F21" s="1159" t="s">
        <v>864</v>
      </c>
      <c r="G21" s="1159" t="s">
        <v>865</v>
      </c>
      <c r="H21" s="1159" t="s">
        <v>866</v>
      </c>
      <c r="I21" s="1159" t="s">
        <v>867</v>
      </c>
      <c r="J21" s="1160" t="s">
        <v>868</v>
      </c>
      <c r="K21" s="1159" t="s">
        <v>869</v>
      </c>
      <c r="L21" s="1159" t="s">
        <v>870</v>
      </c>
      <c r="AF21" s="1161" t="s">
        <v>871</v>
      </c>
      <c r="AG21" s="1162" t="str">
        <f t="shared" ref="AG21:AN21" si="0">E43</f>
        <v>Bare ground, no cover</v>
      </c>
      <c r="AH21" s="1162" t="str">
        <f t="shared" si="0"/>
        <v>Outside, on gravel, no cover</v>
      </c>
      <c r="AI21" s="1162" t="str">
        <f t="shared" si="0"/>
        <v>Outside, on gravel, under tarp</v>
      </c>
      <c r="AJ21" s="1162" t="str">
        <f t="shared" si="0"/>
        <v>Outside, bare ground, under tarp</v>
      </c>
      <c r="AK21" s="1162" t="str">
        <f t="shared" si="0"/>
        <v>Outside, on bare ground, plastic wraps</v>
      </c>
      <c r="AL21" s="1162" t="str">
        <f t="shared" si="0"/>
        <v>Under roof, no sides</v>
      </c>
      <c r="AM21" s="1162" t="str">
        <f t="shared" si="0"/>
        <v>Inside, new building</v>
      </c>
      <c r="AN21" s="1162" t="str">
        <f t="shared" si="0"/>
        <v>Inside, existing building</v>
      </c>
    </row>
    <row r="22" spans="1:40" ht="28.5">
      <c r="A22" s="1130"/>
      <c r="B22" s="1143"/>
      <c r="C22" s="1163" t="s">
        <v>872</v>
      </c>
      <c r="D22" s="1140" t="s">
        <v>509</v>
      </c>
      <c r="E22" s="1150">
        <v>0.28000000000000003</v>
      </c>
      <c r="F22" s="1150">
        <v>0.24</v>
      </c>
      <c r="G22" s="1150">
        <v>0.09</v>
      </c>
      <c r="H22" s="1150">
        <v>0.13</v>
      </c>
      <c r="I22" s="1150">
        <v>0.13</v>
      </c>
      <c r="J22" s="1150">
        <v>0.08</v>
      </c>
      <c r="K22" s="1150">
        <v>0.05</v>
      </c>
      <c r="L22" s="1164">
        <v>0.05</v>
      </c>
      <c r="AF22" s="1165">
        <f>0.7*AF25</f>
        <v>0</v>
      </c>
      <c r="AG22" s="1166">
        <f t="shared" ref="AG22:AN28" si="1">E$44*E$22*$AF22+E$55</f>
        <v>0</v>
      </c>
      <c r="AH22" s="1166">
        <f t="shared" si="1"/>
        <v>0</v>
      </c>
      <c r="AI22" s="1166">
        <f t="shared" si="1"/>
        <v>0</v>
      </c>
      <c r="AJ22" s="1166">
        <f t="shared" si="1"/>
        <v>0</v>
      </c>
      <c r="AK22" s="1166">
        <f t="shared" si="1"/>
        <v>0</v>
      </c>
      <c r="AL22" s="1166">
        <f t="shared" si="1"/>
        <v>0</v>
      </c>
      <c r="AM22" s="1166">
        <f t="shared" si="1"/>
        <v>0</v>
      </c>
      <c r="AN22" s="1166">
        <f t="shared" si="1"/>
        <v>0</v>
      </c>
    </row>
    <row r="23" spans="1:40">
      <c r="A23" s="1130"/>
      <c r="B23" s="1143"/>
      <c r="C23" s="1167"/>
      <c r="D23" s="1128"/>
      <c r="E23" s="1168"/>
      <c r="F23" s="1169"/>
      <c r="G23" s="1170"/>
      <c r="H23" s="1170"/>
      <c r="I23" s="1170"/>
      <c r="J23" s="1170"/>
      <c r="K23" s="1170"/>
      <c r="L23" s="1171"/>
      <c r="AF23" s="1172">
        <f>0.8*AF25</f>
        <v>0</v>
      </c>
      <c r="AG23" s="1166">
        <f t="shared" si="1"/>
        <v>0</v>
      </c>
      <c r="AH23" s="1166">
        <f t="shared" si="1"/>
        <v>0</v>
      </c>
      <c r="AI23" s="1166">
        <f t="shared" si="1"/>
        <v>0</v>
      </c>
      <c r="AJ23" s="1166">
        <f t="shared" si="1"/>
        <v>0</v>
      </c>
      <c r="AK23" s="1166">
        <f t="shared" si="1"/>
        <v>0</v>
      </c>
      <c r="AL23" s="1166">
        <f t="shared" si="1"/>
        <v>0</v>
      </c>
      <c r="AM23" s="1166">
        <f t="shared" si="1"/>
        <v>0</v>
      </c>
      <c r="AN23" s="1166">
        <f t="shared" si="1"/>
        <v>0</v>
      </c>
    </row>
    <row r="24" spans="1:40">
      <c r="A24" s="1130"/>
      <c r="B24" s="1173"/>
      <c r="C24" s="1158" t="s">
        <v>873</v>
      </c>
      <c r="D24" s="1128"/>
      <c r="E24" s="1174"/>
      <c r="F24" s="1175"/>
      <c r="G24" s="1176"/>
      <c r="H24" s="1177"/>
      <c r="I24" s="1177"/>
      <c r="J24" s="1178"/>
      <c r="K24" s="1176"/>
      <c r="L24" s="1176"/>
      <c r="AF24" s="1165">
        <f>0.9*AF25</f>
        <v>0</v>
      </c>
      <c r="AG24" s="1166">
        <f t="shared" si="1"/>
        <v>0</v>
      </c>
      <c r="AH24" s="1166">
        <f t="shared" si="1"/>
        <v>0</v>
      </c>
      <c r="AI24" s="1166">
        <f t="shared" si="1"/>
        <v>0</v>
      </c>
      <c r="AJ24" s="1166">
        <f t="shared" si="1"/>
        <v>0</v>
      </c>
      <c r="AK24" s="1166">
        <f t="shared" si="1"/>
        <v>0</v>
      </c>
      <c r="AL24" s="1166">
        <f t="shared" si="1"/>
        <v>0</v>
      </c>
      <c r="AM24" s="1166">
        <f t="shared" si="1"/>
        <v>0</v>
      </c>
      <c r="AN24" s="1166">
        <f t="shared" si="1"/>
        <v>0</v>
      </c>
    </row>
    <row r="25" spans="1:40">
      <c r="A25" s="1130"/>
      <c r="B25" s="1173"/>
      <c r="C25" s="1139" t="s">
        <v>874</v>
      </c>
      <c r="D25" s="1140" t="s">
        <v>875</v>
      </c>
      <c r="E25" s="1179"/>
      <c r="F25" s="1180">
        <v>0.45</v>
      </c>
      <c r="G25" s="1153">
        <v>0.45</v>
      </c>
      <c r="H25" s="1153">
        <v>0.45</v>
      </c>
      <c r="I25" s="1181"/>
      <c r="J25" s="1178"/>
      <c r="K25" s="1182"/>
      <c r="L25" s="1176"/>
      <c r="AF25" s="1183">
        <f>E16</f>
        <v>0</v>
      </c>
      <c r="AG25" s="1166">
        <f t="shared" si="1"/>
        <v>0</v>
      </c>
      <c r="AH25" s="1166">
        <f t="shared" si="1"/>
        <v>0</v>
      </c>
      <c r="AI25" s="1166">
        <f t="shared" si="1"/>
        <v>0</v>
      </c>
      <c r="AJ25" s="1166">
        <f t="shared" si="1"/>
        <v>0</v>
      </c>
      <c r="AK25" s="1166">
        <f t="shared" si="1"/>
        <v>0</v>
      </c>
      <c r="AL25" s="1166">
        <f t="shared" si="1"/>
        <v>0</v>
      </c>
      <c r="AM25" s="1166">
        <f t="shared" si="1"/>
        <v>0</v>
      </c>
      <c r="AN25" s="1166">
        <f t="shared" si="1"/>
        <v>0</v>
      </c>
    </row>
    <row r="26" spans="1:40">
      <c r="A26" s="1130"/>
      <c r="B26" s="1173"/>
      <c r="C26" s="1139" t="s">
        <v>876</v>
      </c>
      <c r="D26" s="1140" t="s">
        <v>877</v>
      </c>
      <c r="E26" s="1179"/>
      <c r="F26" s="1184">
        <v>5</v>
      </c>
      <c r="G26" s="1141">
        <v>5</v>
      </c>
      <c r="H26" s="1141">
        <v>5</v>
      </c>
      <c r="I26" s="1177"/>
      <c r="J26" s="1178"/>
      <c r="K26" s="1185"/>
      <c r="L26" s="1176"/>
      <c r="AF26" s="1165">
        <f>1.1*$AF25</f>
        <v>0</v>
      </c>
      <c r="AG26" s="1166">
        <f t="shared" si="1"/>
        <v>0</v>
      </c>
      <c r="AH26" s="1166">
        <f t="shared" si="1"/>
        <v>0</v>
      </c>
      <c r="AI26" s="1166">
        <f t="shared" si="1"/>
        <v>0</v>
      </c>
      <c r="AJ26" s="1166">
        <f t="shared" si="1"/>
        <v>0</v>
      </c>
      <c r="AK26" s="1166">
        <f t="shared" si="1"/>
        <v>0</v>
      </c>
      <c r="AL26" s="1166">
        <f t="shared" si="1"/>
        <v>0</v>
      </c>
      <c r="AM26" s="1166">
        <f t="shared" si="1"/>
        <v>0</v>
      </c>
      <c r="AN26" s="1166">
        <f t="shared" si="1"/>
        <v>0</v>
      </c>
    </row>
    <row r="27" spans="1:40">
      <c r="A27" s="1130"/>
      <c r="B27" s="1173"/>
      <c r="C27" s="1139" t="s">
        <v>878</v>
      </c>
      <c r="D27" s="1140" t="s">
        <v>879</v>
      </c>
      <c r="E27" s="1179"/>
      <c r="F27" s="1186"/>
      <c r="G27" s="1187">
        <v>0.75</v>
      </c>
      <c r="H27" s="1187">
        <v>0.75</v>
      </c>
      <c r="I27" s="1178"/>
      <c r="J27" s="1178"/>
      <c r="K27" s="1185"/>
      <c r="L27" s="1176"/>
      <c r="AF27" s="1165">
        <f>1.2*$AF25</f>
        <v>0</v>
      </c>
      <c r="AG27" s="1166">
        <f t="shared" si="1"/>
        <v>0</v>
      </c>
      <c r="AH27" s="1166">
        <f t="shared" si="1"/>
        <v>0</v>
      </c>
      <c r="AI27" s="1166">
        <f t="shared" si="1"/>
        <v>0</v>
      </c>
      <c r="AJ27" s="1166">
        <f t="shared" si="1"/>
        <v>0</v>
      </c>
      <c r="AK27" s="1166">
        <f t="shared" si="1"/>
        <v>0</v>
      </c>
      <c r="AL27" s="1166">
        <f t="shared" si="1"/>
        <v>0</v>
      </c>
      <c r="AM27" s="1166">
        <f t="shared" si="1"/>
        <v>0</v>
      </c>
      <c r="AN27" s="1166">
        <f t="shared" si="1"/>
        <v>0</v>
      </c>
    </row>
    <row r="28" spans="1:40">
      <c r="A28" s="1130"/>
      <c r="B28" s="1143"/>
      <c r="C28" s="1139" t="s">
        <v>880</v>
      </c>
      <c r="D28" s="1140" t="s">
        <v>877</v>
      </c>
      <c r="E28" s="1179"/>
      <c r="F28" s="1188"/>
      <c r="G28" s="1141">
        <v>5</v>
      </c>
      <c r="H28" s="1141">
        <v>5</v>
      </c>
      <c r="I28" s="1177"/>
      <c r="J28" s="1178"/>
      <c r="K28" s="1185"/>
      <c r="L28" s="1176"/>
      <c r="AF28" s="1165">
        <f>1.3*$AF25</f>
        <v>0</v>
      </c>
      <c r="AG28" s="1166">
        <f t="shared" si="1"/>
        <v>0</v>
      </c>
      <c r="AH28" s="1166">
        <f t="shared" si="1"/>
        <v>0</v>
      </c>
      <c r="AI28" s="1166">
        <f t="shared" si="1"/>
        <v>0</v>
      </c>
      <c r="AJ28" s="1166">
        <f t="shared" si="1"/>
        <v>0</v>
      </c>
      <c r="AK28" s="1166">
        <f t="shared" si="1"/>
        <v>0</v>
      </c>
      <c r="AL28" s="1166">
        <f t="shared" si="1"/>
        <v>0</v>
      </c>
      <c r="AM28" s="1166">
        <f t="shared" si="1"/>
        <v>0</v>
      </c>
      <c r="AN28" s="1166">
        <f t="shared" si="1"/>
        <v>0</v>
      </c>
    </row>
    <row r="29" spans="1:40">
      <c r="B29" s="1143"/>
      <c r="C29" s="1139" t="s">
        <v>881</v>
      </c>
      <c r="D29" s="1140" t="s">
        <v>882</v>
      </c>
      <c r="E29" s="1179"/>
      <c r="F29" s="1188"/>
      <c r="G29" s="1177"/>
      <c r="H29" s="1177"/>
      <c r="I29" s="1187">
        <v>5</v>
      </c>
      <c r="J29" s="1178"/>
      <c r="K29" s="1185"/>
      <c r="L29" s="1176"/>
    </row>
    <row r="30" spans="1:40">
      <c r="B30" s="1143"/>
      <c r="C30" s="1139"/>
      <c r="D30" s="1140"/>
      <c r="E30" s="1179"/>
      <c r="F30" s="1188"/>
      <c r="G30" s="1177"/>
      <c r="H30" s="1177"/>
      <c r="I30" s="1178"/>
      <c r="J30" s="1178"/>
      <c r="K30" s="1185"/>
      <c r="L30" s="1176"/>
    </row>
    <row r="31" spans="1:40">
      <c r="B31" s="1143"/>
      <c r="C31" s="1158" t="s">
        <v>883</v>
      </c>
      <c r="D31" s="1128"/>
      <c r="E31" s="1174"/>
      <c r="F31" s="1175"/>
      <c r="G31" s="1176"/>
      <c r="H31" s="1176"/>
      <c r="I31" s="1176"/>
      <c r="J31" s="1176"/>
      <c r="K31" s="1176"/>
      <c r="L31" s="1178"/>
    </row>
    <row r="32" spans="1:40">
      <c r="B32" s="1143"/>
      <c r="C32" s="1139" t="s">
        <v>884</v>
      </c>
      <c r="D32" s="1140" t="s">
        <v>875</v>
      </c>
      <c r="E32" s="1179"/>
      <c r="F32" s="1175"/>
      <c r="G32" s="1176"/>
      <c r="H32" s="1176"/>
      <c r="I32" s="1176"/>
      <c r="J32" s="1190">
        <v>1.5</v>
      </c>
      <c r="K32" s="1153">
        <v>4</v>
      </c>
      <c r="L32" s="1178"/>
    </row>
    <row r="33" spans="2:18">
      <c r="B33" s="1143"/>
      <c r="C33" s="1139" t="s">
        <v>885</v>
      </c>
      <c r="D33" s="1140" t="s">
        <v>877</v>
      </c>
      <c r="E33" s="1179"/>
      <c r="F33" s="1175"/>
      <c r="G33" s="1176"/>
      <c r="H33" s="1176"/>
      <c r="I33" s="1176"/>
      <c r="J33" s="1191">
        <v>30</v>
      </c>
      <c r="K33" s="1141">
        <v>30</v>
      </c>
      <c r="L33" s="1177"/>
    </row>
    <row r="34" spans="2:18">
      <c r="B34" s="1143"/>
      <c r="C34" s="1139" t="s">
        <v>886</v>
      </c>
      <c r="D34" s="1140" t="s">
        <v>875</v>
      </c>
      <c r="E34" s="1179"/>
      <c r="F34" s="1175"/>
      <c r="G34" s="1176"/>
      <c r="H34" s="1176"/>
      <c r="I34" s="1176"/>
      <c r="J34" s="1192"/>
      <c r="K34" s="1193"/>
      <c r="L34" s="1187">
        <v>1</v>
      </c>
    </row>
    <row r="35" spans="2:18">
      <c r="B35" s="1143"/>
      <c r="C35" s="1139" t="s">
        <v>887</v>
      </c>
      <c r="D35" s="1140" t="s">
        <v>888</v>
      </c>
      <c r="E35" s="1194"/>
      <c r="F35" s="1175"/>
      <c r="G35" s="1176"/>
      <c r="H35" s="1176"/>
      <c r="I35" s="1176"/>
      <c r="J35" s="1195">
        <v>0.01</v>
      </c>
      <c r="K35" s="1196">
        <v>0.01</v>
      </c>
      <c r="L35" s="1196">
        <v>0.03</v>
      </c>
    </row>
    <row r="36" spans="2:18">
      <c r="B36" s="1143"/>
      <c r="C36" s="1139" t="s">
        <v>889</v>
      </c>
      <c r="D36" s="1140" t="s">
        <v>888</v>
      </c>
      <c r="E36" s="1194"/>
      <c r="F36" s="1175"/>
      <c r="G36" s="1176"/>
      <c r="H36" s="1176"/>
      <c r="I36" s="1176"/>
      <c r="J36" s="1195">
        <v>1.4999999999999999E-2</v>
      </c>
      <c r="K36" s="1196">
        <v>1.4999999999999999E-2</v>
      </c>
      <c r="L36" s="1196">
        <v>1.4999999999999999E-2</v>
      </c>
    </row>
    <row r="37" spans="2:18">
      <c r="B37" s="1143"/>
      <c r="C37" s="1167"/>
      <c r="D37" s="1197"/>
      <c r="E37" s="1174"/>
      <c r="F37" s="1175"/>
      <c r="G37" s="1176"/>
      <c r="H37" s="1176"/>
      <c r="I37" s="1176"/>
      <c r="J37" s="1178"/>
      <c r="K37" s="1176"/>
      <c r="L37" s="1176"/>
    </row>
    <row r="38" spans="2:18">
      <c r="B38" s="1143"/>
      <c r="C38" s="1158" t="s">
        <v>890</v>
      </c>
      <c r="D38" s="1197"/>
      <c r="E38" s="1174"/>
      <c r="F38" s="1175"/>
      <c r="G38" s="1176"/>
      <c r="H38" s="1176"/>
      <c r="I38" s="1176"/>
      <c r="J38" s="1178"/>
      <c r="K38" s="1176"/>
      <c r="L38" s="1176"/>
    </row>
    <row r="39" spans="2:18">
      <c r="B39" s="1143"/>
      <c r="C39" s="1139" t="s">
        <v>891</v>
      </c>
      <c r="D39" s="1140" t="s">
        <v>892</v>
      </c>
      <c r="E39" s="1198"/>
      <c r="F39" s="1184"/>
      <c r="G39" s="1141"/>
      <c r="H39" s="1141"/>
      <c r="I39" s="1141"/>
      <c r="J39" s="1191"/>
      <c r="K39" s="1141"/>
      <c r="L39" s="1141"/>
    </row>
    <row r="40" spans="2:18">
      <c r="B40" s="1143"/>
      <c r="C40" s="1139" t="s">
        <v>893</v>
      </c>
      <c r="D40" s="1140" t="s">
        <v>894</v>
      </c>
      <c r="E40" s="1198"/>
      <c r="F40" s="1184"/>
      <c r="G40" s="1141"/>
      <c r="H40" s="1141"/>
      <c r="I40" s="1141"/>
      <c r="J40" s="1191"/>
      <c r="K40" s="1141"/>
      <c r="L40" s="1141"/>
    </row>
    <row r="41" spans="2:18">
      <c r="B41" s="1143"/>
      <c r="C41" s="1139"/>
      <c r="D41" s="1140"/>
      <c r="E41" s="1199"/>
      <c r="F41" s="1142"/>
      <c r="G41" s="1142"/>
      <c r="H41" s="1142"/>
      <c r="I41" s="1142"/>
      <c r="J41" s="1200"/>
      <c r="K41" s="1142"/>
      <c r="L41" s="1142"/>
    </row>
    <row r="42" spans="2:18">
      <c r="C42" s="1201" t="s">
        <v>895</v>
      </c>
      <c r="D42" s="1202"/>
      <c r="E42" s="1128"/>
      <c r="F42" s="1128"/>
      <c r="G42" s="1128"/>
      <c r="H42" s="1128"/>
      <c r="I42" s="1128"/>
      <c r="K42" s="1128"/>
      <c r="L42" s="1128"/>
    </row>
    <row r="43" spans="2:18" ht="39.950000000000003" customHeight="1">
      <c r="C43" s="1203" t="s">
        <v>896</v>
      </c>
      <c r="D43" s="1204" t="s">
        <v>844</v>
      </c>
      <c r="E43" s="1205" t="str">
        <f>E21</f>
        <v>Bare ground, no cover</v>
      </c>
      <c r="F43" s="1205" t="str">
        <f t="shared" ref="F43:L43" si="2">F21</f>
        <v>Outside, on gravel, no cover</v>
      </c>
      <c r="G43" s="1205" t="str">
        <f t="shared" si="2"/>
        <v>Outside, on gravel, under tarp</v>
      </c>
      <c r="H43" s="1205" t="str">
        <f t="shared" si="2"/>
        <v>Outside, bare ground, under tarp</v>
      </c>
      <c r="I43" s="1205" t="str">
        <f t="shared" si="2"/>
        <v>Outside, on bare ground, plastic wraps</v>
      </c>
      <c r="J43" s="1205" t="str">
        <f t="shared" si="2"/>
        <v>Under roof, no sides</v>
      </c>
      <c r="K43" s="1205" t="str">
        <f t="shared" si="2"/>
        <v>Inside, new building</v>
      </c>
      <c r="L43" s="1205" t="str">
        <f t="shared" si="2"/>
        <v>Inside, existing building</v>
      </c>
    </row>
    <row r="44" spans="2:18">
      <c r="C44" s="1206" t="s">
        <v>897</v>
      </c>
      <c r="D44" s="1207" t="s">
        <v>855</v>
      </c>
      <c r="E44" s="1208">
        <f>($E9*$E10)</f>
        <v>0</v>
      </c>
      <c r="F44" s="1208">
        <f t="shared" ref="F44:L44" si="3">($E9*$E10)</f>
        <v>0</v>
      </c>
      <c r="G44" s="1208">
        <f t="shared" si="3"/>
        <v>0</v>
      </c>
      <c r="H44" s="1208">
        <f t="shared" si="3"/>
        <v>0</v>
      </c>
      <c r="I44" s="1208">
        <f t="shared" si="3"/>
        <v>0</v>
      </c>
      <c r="J44" s="1208">
        <f t="shared" si="3"/>
        <v>0</v>
      </c>
      <c r="K44" s="1208">
        <f t="shared" si="3"/>
        <v>0</v>
      </c>
      <c r="L44" s="1208">
        <f t="shared" si="3"/>
        <v>0</v>
      </c>
      <c r="R44" s="1209"/>
    </row>
    <row r="45" spans="2:18">
      <c r="C45" s="1210"/>
      <c r="D45" s="1211"/>
      <c r="E45" s="1212"/>
      <c r="F45" s="1212"/>
      <c r="G45" s="1212"/>
      <c r="H45" s="1212"/>
      <c r="I45" s="1212"/>
      <c r="J45" s="1212"/>
      <c r="K45" s="1212"/>
      <c r="L45" s="1212"/>
      <c r="R45" s="1209"/>
    </row>
    <row r="46" spans="2:18">
      <c r="C46" s="1206" t="s">
        <v>898</v>
      </c>
      <c r="D46" s="1213" t="s">
        <v>899</v>
      </c>
      <c r="E46" s="1214">
        <f>IF($E13,($E44*2000)/$E13,0)</f>
        <v>0</v>
      </c>
      <c r="F46" s="1214">
        <f t="shared" ref="F46:L46" si="4">IF($E13,($E44*2000)/$E13,0)</f>
        <v>0</v>
      </c>
      <c r="G46" s="1214">
        <f t="shared" si="4"/>
        <v>0</v>
      </c>
      <c r="H46" s="1214">
        <f t="shared" si="4"/>
        <v>0</v>
      </c>
      <c r="I46" s="1214">
        <f t="shared" si="4"/>
        <v>0</v>
      </c>
      <c r="J46" s="1214">
        <f t="shared" si="4"/>
        <v>0</v>
      </c>
      <c r="K46" s="1214">
        <f t="shared" si="4"/>
        <v>0</v>
      </c>
      <c r="L46" s="1214">
        <f t="shared" si="4"/>
        <v>0</v>
      </c>
      <c r="R46" s="1209"/>
    </row>
    <row r="47" spans="2:18">
      <c r="C47" s="1206" t="s">
        <v>900</v>
      </c>
      <c r="D47" s="1213" t="s">
        <v>901</v>
      </c>
      <c r="E47" s="1214">
        <f>IF(E39,1.05*(E46*$E11*$E12)/E39,0)</f>
        <v>0</v>
      </c>
      <c r="F47" s="1214">
        <f t="shared" ref="F47:L47" si="5">IF(F39,1.05*(F46*$E11*$E12)/F39,0)</f>
        <v>0</v>
      </c>
      <c r="G47" s="1214">
        <f t="shared" si="5"/>
        <v>0</v>
      </c>
      <c r="H47" s="1214">
        <f t="shared" si="5"/>
        <v>0</v>
      </c>
      <c r="I47" s="1214">
        <f t="shared" si="5"/>
        <v>0</v>
      </c>
      <c r="J47" s="1214">
        <f t="shared" si="5"/>
        <v>0</v>
      </c>
      <c r="K47" s="1214">
        <f t="shared" si="5"/>
        <v>0</v>
      </c>
      <c r="L47" s="1214">
        <f t="shared" si="5"/>
        <v>0</v>
      </c>
      <c r="R47" s="1209"/>
    </row>
    <row r="48" spans="2:18">
      <c r="C48" s="1206" t="s">
        <v>902</v>
      </c>
      <c r="D48" s="1215" t="s">
        <v>879</v>
      </c>
      <c r="E48" s="1216"/>
      <c r="F48" s="1216"/>
      <c r="G48" s="1216"/>
      <c r="H48" s="1216"/>
      <c r="I48" s="1216"/>
      <c r="J48" s="1216">
        <f>J32*J47</f>
        <v>0</v>
      </c>
      <c r="K48" s="1216">
        <f>K32*K47</f>
        <v>0</v>
      </c>
      <c r="L48" s="1216"/>
      <c r="R48" s="1209"/>
    </row>
    <row r="49" spans="3:18">
      <c r="C49" s="1206" t="s">
        <v>903</v>
      </c>
      <c r="D49" s="1215" t="s">
        <v>879</v>
      </c>
      <c r="E49" s="1217"/>
      <c r="F49" s="1217">
        <f>F25*F47</f>
        <v>0</v>
      </c>
      <c r="G49" s="1217">
        <f>G25*G47</f>
        <v>0</v>
      </c>
      <c r="H49" s="1217">
        <f>H25*H47</f>
        <v>0</v>
      </c>
      <c r="I49" s="1217"/>
      <c r="J49" s="1217"/>
      <c r="K49" s="1217"/>
      <c r="L49" s="1217"/>
      <c r="R49" s="1209"/>
    </row>
    <row r="50" spans="3:18">
      <c r="C50" s="1206"/>
      <c r="D50" s="1215"/>
      <c r="E50" s="1217"/>
      <c r="F50" s="1217"/>
      <c r="G50" s="1217"/>
      <c r="H50" s="1217"/>
      <c r="I50" s="1217"/>
      <c r="J50" s="1217"/>
      <c r="K50" s="1217"/>
      <c r="L50" s="1217"/>
      <c r="R50" s="1209"/>
    </row>
    <row r="51" spans="3:18">
      <c r="C51" s="1206" t="s">
        <v>904</v>
      </c>
      <c r="D51" s="1215" t="s">
        <v>905</v>
      </c>
      <c r="E51" s="1217"/>
      <c r="F51" s="1217"/>
      <c r="G51" s="1217"/>
      <c r="H51" s="1217"/>
      <c r="I51" s="1217"/>
      <c r="J51" s="1217">
        <f>IF(J33,(J47*J32*((1/J33)+($E18+J36)/2+J35)),0)</f>
        <v>0</v>
      </c>
      <c r="K51" s="1217">
        <f>IF(K33,(K47*K32*((1/K33)+($E18+K36)/2+K35)),0)</f>
        <v>0</v>
      </c>
      <c r="L51" s="1217">
        <f>IF(L33,(L47*L32*((1/L33)+($E18+L36)/2+L35)),0)+L47*L34*($E18+L36+L35)</f>
        <v>0</v>
      </c>
      <c r="R51" s="1209"/>
    </row>
    <row r="52" spans="3:18">
      <c r="C52" s="1206" t="s">
        <v>906</v>
      </c>
      <c r="D52" s="1215" t="s">
        <v>905</v>
      </c>
      <c r="E52" s="1218"/>
      <c r="F52" s="1218">
        <f>IF(F26,F47*F25*(1/F26+$E18/2),0)</f>
        <v>0</v>
      </c>
      <c r="G52" s="1218">
        <f>IF(G26,G47*G25*(1/G26+$E18/2),0)</f>
        <v>0</v>
      </c>
      <c r="H52" s="1218">
        <f>IF(H26,H47*H25*(1/H26+$E18/2),0)</f>
        <v>0</v>
      </c>
      <c r="I52" s="1218"/>
      <c r="J52" s="1218"/>
      <c r="K52" s="1218"/>
      <c r="L52" s="1218"/>
    </row>
    <row r="53" spans="3:18" ht="16.5">
      <c r="C53" s="1206" t="s">
        <v>907</v>
      </c>
      <c r="D53" s="1215" t="s">
        <v>905</v>
      </c>
      <c r="E53" s="1219">
        <f>($E19*E40)</f>
        <v>0</v>
      </c>
      <c r="F53" s="1219">
        <f t="shared" ref="F53:L53" si="6">($E19*F40)</f>
        <v>0</v>
      </c>
      <c r="G53" s="1217">
        <f t="shared" si="6"/>
        <v>0</v>
      </c>
      <c r="H53" s="1217">
        <f t="shared" si="6"/>
        <v>0</v>
      </c>
      <c r="I53" s="1217">
        <f t="shared" si="6"/>
        <v>0</v>
      </c>
      <c r="J53" s="1219">
        <f t="shared" si="6"/>
        <v>0</v>
      </c>
      <c r="K53" s="1219">
        <f t="shared" si="6"/>
        <v>0</v>
      </c>
      <c r="L53" s="1219">
        <f t="shared" si="6"/>
        <v>0</v>
      </c>
    </row>
    <row r="54" spans="3:18" ht="16.5">
      <c r="C54" s="1206" t="s">
        <v>908</v>
      </c>
      <c r="D54" s="1220" t="s">
        <v>905</v>
      </c>
      <c r="E54" s="1219"/>
      <c r="F54" s="1219"/>
      <c r="G54" s="1219">
        <f>IF(G28,(G27*(G47+$E11*$E12*G39*2)/G28),0)+G29*G46</f>
        <v>0</v>
      </c>
      <c r="H54" s="1219">
        <f>IF(H28,(H27*(H47+$E11*$E12*H39*2)/H28),0)+H29*H46</f>
        <v>0</v>
      </c>
      <c r="I54" s="1219">
        <f>IF(I28,(I27*(I47+$E11*$E12*I39*2)/I28),0)+I29*I46</f>
        <v>0</v>
      </c>
      <c r="J54" s="1219"/>
      <c r="K54" s="1219"/>
      <c r="L54" s="1219"/>
    </row>
    <row r="55" spans="3:18">
      <c r="C55" s="1221" t="s">
        <v>909</v>
      </c>
      <c r="D55" s="1222" t="s">
        <v>905</v>
      </c>
      <c r="E55" s="1223">
        <f t="shared" ref="E55:L55" si="7">SUM(E51:E54)</f>
        <v>0</v>
      </c>
      <c r="F55" s="1223">
        <f t="shared" si="7"/>
        <v>0</v>
      </c>
      <c r="G55" s="1223">
        <f t="shared" si="7"/>
        <v>0</v>
      </c>
      <c r="H55" s="1223">
        <f t="shared" si="7"/>
        <v>0</v>
      </c>
      <c r="I55" s="1223">
        <f t="shared" si="7"/>
        <v>0</v>
      </c>
      <c r="J55" s="1223">
        <f t="shared" si="7"/>
        <v>0</v>
      </c>
      <c r="K55" s="1223">
        <f t="shared" si="7"/>
        <v>0</v>
      </c>
      <c r="L55" s="1223">
        <f t="shared" si="7"/>
        <v>0</v>
      </c>
    </row>
    <row r="56" spans="3:18" ht="16.5">
      <c r="C56" s="1224" t="s">
        <v>910</v>
      </c>
      <c r="D56" s="1215" t="s">
        <v>905</v>
      </c>
      <c r="E56" s="1225">
        <f>E44*E22*$E16</f>
        <v>0</v>
      </c>
      <c r="F56" s="1225">
        <f t="shared" ref="F56:L56" si="8">F44*F22*$E16</f>
        <v>0</v>
      </c>
      <c r="G56" s="1225">
        <f t="shared" si="8"/>
        <v>0</v>
      </c>
      <c r="H56" s="1225">
        <f t="shared" si="8"/>
        <v>0</v>
      </c>
      <c r="I56" s="1225">
        <f t="shared" si="8"/>
        <v>0</v>
      </c>
      <c r="J56" s="1225">
        <f t="shared" si="8"/>
        <v>0</v>
      </c>
      <c r="K56" s="1225">
        <f t="shared" si="8"/>
        <v>0</v>
      </c>
      <c r="L56" s="1225">
        <f t="shared" si="8"/>
        <v>0</v>
      </c>
    </row>
    <row r="57" spans="3:18">
      <c r="C57" s="1221" t="s">
        <v>911</v>
      </c>
      <c r="D57" s="1222" t="s">
        <v>905</v>
      </c>
      <c r="E57" s="1226">
        <f>E55+E56</f>
        <v>0</v>
      </c>
      <c r="F57" s="1226">
        <f t="shared" ref="F57:L57" si="9">F55+F56</f>
        <v>0</v>
      </c>
      <c r="G57" s="1226">
        <f t="shared" si="9"/>
        <v>0</v>
      </c>
      <c r="H57" s="1226">
        <f t="shared" si="9"/>
        <v>0</v>
      </c>
      <c r="I57" s="1226">
        <f t="shared" si="9"/>
        <v>0</v>
      </c>
      <c r="J57" s="1226">
        <f t="shared" si="9"/>
        <v>0</v>
      </c>
      <c r="K57" s="1226">
        <f t="shared" si="9"/>
        <v>0</v>
      </c>
      <c r="L57" s="1226">
        <f t="shared" si="9"/>
        <v>0</v>
      </c>
    </row>
    <row r="58" spans="3:18">
      <c r="C58" s="1206"/>
      <c r="D58" s="1222"/>
      <c r="E58" s="1227"/>
      <c r="F58" s="1227"/>
      <c r="G58" s="1227"/>
      <c r="H58" s="1227"/>
      <c r="I58" s="1227"/>
      <c r="J58" s="1227"/>
      <c r="K58" s="1227"/>
      <c r="L58" s="1227"/>
    </row>
    <row r="59" spans="3:18">
      <c r="C59" s="1206" t="s">
        <v>912</v>
      </c>
      <c r="D59" s="1215" t="s">
        <v>855</v>
      </c>
      <c r="E59" s="1217">
        <f>E44*(1-E22)</f>
        <v>0</v>
      </c>
      <c r="F59" s="1217">
        <f t="shared" ref="F59:L59" si="10">F44*(1-F22)</f>
        <v>0</v>
      </c>
      <c r="G59" s="1217">
        <f t="shared" si="10"/>
        <v>0</v>
      </c>
      <c r="H59" s="1217">
        <f t="shared" si="10"/>
        <v>0</v>
      </c>
      <c r="I59" s="1217">
        <f t="shared" si="10"/>
        <v>0</v>
      </c>
      <c r="J59" s="1217">
        <f t="shared" si="10"/>
        <v>0</v>
      </c>
      <c r="K59" s="1217">
        <f t="shared" si="10"/>
        <v>0</v>
      </c>
      <c r="L59" s="1217">
        <f t="shared" si="10"/>
        <v>0</v>
      </c>
    </row>
    <row r="60" spans="3:18" ht="28.5">
      <c r="C60" s="1206" t="s">
        <v>913</v>
      </c>
      <c r="D60" s="1215" t="s">
        <v>857</v>
      </c>
      <c r="E60" s="1228">
        <f>IF(E59,E57/E59,0)</f>
        <v>0</v>
      </c>
      <c r="F60" s="1228">
        <f t="shared" ref="F60:L60" si="11">IF(F59,F57/F59,0)</f>
        <v>0</v>
      </c>
      <c r="G60" s="1228">
        <f t="shared" si="11"/>
        <v>0</v>
      </c>
      <c r="H60" s="1228">
        <f>IF(H59,H57/H59,0)</f>
        <v>0</v>
      </c>
      <c r="I60" s="1228">
        <f t="shared" si="11"/>
        <v>0</v>
      </c>
      <c r="J60" s="1228">
        <f t="shared" si="11"/>
        <v>0</v>
      </c>
      <c r="K60" s="1228">
        <f t="shared" si="11"/>
        <v>0</v>
      </c>
      <c r="L60" s="1228">
        <f t="shared" si="11"/>
        <v>0</v>
      </c>
    </row>
    <row r="61" spans="3:18">
      <c r="C61" s="1229" t="s">
        <v>914</v>
      </c>
      <c r="D61" s="1222" t="s">
        <v>905</v>
      </c>
      <c r="E61" s="1230">
        <f>$E16*E44-E57</f>
        <v>0</v>
      </c>
      <c r="F61" s="1230">
        <f t="shared" ref="F61:L61" si="12">$E16*F44-F57</f>
        <v>0</v>
      </c>
      <c r="G61" s="1230">
        <f t="shared" si="12"/>
        <v>0</v>
      </c>
      <c r="H61" s="1230">
        <f>$E16*H44-H57</f>
        <v>0</v>
      </c>
      <c r="I61" s="1230">
        <f t="shared" si="12"/>
        <v>0</v>
      </c>
      <c r="J61" s="1230">
        <f t="shared" si="12"/>
        <v>0</v>
      </c>
      <c r="K61" s="1230">
        <f t="shared" si="12"/>
        <v>0</v>
      </c>
      <c r="L61" s="1230">
        <f t="shared" si="12"/>
        <v>0</v>
      </c>
    </row>
    <row r="62" spans="3:18">
      <c r="C62" s="1224"/>
      <c r="D62" s="1215"/>
      <c r="E62" s="1212"/>
      <c r="F62" s="1212"/>
      <c r="G62" s="1212"/>
      <c r="H62" s="1212"/>
      <c r="I62" s="1212"/>
      <c r="J62" s="1212"/>
      <c r="K62" s="1212"/>
      <c r="L62" s="1212"/>
    </row>
    <row r="63" spans="3:18" ht="15" thickBot="1">
      <c r="C63" s="1231" t="s">
        <v>915</v>
      </c>
      <c r="D63" s="1232" t="s">
        <v>905</v>
      </c>
      <c r="E63" s="1233" t="e">
        <f>(E55/E44+$E17)*($E14/(1-E22))</f>
        <v>#DIV/0!</v>
      </c>
      <c r="F63" s="1233" t="e">
        <f t="shared" ref="F63:L63" si="13">(F55/F44+$E17)*($E14/(1-F22))</f>
        <v>#DIV/0!</v>
      </c>
      <c r="G63" s="1233" t="e">
        <f t="shared" si="13"/>
        <v>#DIV/0!</v>
      </c>
      <c r="H63" s="1233" t="e">
        <f t="shared" si="13"/>
        <v>#DIV/0!</v>
      </c>
      <c r="I63" s="1233" t="e">
        <f t="shared" si="13"/>
        <v>#DIV/0!</v>
      </c>
      <c r="J63" s="1233" t="e">
        <f t="shared" si="13"/>
        <v>#DIV/0!</v>
      </c>
      <c r="K63" s="1233" t="e">
        <f t="shared" si="13"/>
        <v>#DIV/0!</v>
      </c>
      <c r="L63" s="1233" t="e">
        <f t="shared" si="13"/>
        <v>#DIV/0!</v>
      </c>
    </row>
    <row r="64" spans="3:18">
      <c r="C64" s="1234"/>
      <c r="D64" s="1234"/>
    </row>
    <row r="65" spans="1:12">
      <c r="C65" s="1235" t="s">
        <v>916</v>
      </c>
    </row>
    <row r="66" spans="1:12" s="1128" customFormat="1">
      <c r="A66" s="1124"/>
      <c r="B66" s="1173"/>
      <c r="C66" s="1236" t="s">
        <v>917</v>
      </c>
    </row>
    <row r="67" spans="1:12" s="1128" customFormat="1">
      <c r="A67" s="1124"/>
      <c r="B67" s="1173"/>
      <c r="C67" s="1237" t="s">
        <v>918</v>
      </c>
    </row>
    <row r="68" spans="1:12" s="1128" customFormat="1">
      <c r="A68" s="1124"/>
      <c r="B68" s="1173"/>
      <c r="C68" s="1238" t="s">
        <v>919</v>
      </c>
    </row>
    <row r="69" spans="1:12" s="1128" customFormat="1">
      <c r="A69" s="1124"/>
      <c r="B69" s="1173"/>
      <c r="C69" s="1239">
        <f ca="1">TODAY()</f>
        <v>43168</v>
      </c>
    </row>
    <row r="70" spans="1:12">
      <c r="A70" s="1130"/>
      <c r="B70" s="1143"/>
      <c r="C70" s="1234" t="s">
        <v>325</v>
      </c>
    </row>
    <row r="71" spans="1:12">
      <c r="A71" s="1130"/>
      <c r="B71" s="1143"/>
      <c r="C71" s="1234" t="s">
        <v>325</v>
      </c>
    </row>
    <row r="72" spans="1:12">
      <c r="A72" s="1130"/>
      <c r="B72" s="1143"/>
      <c r="C72" s="1234"/>
    </row>
    <row r="73" spans="1:12">
      <c r="A73" s="1130"/>
      <c r="B73" s="1143"/>
      <c r="C73" s="1240" t="s">
        <v>920</v>
      </c>
      <c r="D73" s="1128"/>
      <c r="E73" s="1128"/>
      <c r="F73" s="1128"/>
      <c r="G73" s="1128"/>
      <c r="H73" s="1128"/>
      <c r="I73" s="1128"/>
      <c r="J73" s="1128"/>
      <c r="K73" s="1128"/>
      <c r="L73" s="1128"/>
    </row>
    <row r="74" spans="1:12" ht="12.75" customHeight="1">
      <c r="A74" s="1130"/>
      <c r="B74" s="1143"/>
      <c r="C74" s="1451" t="s">
        <v>921</v>
      </c>
      <c r="D74" s="1451"/>
      <c r="E74" s="1241"/>
      <c r="F74" s="1241"/>
      <c r="G74" s="1241"/>
      <c r="H74" s="1241"/>
      <c r="I74" s="1241"/>
      <c r="J74" s="1241"/>
      <c r="K74" s="1242"/>
      <c r="L74" s="1242"/>
    </row>
    <row r="75" spans="1:12">
      <c r="A75" s="1130"/>
      <c r="B75" s="1143"/>
      <c r="C75" s="1451"/>
      <c r="D75" s="1451"/>
      <c r="E75" s="1241"/>
      <c r="F75" s="1241"/>
      <c r="G75" s="1241"/>
      <c r="H75" s="1241"/>
      <c r="I75" s="1241"/>
      <c r="J75" s="1241"/>
      <c r="K75" s="1242"/>
      <c r="L75" s="1242"/>
    </row>
    <row r="76" spans="1:12">
      <c r="A76" s="1130"/>
      <c r="B76" s="1143"/>
      <c r="C76" s="1451"/>
      <c r="D76" s="1451"/>
      <c r="E76" s="1241"/>
      <c r="F76" s="1241"/>
      <c r="G76" s="1241"/>
      <c r="H76" s="1241"/>
      <c r="I76" s="1241"/>
      <c r="J76" s="1241"/>
      <c r="K76" s="1242"/>
      <c r="L76" s="1242"/>
    </row>
    <row r="77" spans="1:12">
      <c r="C77" s="1451"/>
      <c r="D77" s="1451"/>
    </row>
    <row r="78" spans="1:12" ht="12.75" customHeight="1">
      <c r="C78" s="1451" t="s">
        <v>922</v>
      </c>
      <c r="D78" s="1451"/>
    </row>
    <row r="79" spans="1:12">
      <c r="C79" s="1451"/>
      <c r="D79" s="1451"/>
    </row>
  </sheetData>
  <mergeCells count="4">
    <mergeCell ref="C3:G3"/>
    <mergeCell ref="C5:D5"/>
    <mergeCell ref="C74:D77"/>
    <mergeCell ref="C78:D79"/>
  </mergeCells>
  <hyperlinks>
    <hyperlink ref="C66" r:id="rId1" xr:uid="{00000000-0004-0000-0B00-000000000000}"/>
    <hyperlink ref="C22" location="'Storage Loss Data'!A1" display="Expected spoilage &amp; dry matter loss (click here for research data)" xr:uid="{00000000-0004-0000-0B00-000001000000}"/>
    <hyperlink ref="C3:G3" r:id="rId2" display="For information on hay costs, see Information File A1-15, Iowa Pasture Cost Improvement Budgets." xr:uid="{00000000-0004-0000-0B00-000002000000}"/>
  </hyperlinks>
  <pageMargins left="0.7" right="0.7" top="0.75" bottom="0.75" header="0.3" footer="0.3"/>
  <drawing r:id="rId3"/>
  <legacy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Y139"/>
  <sheetViews>
    <sheetView topLeftCell="A70" workbookViewId="0"/>
  </sheetViews>
  <sheetFormatPr defaultRowHeight="12"/>
  <cols>
    <col min="2" max="2" width="12.75" customWidth="1"/>
    <col min="3" max="3" width="15.5" customWidth="1"/>
  </cols>
  <sheetData>
    <row r="1" spans="1:25">
      <c r="A1" s="255"/>
      <c r="B1" s="255"/>
      <c r="C1" s="255"/>
      <c r="D1" s="255"/>
      <c r="E1" s="255"/>
      <c r="F1" s="255"/>
      <c r="G1" s="255"/>
      <c r="H1" s="255"/>
      <c r="I1" s="255"/>
      <c r="J1" s="255"/>
      <c r="K1" s="255"/>
      <c r="L1" s="255"/>
      <c r="M1" s="255"/>
      <c r="N1" s="255"/>
      <c r="O1" s="255"/>
      <c r="P1" s="255"/>
      <c r="Q1" s="255"/>
      <c r="R1" s="255"/>
      <c r="S1" s="255"/>
      <c r="T1" s="255"/>
      <c r="U1" s="255"/>
      <c r="V1" s="255"/>
      <c r="W1" s="255"/>
      <c r="X1" s="255"/>
      <c r="Y1" s="255"/>
    </row>
    <row r="2" spans="1:25" ht="15.75">
      <c r="A2" s="255"/>
      <c r="B2" s="256" t="s">
        <v>432</v>
      </c>
      <c r="C2" s="255"/>
      <c r="D2" s="255"/>
      <c r="E2" s="255"/>
      <c r="F2" s="255"/>
      <c r="G2" s="255"/>
      <c r="H2" s="255"/>
      <c r="I2" s="255"/>
      <c r="J2" s="255"/>
      <c r="K2" s="255"/>
      <c r="L2" s="255"/>
      <c r="M2" s="255"/>
      <c r="N2" s="255"/>
      <c r="O2" s="255"/>
      <c r="P2" s="255"/>
      <c r="Q2" s="255"/>
      <c r="R2" s="255"/>
      <c r="S2" s="255"/>
      <c r="T2" s="255"/>
      <c r="U2" s="255"/>
      <c r="V2" s="255"/>
      <c r="W2" s="255"/>
      <c r="X2" s="255"/>
      <c r="Y2" s="255"/>
    </row>
    <row r="3" spans="1:25" ht="44.25" customHeight="1">
      <c r="A3" s="255"/>
      <c r="B3" s="1452" t="s">
        <v>434</v>
      </c>
      <c r="C3" s="1452"/>
      <c r="D3" s="1452"/>
      <c r="E3" s="1452"/>
      <c r="F3" s="1452"/>
      <c r="G3" s="1452"/>
      <c r="H3" s="1452"/>
      <c r="I3" s="1452"/>
      <c r="J3" s="1452"/>
      <c r="K3" s="1452"/>
      <c r="L3" s="1452"/>
      <c r="M3" s="1452"/>
      <c r="N3" s="1452"/>
      <c r="O3" s="255"/>
      <c r="P3" s="255"/>
      <c r="Q3" s="255"/>
      <c r="R3" s="255"/>
      <c r="S3" s="255"/>
      <c r="T3" s="255"/>
      <c r="U3" s="255"/>
      <c r="V3" s="255"/>
      <c r="W3" s="255"/>
      <c r="X3" s="255"/>
      <c r="Y3" s="255"/>
    </row>
    <row r="4" spans="1:25" ht="34.5" customHeight="1">
      <c r="A4" s="255"/>
      <c r="B4" s="1452" t="s">
        <v>433</v>
      </c>
      <c r="C4" s="1452"/>
      <c r="D4" s="1452"/>
      <c r="E4" s="1452"/>
      <c r="F4" s="1452"/>
      <c r="G4" s="1452"/>
      <c r="H4" s="1452"/>
      <c r="I4" s="1452"/>
      <c r="J4" s="1452"/>
      <c r="K4" s="1452"/>
      <c r="L4" s="1452"/>
      <c r="M4" s="1452"/>
      <c r="N4" s="1452"/>
      <c r="O4" s="255"/>
      <c r="P4" s="255"/>
      <c r="Q4" s="255"/>
      <c r="R4" s="255"/>
      <c r="S4" s="255"/>
      <c r="T4" s="255"/>
      <c r="U4" s="255"/>
      <c r="V4" s="255"/>
      <c r="W4" s="255"/>
      <c r="X4" s="255"/>
      <c r="Y4" s="255"/>
    </row>
    <row r="5" spans="1:25">
      <c r="A5" s="255"/>
      <c r="B5" s="255"/>
      <c r="C5" s="255"/>
      <c r="D5" s="255"/>
      <c r="E5" s="255"/>
      <c r="F5" s="255"/>
      <c r="G5" s="255"/>
      <c r="H5" s="255"/>
      <c r="I5" s="255"/>
      <c r="J5" s="255"/>
      <c r="K5" s="255"/>
      <c r="L5" s="255"/>
      <c r="M5" s="255"/>
      <c r="N5" s="255"/>
      <c r="O5" s="255"/>
      <c r="P5" s="255"/>
      <c r="Q5" s="255"/>
      <c r="R5" s="255"/>
      <c r="S5" s="255"/>
      <c r="T5" s="255"/>
      <c r="U5" s="255"/>
      <c r="V5" s="255"/>
      <c r="W5" s="255"/>
      <c r="X5" s="255"/>
      <c r="Y5" s="255"/>
    </row>
    <row r="6" spans="1:25" ht="27.75" customHeight="1">
      <c r="A6" s="255"/>
      <c r="B6" s="255"/>
      <c r="C6" s="255"/>
      <c r="D6" s="255"/>
      <c r="E6" s="255"/>
      <c r="F6" s="255"/>
      <c r="G6" s="255"/>
      <c r="H6" s="255"/>
      <c r="I6" s="255"/>
      <c r="J6" s="255"/>
      <c r="K6" s="255"/>
      <c r="L6" s="255"/>
      <c r="M6" s="255"/>
      <c r="N6" s="255"/>
      <c r="O6" s="255"/>
      <c r="P6" s="255"/>
      <c r="Q6" s="255"/>
      <c r="R6" s="255"/>
      <c r="S6" s="255"/>
      <c r="T6" s="255"/>
      <c r="U6" s="255"/>
      <c r="V6" s="255"/>
      <c r="W6" s="255"/>
      <c r="X6" s="255"/>
      <c r="Y6" s="255"/>
    </row>
    <row r="7" spans="1:25" ht="12.75" thickBot="1">
      <c r="A7" s="255"/>
      <c r="B7" s="255"/>
      <c r="C7" s="255"/>
      <c r="D7" s="255"/>
      <c r="E7" s="255"/>
      <c r="F7" s="255"/>
      <c r="G7" s="255"/>
      <c r="H7" s="255"/>
      <c r="I7" s="255"/>
      <c r="J7" s="255"/>
      <c r="K7" s="255"/>
      <c r="L7" s="255"/>
      <c r="M7" s="255"/>
      <c r="N7" s="255"/>
      <c r="O7" s="255"/>
      <c r="P7" s="255"/>
      <c r="Q7" s="255"/>
      <c r="R7" s="255"/>
      <c r="S7" s="255"/>
      <c r="T7" s="255"/>
      <c r="U7" s="255"/>
      <c r="V7" s="255"/>
      <c r="W7" s="255"/>
      <c r="X7" s="255"/>
      <c r="Y7" s="255"/>
    </row>
    <row r="8" spans="1:25" ht="45.75" thickBot="1">
      <c r="A8" s="255"/>
      <c r="B8" s="248" t="s">
        <v>430</v>
      </c>
      <c r="C8" s="249" t="s">
        <v>431</v>
      </c>
      <c r="D8" s="255"/>
      <c r="E8" s="255"/>
      <c r="F8" s="255"/>
      <c r="G8" s="255"/>
      <c r="H8" s="255"/>
      <c r="I8" s="255"/>
      <c r="J8" s="255"/>
      <c r="K8" s="255"/>
      <c r="L8" s="255"/>
      <c r="M8" s="255"/>
      <c r="N8" s="255"/>
      <c r="O8" s="255"/>
      <c r="P8" s="255"/>
      <c r="Q8" s="255"/>
      <c r="R8" s="255"/>
      <c r="S8" s="255"/>
      <c r="T8" s="255"/>
      <c r="U8" s="255"/>
      <c r="V8" s="255"/>
      <c r="W8" s="255"/>
      <c r="X8" s="255"/>
      <c r="Y8" s="255"/>
    </row>
    <row r="9" spans="1:25" ht="15">
      <c r="A9" s="255"/>
      <c r="B9" s="250">
        <v>1</v>
      </c>
      <c r="C9" s="252">
        <v>25</v>
      </c>
      <c r="D9" s="255"/>
      <c r="E9" s="255"/>
      <c r="F9" s="255"/>
      <c r="G9" s="255"/>
      <c r="H9" s="255"/>
      <c r="I9" s="255"/>
      <c r="J9" s="255"/>
      <c r="K9" s="255"/>
      <c r="L9" s="255"/>
      <c r="M9" s="255"/>
      <c r="N9" s="255"/>
      <c r="O9" s="255"/>
      <c r="P9" s="255"/>
      <c r="Q9" s="255"/>
      <c r="R9" s="255"/>
      <c r="S9" s="255"/>
      <c r="T9" s="255"/>
      <c r="U9" s="255"/>
      <c r="V9" s="255"/>
      <c r="W9" s="255"/>
      <c r="X9" s="255"/>
      <c r="Y9" s="255"/>
    </row>
    <row r="10" spans="1:25" ht="15">
      <c r="A10" s="255"/>
      <c r="B10" s="250">
        <v>2</v>
      </c>
      <c r="C10" s="253">
        <v>28</v>
      </c>
      <c r="D10" s="255"/>
      <c r="E10" s="255"/>
      <c r="F10" s="255"/>
      <c r="G10" s="255"/>
      <c r="H10" s="255"/>
      <c r="I10" s="255"/>
      <c r="J10" s="255"/>
      <c r="K10" s="255"/>
      <c r="L10" s="255"/>
      <c r="M10" s="255"/>
      <c r="N10" s="255"/>
      <c r="O10" s="255"/>
      <c r="P10" s="255"/>
      <c r="Q10" s="255"/>
      <c r="R10" s="255"/>
      <c r="S10" s="255"/>
      <c r="T10" s="255"/>
      <c r="U10" s="255"/>
      <c r="V10" s="255"/>
      <c r="W10" s="255"/>
      <c r="X10" s="255"/>
      <c r="Y10" s="255"/>
    </row>
    <row r="11" spans="1:25" ht="15">
      <c r="A11" s="255"/>
      <c r="B11" s="250">
        <v>3</v>
      </c>
      <c r="C11" s="253">
        <v>32</v>
      </c>
      <c r="D11" s="255"/>
      <c r="E11" s="255"/>
      <c r="F11" s="255"/>
      <c r="G11" s="255"/>
      <c r="H11" s="255"/>
      <c r="I11" s="255"/>
      <c r="J11" s="255"/>
      <c r="K11" s="255"/>
      <c r="L11" s="255"/>
      <c r="M11" s="255"/>
      <c r="N11" s="255"/>
      <c r="O11" s="255"/>
      <c r="P11" s="255"/>
      <c r="Q11" s="255"/>
      <c r="R11" s="255"/>
      <c r="S11" s="255"/>
      <c r="T11" s="255"/>
      <c r="U11" s="255"/>
      <c r="V11" s="255"/>
      <c r="W11" s="255"/>
      <c r="X11" s="255"/>
      <c r="Y11" s="255"/>
    </row>
    <row r="12" spans="1:25" ht="15">
      <c r="A12" s="255"/>
      <c r="B12" s="250">
        <v>4</v>
      </c>
      <c r="C12" s="253">
        <v>35</v>
      </c>
      <c r="D12" s="255"/>
      <c r="E12" s="255"/>
      <c r="F12" s="255"/>
      <c r="G12" s="255"/>
      <c r="H12" s="255"/>
      <c r="I12" s="255"/>
      <c r="J12" s="255"/>
      <c r="K12" s="255"/>
      <c r="L12" s="255"/>
      <c r="M12" s="255"/>
      <c r="N12" s="255"/>
      <c r="O12" s="255"/>
      <c r="P12" s="255"/>
      <c r="Q12" s="255"/>
      <c r="R12" s="255"/>
      <c r="S12" s="255"/>
      <c r="T12" s="255"/>
      <c r="U12" s="255"/>
      <c r="V12" s="255"/>
      <c r="W12" s="255"/>
      <c r="X12" s="255"/>
      <c r="Y12" s="255"/>
    </row>
    <row r="13" spans="1:25" ht="15">
      <c r="A13" s="255"/>
      <c r="B13" s="250">
        <v>5</v>
      </c>
      <c r="C13" s="253">
        <v>38</v>
      </c>
      <c r="D13" s="255"/>
      <c r="E13" s="255"/>
      <c r="F13" s="255"/>
      <c r="G13" s="255"/>
      <c r="H13" s="255"/>
      <c r="I13" s="255"/>
      <c r="J13" s="255"/>
      <c r="K13" s="255"/>
      <c r="L13" s="255"/>
      <c r="M13" s="255"/>
      <c r="N13" s="255"/>
      <c r="O13" s="255"/>
      <c r="P13" s="255"/>
      <c r="Q13" s="255"/>
      <c r="R13" s="255"/>
      <c r="S13" s="255"/>
      <c r="T13" s="255"/>
      <c r="U13" s="255"/>
      <c r="V13" s="255"/>
      <c r="W13" s="255"/>
      <c r="X13" s="255"/>
      <c r="Y13" s="255"/>
    </row>
    <row r="14" spans="1:25" ht="15">
      <c r="A14" s="255"/>
      <c r="B14" s="250">
        <v>6</v>
      </c>
      <c r="C14" s="253">
        <v>41</v>
      </c>
      <c r="D14" s="255"/>
      <c r="E14" s="255"/>
      <c r="F14" s="255"/>
      <c r="G14" s="255"/>
      <c r="H14" s="255"/>
      <c r="I14" s="255"/>
      <c r="J14" s="255"/>
      <c r="K14" s="255"/>
      <c r="L14" s="255"/>
      <c r="M14" s="255"/>
      <c r="N14" s="255"/>
      <c r="O14" s="255"/>
      <c r="P14" s="255"/>
      <c r="Q14" s="255"/>
      <c r="R14" s="255"/>
      <c r="S14" s="255"/>
      <c r="T14" s="255"/>
      <c r="U14" s="255"/>
      <c r="V14" s="255"/>
      <c r="W14" s="255"/>
      <c r="X14" s="255"/>
      <c r="Y14" s="255"/>
    </row>
    <row r="15" spans="1:25" ht="15">
      <c r="A15" s="255"/>
      <c r="B15" s="250">
        <v>7</v>
      </c>
      <c r="C15" s="253">
        <v>43</v>
      </c>
      <c r="D15" s="255"/>
      <c r="E15" s="255"/>
      <c r="F15" s="255"/>
      <c r="G15" s="255"/>
      <c r="H15" s="255"/>
      <c r="I15" s="255"/>
      <c r="J15" s="255"/>
      <c r="K15" s="255"/>
      <c r="L15" s="255"/>
      <c r="M15" s="255"/>
      <c r="N15" s="255"/>
      <c r="O15" s="255"/>
      <c r="P15" s="255"/>
      <c r="Q15" s="255"/>
      <c r="R15" s="255"/>
      <c r="S15" s="255"/>
      <c r="T15" s="255"/>
      <c r="U15" s="255"/>
      <c r="V15" s="255"/>
      <c r="W15" s="255"/>
      <c r="X15" s="255"/>
      <c r="Y15" s="255"/>
    </row>
    <row r="16" spans="1:25" ht="15">
      <c r="A16" s="255"/>
      <c r="B16" s="250">
        <v>8</v>
      </c>
      <c r="C16" s="253">
        <v>50</v>
      </c>
      <c r="D16" s="255"/>
      <c r="E16" s="255"/>
      <c r="F16" s="255"/>
      <c r="G16" s="255"/>
      <c r="H16" s="255"/>
      <c r="I16" s="255"/>
      <c r="J16" s="255"/>
      <c r="K16" s="255"/>
      <c r="L16" s="255"/>
      <c r="M16" s="255"/>
      <c r="N16" s="255"/>
      <c r="O16" s="255"/>
      <c r="P16" s="255"/>
      <c r="Q16" s="255"/>
      <c r="R16" s="255"/>
      <c r="S16" s="255"/>
      <c r="T16" s="255"/>
      <c r="U16" s="255"/>
      <c r="V16" s="255"/>
      <c r="W16" s="255"/>
      <c r="X16" s="255"/>
      <c r="Y16" s="255"/>
    </row>
    <row r="17" spans="1:25" ht="15">
      <c r="A17" s="255"/>
      <c r="B17" s="250">
        <v>9</v>
      </c>
      <c r="C17" s="253">
        <v>51</v>
      </c>
      <c r="D17" s="255"/>
      <c r="E17" s="255"/>
      <c r="F17" s="255"/>
      <c r="G17" s="255"/>
      <c r="H17" s="255"/>
      <c r="I17" s="255"/>
      <c r="J17" s="255"/>
      <c r="K17" s="255"/>
      <c r="L17" s="255"/>
      <c r="M17" s="255"/>
      <c r="N17" s="255"/>
      <c r="O17" s="255"/>
      <c r="P17" s="255"/>
      <c r="Q17" s="255"/>
      <c r="R17" s="255"/>
      <c r="S17" s="255"/>
      <c r="T17" s="255"/>
      <c r="U17" s="255"/>
      <c r="V17" s="255"/>
      <c r="W17" s="255"/>
      <c r="X17" s="255"/>
      <c r="Y17" s="255"/>
    </row>
    <row r="18" spans="1:25" ht="15">
      <c r="A18" s="255"/>
      <c r="B18" s="250">
        <v>10</v>
      </c>
      <c r="C18" s="253">
        <v>55</v>
      </c>
      <c r="D18" s="255"/>
      <c r="E18" s="255"/>
      <c r="F18" s="255"/>
      <c r="G18" s="255"/>
      <c r="H18" s="255"/>
      <c r="I18" s="255"/>
      <c r="J18" s="255"/>
      <c r="K18" s="255"/>
      <c r="L18" s="255"/>
      <c r="M18" s="255"/>
      <c r="N18" s="255"/>
      <c r="O18" s="255"/>
      <c r="P18" s="255"/>
      <c r="Q18" s="255"/>
      <c r="R18" s="255"/>
      <c r="S18" s="255"/>
      <c r="T18" s="255"/>
      <c r="U18" s="255"/>
      <c r="V18" s="255"/>
      <c r="W18" s="255"/>
      <c r="X18" s="255"/>
      <c r="Y18" s="255"/>
    </row>
    <row r="19" spans="1:25" ht="15">
      <c r="A19" s="255"/>
      <c r="B19" s="250">
        <v>11</v>
      </c>
      <c r="C19" s="253">
        <v>60</v>
      </c>
      <c r="D19" s="255"/>
      <c r="E19" s="255"/>
      <c r="F19" s="255"/>
      <c r="G19" s="255"/>
      <c r="H19" s="255"/>
      <c r="I19" s="255"/>
      <c r="J19" s="255"/>
      <c r="K19" s="255"/>
      <c r="L19" s="255"/>
      <c r="M19" s="255"/>
      <c r="N19" s="255"/>
      <c r="O19" s="255"/>
      <c r="P19" s="255"/>
      <c r="Q19" s="255"/>
      <c r="R19" s="255"/>
      <c r="S19" s="255"/>
      <c r="T19" s="255"/>
      <c r="U19" s="255"/>
      <c r="V19" s="255"/>
      <c r="W19" s="255"/>
      <c r="X19" s="255"/>
      <c r="Y19" s="255"/>
    </row>
    <row r="20" spans="1:25" ht="15">
      <c r="A20" s="255"/>
      <c r="B20" s="250">
        <v>12</v>
      </c>
      <c r="C20" s="253">
        <v>63</v>
      </c>
      <c r="D20" s="255"/>
      <c r="E20" s="255"/>
      <c r="F20" s="255"/>
      <c r="G20" s="255"/>
      <c r="H20" s="255"/>
      <c r="I20" s="255"/>
      <c r="J20" s="255"/>
      <c r="K20" s="255"/>
      <c r="L20" s="255"/>
      <c r="M20" s="255"/>
      <c r="N20" s="255"/>
      <c r="O20" s="255"/>
      <c r="P20" s="255"/>
      <c r="Q20" s="255"/>
      <c r="R20" s="255"/>
      <c r="S20" s="255"/>
      <c r="T20" s="255"/>
      <c r="U20" s="255"/>
      <c r="V20" s="255"/>
      <c r="W20" s="255"/>
      <c r="X20" s="255"/>
      <c r="Y20" s="255"/>
    </row>
    <row r="21" spans="1:25" ht="15">
      <c r="A21" s="255"/>
      <c r="B21" s="250">
        <v>13</v>
      </c>
      <c r="C21" s="253">
        <v>65</v>
      </c>
      <c r="D21" s="255"/>
      <c r="E21" s="255"/>
      <c r="F21" s="255"/>
      <c r="G21" s="255"/>
      <c r="H21" s="255"/>
      <c r="I21" s="255"/>
      <c r="J21" s="255"/>
      <c r="K21" s="255"/>
      <c r="L21" s="255"/>
      <c r="M21" s="255"/>
      <c r="N21" s="255"/>
      <c r="O21" s="255"/>
      <c r="P21" s="255"/>
      <c r="Q21" s="255"/>
      <c r="R21" s="255"/>
      <c r="S21" s="255"/>
      <c r="T21" s="255"/>
      <c r="U21" s="255"/>
      <c r="V21" s="255"/>
      <c r="W21" s="255"/>
      <c r="X21" s="255"/>
      <c r="Y21" s="255"/>
    </row>
    <row r="22" spans="1:25" ht="15">
      <c r="A22" s="255"/>
      <c r="B22" s="250">
        <v>14</v>
      </c>
      <c r="C22" s="253">
        <v>65</v>
      </c>
      <c r="D22" s="255"/>
      <c r="E22" s="255"/>
      <c r="F22" s="255"/>
      <c r="G22" s="255"/>
      <c r="H22" s="255"/>
      <c r="I22" s="255"/>
      <c r="J22" s="255"/>
      <c r="K22" s="255"/>
      <c r="L22" s="255"/>
      <c r="M22" s="255"/>
      <c r="N22" s="255"/>
      <c r="O22" s="255"/>
      <c r="P22" s="255"/>
      <c r="Q22" s="255"/>
      <c r="R22" s="255"/>
      <c r="S22" s="255"/>
      <c r="T22" s="255"/>
      <c r="U22" s="255"/>
      <c r="V22" s="255"/>
      <c r="W22" s="255"/>
      <c r="X22" s="255"/>
      <c r="Y22" s="255"/>
    </row>
    <row r="23" spans="1:25" ht="15">
      <c r="A23" s="255"/>
      <c r="B23" s="250">
        <v>15</v>
      </c>
      <c r="C23" s="253">
        <v>66</v>
      </c>
      <c r="D23" s="255"/>
      <c r="E23" s="255"/>
      <c r="F23" s="255"/>
      <c r="G23" s="255"/>
      <c r="H23" s="255"/>
      <c r="I23" s="255"/>
      <c r="J23" s="255"/>
      <c r="K23" s="255"/>
      <c r="L23" s="255"/>
      <c r="M23" s="255"/>
      <c r="N23" s="255"/>
      <c r="O23" s="255"/>
      <c r="P23" s="255"/>
      <c r="Q23" s="255"/>
      <c r="R23" s="255"/>
      <c r="S23" s="255"/>
      <c r="T23" s="255"/>
      <c r="U23" s="255"/>
      <c r="V23" s="255"/>
      <c r="W23" s="255"/>
      <c r="X23" s="255"/>
      <c r="Y23" s="255"/>
    </row>
    <row r="24" spans="1:25" ht="15">
      <c r="A24" s="255"/>
      <c r="B24" s="250">
        <v>16</v>
      </c>
      <c r="C24" s="253">
        <v>66</v>
      </c>
      <c r="D24" s="255"/>
      <c r="E24" s="255"/>
      <c r="F24" s="255"/>
      <c r="G24" s="255"/>
      <c r="H24" s="255"/>
      <c r="I24" s="255"/>
      <c r="J24" s="255"/>
      <c r="K24" s="255"/>
      <c r="L24" s="255"/>
      <c r="M24" s="255"/>
      <c r="N24" s="255"/>
      <c r="O24" s="255"/>
      <c r="P24" s="255"/>
      <c r="Q24" s="255"/>
      <c r="R24" s="255"/>
      <c r="S24" s="255"/>
      <c r="T24" s="255"/>
      <c r="U24" s="255"/>
      <c r="V24" s="255"/>
      <c r="W24" s="255"/>
      <c r="X24" s="255"/>
      <c r="Y24" s="255"/>
    </row>
    <row r="25" spans="1:25" ht="15">
      <c r="A25" s="255"/>
      <c r="B25" s="250">
        <v>17</v>
      </c>
      <c r="C25" s="253">
        <v>66</v>
      </c>
      <c r="D25" s="255"/>
      <c r="E25" s="255"/>
      <c r="F25" s="255"/>
      <c r="G25" s="255"/>
      <c r="H25" s="255"/>
      <c r="I25" s="255"/>
      <c r="J25" s="255"/>
      <c r="K25" s="255"/>
      <c r="L25" s="255"/>
      <c r="M25" s="255"/>
      <c r="N25" s="255"/>
      <c r="O25" s="255"/>
      <c r="P25" s="255"/>
      <c r="Q25" s="255"/>
      <c r="R25" s="255"/>
      <c r="S25" s="255"/>
      <c r="T25" s="255"/>
      <c r="U25" s="255"/>
      <c r="V25" s="255"/>
      <c r="W25" s="255"/>
      <c r="X25" s="255"/>
      <c r="Y25" s="255"/>
    </row>
    <row r="26" spans="1:25" ht="15">
      <c r="A26" s="255"/>
      <c r="B26" s="250">
        <v>18</v>
      </c>
      <c r="C26" s="253">
        <v>67</v>
      </c>
      <c r="D26" s="255"/>
      <c r="E26" s="255"/>
      <c r="F26" s="255"/>
      <c r="G26" s="255"/>
      <c r="H26" s="255"/>
      <c r="I26" s="255"/>
      <c r="J26" s="255"/>
      <c r="K26" s="255"/>
      <c r="L26" s="255"/>
      <c r="M26" s="255"/>
      <c r="N26" s="255"/>
      <c r="O26" s="255"/>
      <c r="P26" s="255"/>
      <c r="Q26" s="255"/>
      <c r="R26" s="255"/>
      <c r="S26" s="255"/>
      <c r="T26" s="255"/>
      <c r="U26" s="255"/>
      <c r="V26" s="255"/>
      <c r="W26" s="255"/>
      <c r="X26" s="255"/>
      <c r="Y26" s="255"/>
    </row>
    <row r="27" spans="1:25" ht="15">
      <c r="A27" s="255"/>
      <c r="B27" s="250">
        <v>19</v>
      </c>
      <c r="C27" s="253">
        <v>67</v>
      </c>
      <c r="D27" s="255"/>
      <c r="E27" s="255"/>
      <c r="F27" s="255"/>
      <c r="G27" s="255"/>
      <c r="H27" s="255"/>
      <c r="I27" s="255"/>
      <c r="J27" s="255"/>
      <c r="K27" s="255"/>
      <c r="L27" s="255"/>
      <c r="M27" s="255"/>
      <c r="N27" s="255"/>
      <c r="O27" s="255"/>
      <c r="P27" s="255"/>
      <c r="Q27" s="255"/>
      <c r="R27" s="255"/>
      <c r="S27" s="255"/>
      <c r="T27" s="255"/>
      <c r="U27" s="255"/>
      <c r="V27" s="255"/>
      <c r="W27" s="255"/>
      <c r="X27" s="255"/>
      <c r="Y27" s="255"/>
    </row>
    <row r="28" spans="1:25" ht="15">
      <c r="A28" s="255"/>
      <c r="B28" s="250">
        <v>20</v>
      </c>
      <c r="C28" s="253">
        <v>67</v>
      </c>
      <c r="D28" s="255"/>
      <c r="E28" s="255"/>
      <c r="F28" s="255"/>
      <c r="G28" s="255"/>
      <c r="H28" s="255"/>
      <c r="I28" s="255"/>
      <c r="J28" s="255"/>
      <c r="K28" s="255"/>
      <c r="L28" s="255"/>
      <c r="M28" s="255"/>
      <c r="N28" s="255"/>
      <c r="O28" s="255"/>
      <c r="P28" s="255"/>
      <c r="Q28" s="255"/>
      <c r="R28" s="255"/>
      <c r="S28" s="255"/>
      <c r="T28" s="255"/>
      <c r="U28" s="255"/>
      <c r="V28" s="255"/>
      <c r="W28" s="255"/>
      <c r="X28" s="255"/>
      <c r="Y28" s="255"/>
    </row>
    <row r="29" spans="1:25" ht="15">
      <c r="A29" s="255"/>
      <c r="B29" s="250">
        <v>21</v>
      </c>
      <c r="C29" s="253">
        <v>68</v>
      </c>
      <c r="D29" s="255"/>
      <c r="E29" s="255"/>
      <c r="F29" s="255"/>
      <c r="G29" s="255"/>
      <c r="H29" s="255"/>
      <c r="I29" s="255"/>
      <c r="J29" s="255"/>
      <c r="K29" s="255"/>
      <c r="L29" s="255"/>
      <c r="M29" s="255"/>
      <c r="N29" s="255"/>
      <c r="O29" s="255"/>
      <c r="P29" s="255"/>
      <c r="Q29" s="255"/>
      <c r="R29" s="255"/>
      <c r="S29" s="255"/>
      <c r="T29" s="255"/>
      <c r="U29" s="255"/>
      <c r="V29" s="255"/>
      <c r="W29" s="255"/>
      <c r="X29" s="255"/>
      <c r="Y29" s="255"/>
    </row>
    <row r="30" spans="1:25" ht="15">
      <c r="A30" s="255"/>
      <c r="B30" s="250">
        <v>22</v>
      </c>
      <c r="C30" s="253">
        <v>68</v>
      </c>
      <c r="D30" s="255"/>
      <c r="E30" s="255"/>
      <c r="F30" s="255"/>
      <c r="G30" s="255"/>
      <c r="H30" s="255"/>
      <c r="I30" s="255"/>
      <c r="J30" s="255"/>
      <c r="K30" s="255"/>
      <c r="L30" s="255"/>
      <c r="M30" s="255"/>
      <c r="N30" s="255"/>
      <c r="O30" s="255"/>
      <c r="P30" s="255"/>
      <c r="Q30" s="255"/>
      <c r="R30" s="255"/>
      <c r="S30" s="255"/>
      <c r="T30" s="255"/>
      <c r="U30" s="255"/>
      <c r="V30" s="255"/>
      <c r="W30" s="255"/>
      <c r="X30" s="255"/>
      <c r="Y30" s="255"/>
    </row>
    <row r="31" spans="1:25" ht="15">
      <c r="A31" s="255"/>
      <c r="B31" s="250">
        <v>23</v>
      </c>
      <c r="C31" s="253">
        <v>68</v>
      </c>
      <c r="D31" s="255"/>
      <c r="E31" s="255"/>
      <c r="F31" s="255"/>
      <c r="G31" s="255"/>
      <c r="H31" s="255"/>
      <c r="I31" s="255"/>
      <c r="J31" s="255"/>
      <c r="K31" s="255"/>
      <c r="L31" s="255"/>
      <c r="M31" s="255"/>
      <c r="N31" s="255"/>
      <c r="O31" s="255"/>
      <c r="P31" s="255"/>
      <c r="Q31" s="255"/>
      <c r="R31" s="255"/>
      <c r="S31" s="255"/>
      <c r="T31" s="255"/>
      <c r="U31" s="255"/>
      <c r="V31" s="255"/>
      <c r="W31" s="255"/>
      <c r="X31" s="255"/>
      <c r="Y31" s="255"/>
    </row>
    <row r="32" spans="1:25" ht="15">
      <c r="A32" s="255"/>
      <c r="B32" s="250">
        <v>24</v>
      </c>
      <c r="C32" s="253">
        <v>68</v>
      </c>
      <c r="D32" s="255"/>
      <c r="E32" s="255"/>
      <c r="F32" s="255"/>
      <c r="G32" s="255"/>
      <c r="H32" s="255"/>
      <c r="I32" s="255"/>
      <c r="J32" s="255"/>
      <c r="K32" s="255"/>
      <c r="L32" s="255"/>
      <c r="M32" s="255"/>
      <c r="N32" s="255"/>
      <c r="O32" s="255"/>
      <c r="P32" s="255"/>
      <c r="Q32" s="255"/>
      <c r="R32" s="255"/>
      <c r="S32" s="255"/>
      <c r="T32" s="255"/>
      <c r="U32" s="255"/>
      <c r="V32" s="255"/>
      <c r="W32" s="255"/>
      <c r="X32" s="255"/>
      <c r="Y32" s="255"/>
    </row>
    <row r="33" spans="1:25" ht="15">
      <c r="A33" s="255"/>
      <c r="B33" s="250">
        <v>25</v>
      </c>
      <c r="C33" s="253">
        <v>68</v>
      </c>
      <c r="D33" s="255"/>
      <c r="E33" s="255"/>
      <c r="F33" s="255"/>
      <c r="G33" s="255"/>
      <c r="H33" s="255"/>
      <c r="I33" s="255"/>
      <c r="J33" s="255"/>
      <c r="K33" s="255"/>
      <c r="L33" s="255"/>
      <c r="M33" s="255"/>
      <c r="N33" s="255"/>
      <c r="O33" s="255"/>
      <c r="P33" s="255"/>
      <c r="Q33" s="255"/>
      <c r="R33" s="255"/>
      <c r="S33" s="255"/>
      <c r="T33" s="255"/>
      <c r="U33" s="255"/>
      <c r="V33" s="255"/>
      <c r="W33" s="255"/>
      <c r="X33" s="255"/>
      <c r="Y33" s="255"/>
    </row>
    <row r="34" spans="1:25" ht="15">
      <c r="A34" s="255"/>
      <c r="B34" s="250">
        <v>26</v>
      </c>
      <c r="C34" s="253">
        <v>69</v>
      </c>
      <c r="D34" s="255"/>
      <c r="E34" s="255"/>
      <c r="F34" s="255"/>
      <c r="G34" s="255"/>
      <c r="H34" s="255"/>
      <c r="I34" s="255"/>
      <c r="J34" s="255"/>
      <c r="K34" s="255"/>
      <c r="L34" s="255"/>
      <c r="M34" s="255"/>
      <c r="N34" s="255"/>
      <c r="O34" s="255"/>
      <c r="P34" s="255"/>
      <c r="Q34" s="255"/>
      <c r="R34" s="255"/>
      <c r="S34" s="255"/>
      <c r="T34" s="255"/>
      <c r="U34" s="255"/>
      <c r="V34" s="255"/>
      <c r="W34" s="255"/>
      <c r="X34" s="255"/>
      <c r="Y34" s="255"/>
    </row>
    <row r="35" spans="1:25" ht="15">
      <c r="A35" s="255"/>
      <c r="B35" s="250">
        <v>27</v>
      </c>
      <c r="C35" s="253">
        <v>69</v>
      </c>
      <c r="D35" s="255"/>
      <c r="E35" s="255"/>
      <c r="F35" s="255"/>
      <c r="G35" s="255"/>
      <c r="H35" s="255"/>
      <c r="I35" s="255"/>
      <c r="J35" s="255"/>
      <c r="K35" s="255"/>
      <c r="L35" s="255"/>
      <c r="M35" s="255"/>
      <c r="N35" s="255"/>
      <c r="O35" s="255"/>
      <c r="P35" s="255"/>
      <c r="Q35" s="255"/>
      <c r="R35" s="255"/>
      <c r="S35" s="255"/>
      <c r="T35" s="255"/>
      <c r="U35" s="255"/>
      <c r="V35" s="255"/>
      <c r="W35" s="255"/>
      <c r="X35" s="255"/>
      <c r="Y35" s="255"/>
    </row>
    <row r="36" spans="1:25" ht="15">
      <c r="A36" s="255"/>
      <c r="B36" s="250">
        <v>28</v>
      </c>
      <c r="C36" s="253">
        <v>69</v>
      </c>
      <c r="D36" s="255"/>
      <c r="E36" s="255"/>
      <c r="F36" s="255"/>
      <c r="G36" s="255"/>
      <c r="H36" s="255"/>
      <c r="I36" s="255"/>
      <c r="J36" s="255"/>
      <c r="K36" s="255"/>
      <c r="L36" s="255"/>
      <c r="M36" s="255"/>
      <c r="N36" s="255"/>
      <c r="O36" s="255"/>
      <c r="P36" s="255"/>
      <c r="Q36" s="255"/>
      <c r="R36" s="255"/>
      <c r="S36" s="255"/>
      <c r="T36" s="255"/>
      <c r="U36" s="255"/>
      <c r="V36" s="255"/>
      <c r="W36" s="255"/>
      <c r="X36" s="255"/>
      <c r="Y36" s="255"/>
    </row>
    <row r="37" spans="1:25" ht="15">
      <c r="A37" s="255"/>
      <c r="B37" s="250">
        <v>29</v>
      </c>
      <c r="C37" s="253">
        <v>69</v>
      </c>
      <c r="D37" s="255"/>
      <c r="E37" s="255"/>
      <c r="F37" s="255"/>
      <c r="G37" s="255"/>
      <c r="H37" s="255"/>
      <c r="I37" s="255"/>
      <c r="J37" s="255"/>
      <c r="K37" s="255"/>
      <c r="L37" s="255"/>
      <c r="M37" s="255"/>
      <c r="N37" s="255"/>
      <c r="O37" s="255"/>
      <c r="P37" s="255"/>
      <c r="Q37" s="255"/>
      <c r="R37" s="255"/>
      <c r="S37" s="255"/>
      <c r="T37" s="255"/>
      <c r="U37" s="255"/>
      <c r="V37" s="255"/>
      <c r="W37" s="255"/>
      <c r="X37" s="255"/>
      <c r="Y37" s="255"/>
    </row>
    <row r="38" spans="1:25" ht="15">
      <c r="A38" s="255"/>
      <c r="B38" s="250">
        <v>30</v>
      </c>
      <c r="C38" s="253">
        <v>69</v>
      </c>
      <c r="D38" s="255"/>
      <c r="E38" s="255"/>
      <c r="F38" s="255"/>
      <c r="G38" s="255"/>
      <c r="H38" s="255"/>
      <c r="I38" s="255"/>
      <c r="J38" s="255"/>
      <c r="K38" s="255"/>
      <c r="L38" s="255"/>
      <c r="M38" s="255"/>
      <c r="N38" s="255"/>
      <c r="O38" s="255"/>
      <c r="P38" s="255"/>
      <c r="Q38" s="255"/>
      <c r="R38" s="255"/>
      <c r="S38" s="255"/>
      <c r="T38" s="255"/>
      <c r="U38" s="255"/>
      <c r="V38" s="255"/>
      <c r="W38" s="255"/>
      <c r="X38" s="255"/>
      <c r="Y38" s="255"/>
    </row>
    <row r="39" spans="1:25" ht="15">
      <c r="A39" s="255"/>
      <c r="B39" s="250">
        <v>31</v>
      </c>
      <c r="C39" s="253">
        <v>69</v>
      </c>
      <c r="D39" s="255"/>
      <c r="E39" s="255"/>
      <c r="F39" s="255"/>
      <c r="G39" s="255"/>
      <c r="H39" s="255"/>
      <c r="I39" s="255"/>
      <c r="J39" s="255"/>
      <c r="K39" s="255"/>
      <c r="L39" s="255"/>
      <c r="M39" s="255"/>
      <c r="N39" s="255"/>
      <c r="O39" s="255"/>
      <c r="P39" s="255"/>
      <c r="Q39" s="255"/>
      <c r="R39" s="255"/>
      <c r="S39" s="255"/>
      <c r="T39" s="255"/>
      <c r="U39" s="255"/>
      <c r="V39" s="255"/>
      <c r="W39" s="255"/>
      <c r="X39" s="255"/>
      <c r="Y39" s="255"/>
    </row>
    <row r="40" spans="1:25" ht="15">
      <c r="A40" s="255"/>
      <c r="B40" s="250">
        <v>32</v>
      </c>
      <c r="C40" s="253">
        <v>69</v>
      </c>
      <c r="D40" s="255"/>
      <c r="E40" s="255"/>
      <c r="F40" s="255"/>
      <c r="G40" s="255"/>
      <c r="H40" s="255"/>
      <c r="I40" s="255"/>
      <c r="J40" s="255"/>
      <c r="K40" s="255"/>
      <c r="L40" s="255"/>
      <c r="M40" s="255"/>
      <c r="N40" s="255"/>
      <c r="O40" s="255"/>
      <c r="P40" s="255"/>
      <c r="Q40" s="255"/>
      <c r="R40" s="255"/>
      <c r="S40" s="255"/>
      <c r="T40" s="255"/>
      <c r="U40" s="255"/>
      <c r="V40" s="255"/>
      <c r="W40" s="255"/>
      <c r="X40" s="255"/>
      <c r="Y40" s="255"/>
    </row>
    <row r="41" spans="1:25" ht="15">
      <c r="A41" s="255"/>
      <c r="B41" s="250">
        <v>33</v>
      </c>
      <c r="C41" s="253">
        <v>69</v>
      </c>
      <c r="D41" s="255"/>
      <c r="E41" s="255"/>
      <c r="F41" s="255"/>
      <c r="G41" s="255"/>
      <c r="H41" s="255"/>
      <c r="I41" s="255"/>
      <c r="J41" s="255"/>
      <c r="K41" s="255"/>
      <c r="L41" s="255"/>
      <c r="M41" s="255"/>
      <c r="N41" s="255"/>
      <c r="O41" s="255"/>
      <c r="P41" s="255"/>
      <c r="Q41" s="255"/>
      <c r="R41" s="255"/>
      <c r="S41" s="255"/>
      <c r="T41" s="255"/>
      <c r="U41" s="255"/>
      <c r="V41" s="255"/>
      <c r="W41" s="255"/>
      <c r="X41" s="255"/>
      <c r="Y41" s="255"/>
    </row>
    <row r="42" spans="1:25" ht="15">
      <c r="A42" s="255"/>
      <c r="B42" s="250">
        <v>34</v>
      </c>
      <c r="C42" s="253">
        <v>69</v>
      </c>
      <c r="D42" s="255"/>
      <c r="E42" s="255"/>
      <c r="F42" s="255"/>
      <c r="G42" s="255"/>
      <c r="H42" s="255"/>
      <c r="I42" s="255"/>
      <c r="J42" s="255"/>
      <c r="K42" s="255"/>
      <c r="L42" s="255"/>
      <c r="M42" s="255"/>
      <c r="N42" s="255"/>
      <c r="O42" s="255"/>
      <c r="P42" s="255"/>
      <c r="Q42" s="255"/>
      <c r="R42" s="255"/>
      <c r="S42" s="255"/>
      <c r="T42" s="255"/>
      <c r="U42" s="255"/>
      <c r="V42" s="255"/>
      <c r="W42" s="255"/>
      <c r="X42" s="255"/>
      <c r="Y42" s="255"/>
    </row>
    <row r="43" spans="1:25" ht="15">
      <c r="A43" s="255"/>
      <c r="B43" s="250">
        <v>35</v>
      </c>
      <c r="C43" s="253">
        <v>69</v>
      </c>
      <c r="D43" s="255"/>
      <c r="E43" s="255"/>
      <c r="F43" s="255"/>
      <c r="G43" s="255"/>
      <c r="H43" s="255"/>
      <c r="I43" s="255"/>
      <c r="J43" s="255"/>
      <c r="K43" s="255"/>
      <c r="L43" s="255"/>
      <c r="M43" s="255"/>
      <c r="N43" s="255"/>
      <c r="O43" s="255"/>
      <c r="P43" s="255"/>
      <c r="Q43" s="255"/>
      <c r="R43" s="255"/>
      <c r="S43" s="255"/>
      <c r="T43" s="255"/>
      <c r="U43" s="255"/>
      <c r="V43" s="255"/>
      <c r="W43" s="255"/>
      <c r="X43" s="255"/>
      <c r="Y43" s="255"/>
    </row>
    <row r="44" spans="1:25" ht="15">
      <c r="A44" s="255"/>
      <c r="B44" s="250">
        <v>36</v>
      </c>
      <c r="C44" s="253">
        <v>69</v>
      </c>
      <c r="D44" s="255"/>
      <c r="E44" s="255"/>
      <c r="F44" s="255"/>
      <c r="G44" s="255"/>
      <c r="H44" s="255"/>
      <c r="I44" s="255"/>
      <c r="J44" s="255"/>
      <c r="K44" s="255"/>
      <c r="L44" s="255"/>
      <c r="M44" s="255"/>
      <c r="N44" s="255"/>
      <c r="O44" s="255"/>
      <c r="P44" s="255"/>
      <c r="Q44" s="255"/>
      <c r="R44" s="255"/>
      <c r="S44" s="255"/>
      <c r="T44" s="255"/>
      <c r="U44" s="255"/>
      <c r="V44" s="255"/>
      <c r="W44" s="255"/>
      <c r="X44" s="255"/>
      <c r="Y44" s="255"/>
    </row>
    <row r="45" spans="1:25" ht="15">
      <c r="A45" s="255"/>
      <c r="B45" s="250">
        <v>37</v>
      </c>
      <c r="C45" s="253">
        <v>69</v>
      </c>
      <c r="D45" s="255"/>
      <c r="E45" s="255"/>
      <c r="F45" s="255"/>
      <c r="G45" s="255"/>
      <c r="H45" s="255"/>
      <c r="I45" s="255"/>
      <c r="J45" s="255"/>
      <c r="K45" s="255"/>
      <c r="L45" s="255"/>
      <c r="M45" s="255"/>
      <c r="N45" s="255"/>
      <c r="O45" s="255"/>
      <c r="P45" s="255"/>
      <c r="Q45" s="255"/>
      <c r="R45" s="255"/>
      <c r="S45" s="255"/>
      <c r="T45" s="255"/>
      <c r="U45" s="255"/>
      <c r="V45" s="255"/>
      <c r="W45" s="255"/>
      <c r="X45" s="255"/>
      <c r="Y45" s="255"/>
    </row>
    <row r="46" spans="1:25" ht="15">
      <c r="A46" s="255"/>
      <c r="B46" s="250">
        <v>38</v>
      </c>
      <c r="C46" s="253">
        <v>69</v>
      </c>
      <c r="D46" s="255"/>
      <c r="E46" s="255"/>
      <c r="F46" s="255"/>
      <c r="G46" s="255"/>
      <c r="H46" s="255"/>
      <c r="I46" s="255"/>
      <c r="J46" s="255"/>
      <c r="K46" s="255"/>
      <c r="L46" s="255"/>
      <c r="M46" s="255"/>
      <c r="N46" s="255"/>
      <c r="O46" s="255"/>
      <c r="P46" s="255"/>
      <c r="Q46" s="255"/>
      <c r="R46" s="255"/>
      <c r="S46" s="255"/>
      <c r="T46" s="255"/>
      <c r="U46" s="255"/>
      <c r="V46" s="255"/>
      <c r="W46" s="255"/>
      <c r="X46" s="255"/>
      <c r="Y46" s="255"/>
    </row>
    <row r="47" spans="1:25" ht="15">
      <c r="A47" s="255"/>
      <c r="B47" s="250">
        <v>39</v>
      </c>
      <c r="C47" s="253">
        <v>69</v>
      </c>
      <c r="D47" s="255"/>
      <c r="E47" s="255"/>
      <c r="F47" s="255"/>
      <c r="G47" s="255"/>
      <c r="H47" s="255"/>
      <c r="I47" s="255"/>
      <c r="J47" s="255"/>
      <c r="K47" s="255"/>
      <c r="L47" s="255"/>
      <c r="M47" s="255"/>
      <c r="N47" s="255"/>
      <c r="O47" s="255"/>
      <c r="P47" s="255"/>
      <c r="Q47" s="255"/>
      <c r="R47" s="255"/>
      <c r="S47" s="255"/>
      <c r="T47" s="255"/>
      <c r="U47" s="255"/>
      <c r="V47" s="255"/>
      <c r="W47" s="255"/>
      <c r="X47" s="255"/>
      <c r="Y47" s="255"/>
    </row>
    <row r="48" spans="1:25" ht="15">
      <c r="A48" s="255"/>
      <c r="B48" s="250">
        <v>40</v>
      </c>
      <c r="C48" s="253">
        <v>69</v>
      </c>
      <c r="D48" s="255"/>
      <c r="E48" s="255"/>
      <c r="F48" s="255"/>
      <c r="G48" s="255"/>
      <c r="H48" s="255"/>
      <c r="I48" s="255"/>
      <c r="J48" s="255"/>
      <c r="K48" s="255"/>
      <c r="L48" s="255"/>
      <c r="M48" s="255"/>
      <c r="N48" s="255"/>
      <c r="O48" s="255"/>
      <c r="P48" s="255"/>
      <c r="Q48" s="255"/>
      <c r="R48" s="255"/>
      <c r="S48" s="255"/>
      <c r="T48" s="255"/>
      <c r="U48" s="255"/>
      <c r="V48" s="255"/>
      <c r="W48" s="255"/>
      <c r="X48" s="255"/>
      <c r="Y48" s="255"/>
    </row>
    <row r="49" spans="1:25" ht="15">
      <c r="A49" s="255"/>
      <c r="B49" s="250">
        <v>41</v>
      </c>
      <c r="C49" s="253">
        <v>69</v>
      </c>
      <c r="D49" s="255"/>
      <c r="E49" s="255"/>
      <c r="F49" s="255"/>
      <c r="G49" s="255"/>
      <c r="H49" s="255"/>
      <c r="I49" s="255"/>
      <c r="J49" s="255"/>
      <c r="K49" s="255"/>
      <c r="L49" s="255"/>
      <c r="M49" s="255"/>
      <c r="N49" s="255"/>
      <c r="O49" s="255"/>
      <c r="P49" s="255"/>
      <c r="Q49" s="255"/>
      <c r="R49" s="255"/>
      <c r="S49" s="255"/>
      <c r="T49" s="255"/>
      <c r="U49" s="255"/>
      <c r="V49" s="255"/>
      <c r="W49" s="255"/>
      <c r="X49" s="255"/>
      <c r="Y49" s="255"/>
    </row>
    <row r="50" spans="1:25" ht="15">
      <c r="A50" s="255"/>
      <c r="B50" s="250">
        <v>42</v>
      </c>
      <c r="C50" s="253">
        <v>69</v>
      </c>
      <c r="D50" s="255"/>
      <c r="E50" s="255"/>
      <c r="F50" s="255"/>
      <c r="G50" s="255"/>
      <c r="H50" s="255"/>
      <c r="I50" s="255"/>
      <c r="J50" s="255"/>
      <c r="K50" s="255"/>
      <c r="L50" s="255"/>
      <c r="M50" s="255"/>
      <c r="N50" s="255"/>
      <c r="O50" s="255"/>
      <c r="P50" s="255"/>
      <c r="Q50" s="255"/>
      <c r="R50" s="255"/>
      <c r="S50" s="255"/>
      <c r="T50" s="255"/>
      <c r="U50" s="255"/>
      <c r="V50" s="255"/>
      <c r="W50" s="255"/>
      <c r="X50" s="255"/>
      <c r="Y50" s="255"/>
    </row>
    <row r="51" spans="1:25" ht="15">
      <c r="A51" s="255"/>
      <c r="B51" s="250">
        <v>43</v>
      </c>
      <c r="C51" s="253">
        <v>69</v>
      </c>
      <c r="D51" s="255"/>
      <c r="E51" s="255"/>
      <c r="F51" s="255"/>
      <c r="G51" s="255"/>
      <c r="H51" s="255"/>
      <c r="I51" s="255"/>
      <c r="J51" s="255"/>
      <c r="K51" s="255"/>
      <c r="L51" s="255"/>
      <c r="M51" s="255"/>
      <c r="N51" s="255"/>
      <c r="O51" s="255"/>
      <c r="P51" s="255"/>
      <c r="Q51" s="255"/>
      <c r="R51" s="255"/>
      <c r="S51" s="255"/>
      <c r="T51" s="255"/>
      <c r="U51" s="255"/>
      <c r="V51" s="255"/>
      <c r="W51" s="255"/>
      <c r="X51" s="255"/>
      <c r="Y51" s="255"/>
    </row>
    <row r="52" spans="1:25" ht="15">
      <c r="A52" s="255"/>
      <c r="B52" s="250">
        <v>44</v>
      </c>
      <c r="C52" s="253">
        <v>69</v>
      </c>
      <c r="D52" s="255"/>
      <c r="E52" s="255"/>
      <c r="F52" s="255"/>
      <c r="G52" s="255"/>
      <c r="H52" s="255"/>
      <c r="I52" s="255"/>
      <c r="J52" s="255"/>
      <c r="K52" s="255"/>
      <c r="L52" s="255"/>
      <c r="M52" s="255"/>
      <c r="N52" s="255"/>
      <c r="O52" s="255"/>
      <c r="P52" s="255"/>
      <c r="Q52" s="255"/>
      <c r="R52" s="255"/>
      <c r="S52" s="255"/>
      <c r="T52" s="255"/>
      <c r="U52" s="255"/>
      <c r="V52" s="255"/>
      <c r="W52" s="255"/>
      <c r="X52" s="255"/>
      <c r="Y52" s="255"/>
    </row>
    <row r="53" spans="1:25" ht="15">
      <c r="A53" s="255"/>
      <c r="B53" s="250">
        <v>45</v>
      </c>
      <c r="C53" s="253">
        <v>69</v>
      </c>
      <c r="D53" s="255"/>
      <c r="E53" s="255"/>
      <c r="F53" s="255"/>
      <c r="G53" s="255"/>
      <c r="H53" s="255"/>
      <c r="I53" s="255"/>
      <c r="J53" s="255"/>
      <c r="K53" s="255"/>
      <c r="L53" s="255"/>
      <c r="M53" s="255"/>
      <c r="N53" s="255"/>
      <c r="O53" s="255"/>
      <c r="P53" s="255"/>
      <c r="Q53" s="255"/>
      <c r="R53" s="255"/>
      <c r="S53" s="255"/>
      <c r="T53" s="255"/>
      <c r="U53" s="255"/>
      <c r="V53" s="255"/>
      <c r="W53" s="255"/>
      <c r="X53" s="255"/>
      <c r="Y53" s="255"/>
    </row>
    <row r="54" spans="1:25" ht="15">
      <c r="A54" s="255"/>
      <c r="B54" s="250">
        <v>46</v>
      </c>
      <c r="C54" s="253">
        <v>69</v>
      </c>
      <c r="D54" s="255"/>
      <c r="E54" s="255"/>
      <c r="F54" s="255"/>
      <c r="G54" s="255"/>
      <c r="H54" s="255"/>
      <c r="I54" s="255"/>
      <c r="J54" s="255"/>
      <c r="K54" s="255"/>
      <c r="L54" s="255"/>
      <c r="M54" s="255"/>
      <c r="N54" s="255"/>
      <c r="O54" s="255"/>
      <c r="P54" s="255"/>
      <c r="Q54" s="255"/>
      <c r="R54" s="255"/>
      <c r="S54" s="255"/>
      <c r="T54" s="255"/>
      <c r="U54" s="255"/>
      <c r="V54" s="255"/>
      <c r="W54" s="255"/>
      <c r="X54" s="255"/>
      <c r="Y54" s="255"/>
    </row>
    <row r="55" spans="1:25" ht="15">
      <c r="A55" s="255"/>
      <c r="B55" s="250">
        <v>47</v>
      </c>
      <c r="C55" s="253">
        <v>69</v>
      </c>
      <c r="D55" s="255"/>
      <c r="E55" s="255"/>
      <c r="F55" s="255"/>
      <c r="G55" s="255"/>
      <c r="H55" s="255"/>
      <c r="I55" s="255"/>
      <c r="J55" s="255"/>
      <c r="K55" s="255"/>
      <c r="L55" s="255"/>
      <c r="M55" s="255"/>
      <c r="N55" s="255"/>
      <c r="O55" s="255"/>
      <c r="P55" s="255"/>
      <c r="Q55" s="255"/>
      <c r="R55" s="255"/>
      <c r="S55" s="255"/>
      <c r="T55" s="255"/>
      <c r="U55" s="255"/>
      <c r="V55" s="255"/>
      <c r="W55" s="255"/>
      <c r="X55" s="255"/>
      <c r="Y55" s="255"/>
    </row>
    <row r="56" spans="1:25" ht="15">
      <c r="A56" s="255"/>
      <c r="B56" s="250">
        <v>48</v>
      </c>
      <c r="C56" s="253">
        <v>69</v>
      </c>
      <c r="D56" s="255"/>
      <c r="E56" s="255"/>
      <c r="F56" s="255"/>
      <c r="G56" s="255"/>
      <c r="H56" s="255"/>
      <c r="I56" s="255"/>
      <c r="J56" s="255"/>
      <c r="K56" s="255"/>
      <c r="L56" s="255"/>
      <c r="M56" s="255"/>
      <c r="N56" s="255"/>
      <c r="O56" s="255"/>
      <c r="P56" s="255"/>
      <c r="Q56" s="255"/>
      <c r="R56" s="255"/>
      <c r="S56" s="255"/>
      <c r="T56" s="255"/>
      <c r="U56" s="255"/>
      <c r="V56" s="255"/>
      <c r="W56" s="255"/>
      <c r="X56" s="255"/>
      <c r="Y56" s="255"/>
    </row>
    <row r="57" spans="1:25" ht="15">
      <c r="A57" s="255"/>
      <c r="B57" s="250">
        <v>49</v>
      </c>
      <c r="C57" s="253">
        <v>69</v>
      </c>
      <c r="D57" s="255"/>
      <c r="E57" s="255"/>
      <c r="F57" s="255"/>
      <c r="G57" s="255"/>
      <c r="H57" s="255"/>
      <c r="I57" s="255"/>
      <c r="J57" s="255"/>
      <c r="K57" s="255"/>
      <c r="L57" s="255"/>
      <c r="M57" s="255"/>
      <c r="N57" s="255"/>
      <c r="O57" s="255"/>
      <c r="P57" s="255"/>
      <c r="Q57" s="255"/>
      <c r="R57" s="255"/>
      <c r="S57" s="255"/>
      <c r="T57" s="255"/>
      <c r="U57" s="255"/>
      <c r="V57" s="255"/>
      <c r="W57" s="255"/>
      <c r="X57" s="255"/>
      <c r="Y57" s="255"/>
    </row>
    <row r="58" spans="1:25" ht="15">
      <c r="A58" s="255"/>
      <c r="B58" s="250">
        <v>50</v>
      </c>
      <c r="C58" s="253">
        <v>69</v>
      </c>
      <c r="D58" s="255"/>
      <c r="E58" s="255"/>
      <c r="F58" s="255"/>
      <c r="G58" s="255"/>
      <c r="H58" s="255"/>
      <c r="I58" s="255"/>
      <c r="J58" s="255"/>
      <c r="K58" s="255"/>
      <c r="L58" s="255"/>
      <c r="M58" s="255"/>
      <c r="N58" s="255"/>
      <c r="O58" s="255"/>
      <c r="P58" s="255"/>
      <c r="Q58" s="255"/>
      <c r="R58" s="255"/>
      <c r="S58" s="255"/>
      <c r="T58" s="255"/>
      <c r="U58" s="255"/>
      <c r="V58" s="255"/>
      <c r="W58" s="255"/>
      <c r="X58" s="255"/>
      <c r="Y58" s="255"/>
    </row>
    <row r="59" spans="1:25" ht="15">
      <c r="A59" s="255"/>
      <c r="B59" s="250">
        <v>51</v>
      </c>
      <c r="C59" s="253">
        <v>69</v>
      </c>
      <c r="D59" s="255"/>
      <c r="E59" s="255"/>
      <c r="F59" s="255"/>
      <c r="G59" s="255"/>
      <c r="H59" s="255"/>
      <c r="I59" s="255"/>
      <c r="J59" s="255"/>
      <c r="K59" s="255"/>
      <c r="L59" s="255"/>
      <c r="M59" s="255"/>
      <c r="N59" s="255"/>
      <c r="O59" s="255"/>
      <c r="P59" s="255"/>
      <c r="Q59" s="255"/>
      <c r="R59" s="255"/>
      <c r="S59" s="255"/>
      <c r="T59" s="255"/>
      <c r="U59" s="255"/>
      <c r="V59" s="255"/>
      <c r="W59" s="255"/>
      <c r="X59" s="255"/>
      <c r="Y59" s="255"/>
    </row>
    <row r="60" spans="1:25" ht="15">
      <c r="A60" s="255"/>
      <c r="B60" s="250">
        <v>52</v>
      </c>
      <c r="C60" s="253">
        <v>69</v>
      </c>
      <c r="D60" s="255"/>
      <c r="E60" s="255"/>
      <c r="F60" s="255"/>
      <c r="G60" s="255"/>
      <c r="H60" s="255"/>
      <c r="I60" s="255"/>
      <c r="J60" s="255"/>
      <c r="K60" s="255"/>
      <c r="L60" s="255"/>
      <c r="M60" s="255"/>
      <c r="N60" s="255"/>
      <c r="O60" s="255"/>
      <c r="P60" s="255"/>
      <c r="Q60" s="255"/>
      <c r="R60" s="255"/>
      <c r="S60" s="255"/>
      <c r="T60" s="255"/>
      <c r="U60" s="255"/>
      <c r="V60" s="255"/>
      <c r="W60" s="255"/>
      <c r="X60" s="255"/>
      <c r="Y60" s="255"/>
    </row>
    <row r="61" spans="1:25" ht="15">
      <c r="A61" s="255"/>
      <c r="B61" s="250">
        <v>53</v>
      </c>
      <c r="C61" s="253">
        <v>69</v>
      </c>
      <c r="D61" s="255"/>
      <c r="E61" s="255"/>
      <c r="F61" s="255"/>
      <c r="G61" s="255"/>
      <c r="H61" s="255"/>
      <c r="I61" s="255"/>
      <c r="J61" s="255"/>
      <c r="K61" s="255"/>
      <c r="L61" s="255"/>
      <c r="M61" s="255"/>
      <c r="N61" s="255"/>
      <c r="O61" s="255"/>
      <c r="P61" s="255"/>
      <c r="Q61" s="255"/>
      <c r="R61" s="255"/>
      <c r="S61" s="255"/>
      <c r="T61" s="255"/>
      <c r="U61" s="255"/>
      <c r="V61" s="255"/>
      <c r="W61" s="255"/>
      <c r="X61" s="255"/>
      <c r="Y61" s="255"/>
    </row>
    <row r="62" spans="1:25" ht="15">
      <c r="A62" s="255"/>
      <c r="B62" s="250">
        <v>54</v>
      </c>
      <c r="C62" s="253">
        <v>69</v>
      </c>
      <c r="D62" s="255"/>
      <c r="E62" s="255"/>
      <c r="F62" s="255"/>
      <c r="G62" s="255"/>
      <c r="H62" s="255"/>
      <c r="I62" s="255"/>
      <c r="J62" s="255"/>
      <c r="K62" s="255"/>
      <c r="L62" s="255"/>
      <c r="M62" s="255"/>
      <c r="N62" s="255"/>
      <c r="O62" s="255"/>
      <c r="P62" s="255"/>
      <c r="Q62" s="255"/>
      <c r="R62" s="255"/>
      <c r="S62" s="255"/>
      <c r="T62" s="255"/>
      <c r="U62" s="255"/>
      <c r="V62" s="255"/>
      <c r="W62" s="255"/>
      <c r="X62" s="255"/>
      <c r="Y62" s="255"/>
    </row>
    <row r="63" spans="1:25" ht="15">
      <c r="A63" s="255"/>
      <c r="B63" s="250">
        <v>55</v>
      </c>
      <c r="C63" s="253">
        <v>69</v>
      </c>
      <c r="D63" s="255"/>
      <c r="E63" s="255"/>
      <c r="F63" s="255"/>
      <c r="G63" s="255"/>
      <c r="H63" s="255"/>
      <c r="I63" s="255"/>
      <c r="J63" s="255"/>
      <c r="K63" s="255"/>
      <c r="L63" s="255"/>
      <c r="M63" s="255"/>
      <c r="N63" s="255"/>
      <c r="O63" s="255"/>
      <c r="P63" s="255"/>
      <c r="Q63" s="255"/>
      <c r="R63" s="255"/>
      <c r="S63" s="255"/>
      <c r="T63" s="255"/>
      <c r="U63" s="255"/>
      <c r="V63" s="255"/>
      <c r="W63" s="255"/>
      <c r="X63" s="255"/>
      <c r="Y63" s="255"/>
    </row>
    <row r="64" spans="1:25" ht="15">
      <c r="A64" s="255"/>
      <c r="B64" s="250">
        <v>56</v>
      </c>
      <c r="C64" s="253">
        <v>69</v>
      </c>
      <c r="D64" s="255"/>
      <c r="E64" s="255"/>
      <c r="F64" s="255"/>
      <c r="G64" s="255"/>
      <c r="H64" s="255"/>
      <c r="I64" s="255"/>
      <c r="J64" s="255"/>
      <c r="K64" s="255"/>
      <c r="L64" s="255"/>
      <c r="M64" s="255"/>
      <c r="N64" s="255"/>
      <c r="O64" s="255"/>
      <c r="P64" s="255"/>
      <c r="Q64" s="255"/>
      <c r="R64" s="255"/>
      <c r="S64" s="255"/>
      <c r="T64" s="255"/>
      <c r="U64" s="255"/>
      <c r="V64" s="255"/>
      <c r="W64" s="255"/>
      <c r="X64" s="255"/>
      <c r="Y64" s="255"/>
    </row>
    <row r="65" spans="1:25" ht="15">
      <c r="A65" s="255"/>
      <c r="B65" s="250">
        <v>57</v>
      </c>
      <c r="C65" s="253">
        <v>69</v>
      </c>
      <c r="D65" s="255"/>
      <c r="E65" s="255"/>
      <c r="F65" s="255"/>
      <c r="G65" s="255"/>
      <c r="H65" s="255"/>
      <c r="I65" s="255"/>
      <c r="J65" s="255"/>
      <c r="K65" s="255"/>
      <c r="L65" s="255"/>
      <c r="M65" s="255"/>
      <c r="N65" s="255"/>
      <c r="O65" s="255"/>
      <c r="P65" s="255"/>
      <c r="Q65" s="255"/>
      <c r="R65" s="255"/>
      <c r="S65" s="255"/>
      <c r="T65" s="255"/>
      <c r="U65" s="255"/>
      <c r="V65" s="255"/>
      <c r="W65" s="255"/>
      <c r="X65" s="255"/>
      <c r="Y65" s="255"/>
    </row>
    <row r="66" spans="1:25" ht="15">
      <c r="A66" s="255"/>
      <c r="B66" s="250">
        <v>58</v>
      </c>
      <c r="C66" s="253">
        <v>69</v>
      </c>
      <c r="D66" s="255"/>
      <c r="E66" s="255"/>
      <c r="F66" s="255"/>
      <c r="G66" s="255"/>
      <c r="H66" s="255"/>
      <c r="I66" s="255"/>
      <c r="J66" s="255"/>
      <c r="K66" s="255"/>
      <c r="L66" s="255"/>
      <c r="M66" s="255"/>
      <c r="N66" s="255"/>
      <c r="O66" s="255"/>
      <c r="P66" s="255"/>
      <c r="Q66" s="255"/>
      <c r="R66" s="255"/>
      <c r="S66" s="255"/>
      <c r="T66" s="255"/>
      <c r="U66" s="255"/>
      <c r="V66" s="255"/>
      <c r="W66" s="255"/>
      <c r="X66" s="255"/>
      <c r="Y66" s="255"/>
    </row>
    <row r="67" spans="1:25" ht="15">
      <c r="A67" s="255"/>
      <c r="B67" s="250">
        <v>59</v>
      </c>
      <c r="C67" s="253">
        <v>69</v>
      </c>
      <c r="D67" s="255"/>
      <c r="E67" s="255"/>
      <c r="F67" s="255"/>
      <c r="G67" s="255"/>
      <c r="H67" s="255"/>
      <c r="I67" s="255"/>
      <c r="J67" s="255"/>
      <c r="K67" s="255"/>
      <c r="L67" s="255"/>
      <c r="M67" s="255"/>
      <c r="N67" s="255"/>
      <c r="O67" s="255"/>
      <c r="P67" s="255"/>
      <c r="Q67" s="255"/>
      <c r="R67" s="255"/>
      <c r="S67" s="255"/>
      <c r="T67" s="255"/>
      <c r="U67" s="255"/>
      <c r="V67" s="255"/>
      <c r="W67" s="255"/>
      <c r="X67" s="255"/>
      <c r="Y67" s="255"/>
    </row>
    <row r="68" spans="1:25" ht="15">
      <c r="A68" s="255"/>
      <c r="B68" s="250">
        <v>60</v>
      </c>
      <c r="C68" s="253">
        <v>69</v>
      </c>
      <c r="D68" s="255"/>
      <c r="E68" s="255"/>
      <c r="F68" s="255"/>
      <c r="G68" s="255"/>
      <c r="H68" s="255"/>
      <c r="I68" s="255"/>
      <c r="J68" s="255"/>
      <c r="K68" s="255"/>
      <c r="L68" s="255"/>
      <c r="M68" s="255"/>
      <c r="N68" s="255"/>
      <c r="O68" s="255"/>
      <c r="P68" s="255"/>
      <c r="Q68" s="255"/>
      <c r="R68" s="255"/>
      <c r="S68" s="255"/>
      <c r="T68" s="255"/>
      <c r="U68" s="255"/>
      <c r="V68" s="255"/>
      <c r="W68" s="255"/>
      <c r="X68" s="255"/>
      <c r="Y68" s="255"/>
    </row>
    <row r="69" spans="1:25" ht="15">
      <c r="A69" s="255"/>
      <c r="B69" s="250">
        <v>61</v>
      </c>
      <c r="C69" s="253">
        <v>69</v>
      </c>
      <c r="D69" s="255"/>
      <c r="E69" s="255"/>
      <c r="F69" s="255"/>
      <c r="G69" s="255"/>
      <c r="H69" s="255"/>
      <c r="I69" s="255"/>
      <c r="J69" s="255"/>
      <c r="K69" s="255"/>
      <c r="L69" s="255"/>
      <c r="M69" s="255"/>
      <c r="N69" s="255"/>
      <c r="O69" s="255"/>
      <c r="P69" s="255"/>
      <c r="Q69" s="255"/>
      <c r="R69" s="255"/>
      <c r="S69" s="255"/>
      <c r="T69" s="255"/>
      <c r="U69" s="255"/>
      <c r="V69" s="255"/>
      <c r="W69" s="255"/>
      <c r="X69" s="255"/>
      <c r="Y69" s="255"/>
    </row>
    <row r="70" spans="1:25" ht="15">
      <c r="A70" s="255"/>
      <c r="B70" s="250">
        <v>62</v>
      </c>
      <c r="C70" s="253">
        <v>69</v>
      </c>
      <c r="D70" s="255"/>
      <c r="E70" s="255"/>
      <c r="F70" s="255"/>
      <c r="G70" s="255"/>
      <c r="H70" s="255"/>
      <c r="I70" s="255"/>
      <c r="J70" s="255"/>
      <c r="K70" s="255"/>
      <c r="L70" s="255"/>
      <c r="M70" s="255"/>
      <c r="N70" s="255"/>
      <c r="O70" s="255"/>
      <c r="P70" s="255"/>
      <c r="Q70" s="255"/>
      <c r="R70" s="255"/>
      <c r="S70" s="255"/>
      <c r="T70" s="255"/>
      <c r="U70" s="255"/>
      <c r="V70" s="255"/>
      <c r="W70" s="255"/>
      <c r="X70" s="255"/>
      <c r="Y70" s="255"/>
    </row>
    <row r="71" spans="1:25" ht="15">
      <c r="A71" s="255"/>
      <c r="B71" s="250">
        <v>63</v>
      </c>
      <c r="C71" s="253">
        <v>69</v>
      </c>
      <c r="D71" s="255"/>
      <c r="E71" s="255"/>
      <c r="F71" s="255"/>
      <c r="G71" s="255"/>
      <c r="H71" s="255"/>
      <c r="I71" s="255"/>
      <c r="J71" s="255"/>
      <c r="K71" s="255"/>
      <c r="L71" s="255"/>
      <c r="M71" s="255"/>
      <c r="N71" s="255"/>
      <c r="O71" s="255"/>
      <c r="P71" s="255"/>
      <c r="Q71" s="255"/>
      <c r="R71" s="255"/>
      <c r="S71" s="255"/>
      <c r="T71" s="255"/>
      <c r="U71" s="255"/>
      <c r="V71" s="255"/>
      <c r="W71" s="255"/>
      <c r="X71" s="255"/>
      <c r="Y71" s="255"/>
    </row>
    <row r="72" spans="1:25" ht="15">
      <c r="A72" s="255"/>
      <c r="B72" s="250">
        <v>64</v>
      </c>
      <c r="C72" s="253">
        <v>69</v>
      </c>
      <c r="D72" s="255"/>
      <c r="E72" s="255"/>
      <c r="F72" s="255"/>
      <c r="G72" s="255"/>
      <c r="H72" s="255"/>
      <c r="I72" s="255"/>
      <c r="J72" s="255"/>
      <c r="K72" s="255"/>
      <c r="L72" s="255"/>
      <c r="M72" s="255"/>
      <c r="N72" s="255"/>
      <c r="O72" s="255"/>
      <c r="P72" s="255"/>
      <c r="Q72" s="255"/>
      <c r="R72" s="255"/>
      <c r="S72" s="255"/>
      <c r="T72" s="255"/>
      <c r="U72" s="255"/>
      <c r="V72" s="255"/>
      <c r="W72" s="255"/>
      <c r="X72" s="255"/>
      <c r="Y72" s="255"/>
    </row>
    <row r="73" spans="1:25" ht="15">
      <c r="A73" s="255"/>
      <c r="B73" s="250">
        <v>65</v>
      </c>
      <c r="C73" s="253">
        <v>69</v>
      </c>
      <c r="D73" s="255"/>
      <c r="E73" s="255"/>
      <c r="F73" s="255"/>
      <c r="G73" s="255"/>
      <c r="H73" s="255"/>
      <c r="I73" s="255"/>
      <c r="J73" s="255"/>
      <c r="K73" s="255"/>
      <c r="L73" s="255"/>
      <c r="M73" s="255"/>
      <c r="N73" s="255"/>
      <c r="O73" s="255"/>
      <c r="P73" s="255"/>
      <c r="Q73" s="255"/>
      <c r="R73" s="255"/>
      <c r="S73" s="255"/>
      <c r="T73" s="255"/>
      <c r="U73" s="255"/>
      <c r="V73" s="255"/>
      <c r="W73" s="255"/>
      <c r="X73" s="255"/>
      <c r="Y73" s="255"/>
    </row>
    <row r="74" spans="1:25" ht="15">
      <c r="A74" s="255"/>
      <c r="B74" s="250">
        <v>66</v>
      </c>
      <c r="C74" s="253">
        <v>69</v>
      </c>
      <c r="D74" s="255"/>
      <c r="E74" s="255"/>
      <c r="F74" s="255"/>
      <c r="G74" s="255"/>
      <c r="H74" s="255"/>
      <c r="I74" s="255"/>
      <c r="J74" s="255"/>
      <c r="K74" s="255"/>
      <c r="L74" s="255"/>
      <c r="M74" s="255"/>
      <c r="N74" s="255"/>
      <c r="O74" s="255"/>
      <c r="P74" s="255"/>
      <c r="Q74" s="255"/>
      <c r="R74" s="255"/>
      <c r="S74" s="255"/>
      <c r="T74" s="255"/>
      <c r="U74" s="255"/>
      <c r="V74" s="255"/>
      <c r="W74" s="255"/>
      <c r="X74" s="255"/>
      <c r="Y74" s="255"/>
    </row>
    <row r="75" spans="1:25" ht="15">
      <c r="A75" s="255"/>
      <c r="B75" s="250">
        <v>67</v>
      </c>
      <c r="C75" s="253">
        <v>69</v>
      </c>
      <c r="D75" s="255"/>
      <c r="E75" s="255"/>
      <c r="F75" s="255"/>
      <c r="G75" s="255"/>
      <c r="H75" s="255"/>
      <c r="I75" s="255"/>
      <c r="J75" s="255"/>
      <c r="K75" s="255"/>
      <c r="L75" s="255"/>
      <c r="M75" s="255"/>
      <c r="N75" s="255"/>
      <c r="O75" s="255"/>
      <c r="P75" s="255"/>
      <c r="Q75" s="255"/>
      <c r="R75" s="255"/>
      <c r="S75" s="255"/>
      <c r="T75" s="255"/>
      <c r="U75" s="255"/>
      <c r="V75" s="255"/>
      <c r="W75" s="255"/>
      <c r="X75" s="255"/>
      <c r="Y75" s="255"/>
    </row>
    <row r="76" spans="1:25" ht="15">
      <c r="A76" s="255"/>
      <c r="B76" s="250">
        <v>68</v>
      </c>
      <c r="C76" s="253">
        <v>69</v>
      </c>
      <c r="D76" s="255"/>
      <c r="E76" s="255"/>
      <c r="F76" s="255"/>
      <c r="G76" s="255"/>
      <c r="H76" s="255"/>
      <c r="I76" s="255"/>
      <c r="J76" s="255"/>
      <c r="K76" s="255"/>
      <c r="L76" s="255"/>
      <c r="M76" s="255"/>
      <c r="N76" s="255"/>
      <c r="O76" s="255"/>
      <c r="P76" s="255"/>
      <c r="Q76" s="255"/>
      <c r="R76" s="255"/>
      <c r="S76" s="255"/>
      <c r="T76" s="255"/>
      <c r="U76" s="255"/>
      <c r="V76" s="255"/>
      <c r="W76" s="255"/>
      <c r="X76" s="255"/>
      <c r="Y76" s="255"/>
    </row>
    <row r="77" spans="1:25" ht="15">
      <c r="A77" s="255"/>
      <c r="B77" s="250">
        <v>69</v>
      </c>
      <c r="C77" s="253">
        <v>69</v>
      </c>
      <c r="D77" s="255"/>
      <c r="E77" s="255"/>
      <c r="F77" s="255"/>
      <c r="G77" s="255"/>
      <c r="H77" s="255"/>
      <c r="I77" s="255"/>
      <c r="J77" s="255"/>
      <c r="K77" s="255"/>
      <c r="L77" s="255"/>
      <c r="M77" s="255"/>
      <c r="N77" s="255"/>
      <c r="O77" s="255"/>
      <c r="P77" s="255"/>
      <c r="Q77" s="255"/>
      <c r="R77" s="255"/>
      <c r="S77" s="255"/>
      <c r="T77" s="255"/>
      <c r="U77" s="255"/>
      <c r="V77" s="255"/>
      <c r="W77" s="255"/>
      <c r="X77" s="255"/>
      <c r="Y77" s="255"/>
    </row>
    <row r="78" spans="1:25" ht="15">
      <c r="A78" s="255"/>
      <c r="B78" s="250">
        <v>70</v>
      </c>
      <c r="C78" s="253">
        <v>69</v>
      </c>
      <c r="D78" s="255"/>
      <c r="E78" s="255"/>
      <c r="F78" s="255"/>
      <c r="G78" s="255"/>
      <c r="H78" s="255"/>
      <c r="I78" s="255"/>
      <c r="J78" s="255"/>
      <c r="K78" s="255"/>
      <c r="L78" s="255"/>
      <c r="M78" s="255"/>
      <c r="N78" s="255"/>
      <c r="O78" s="255"/>
      <c r="P78" s="255"/>
      <c r="Q78" s="255"/>
      <c r="R78" s="255"/>
      <c r="S78" s="255"/>
      <c r="T78" s="255"/>
      <c r="U78" s="255"/>
      <c r="V78" s="255"/>
      <c r="W78" s="255"/>
      <c r="X78" s="255"/>
      <c r="Y78" s="255"/>
    </row>
    <row r="79" spans="1:25" ht="15">
      <c r="A79" s="255"/>
      <c r="B79" s="250">
        <v>71</v>
      </c>
      <c r="C79" s="253">
        <v>69</v>
      </c>
      <c r="D79" s="255"/>
      <c r="E79" s="255"/>
      <c r="F79" s="255"/>
      <c r="G79" s="255"/>
      <c r="H79" s="255"/>
      <c r="I79" s="255"/>
      <c r="J79" s="255"/>
      <c r="K79" s="255"/>
      <c r="L79" s="255"/>
      <c r="M79" s="255"/>
      <c r="N79" s="255"/>
      <c r="O79" s="255"/>
      <c r="P79" s="255"/>
      <c r="Q79" s="255"/>
      <c r="R79" s="255"/>
      <c r="S79" s="255"/>
      <c r="T79" s="255"/>
      <c r="U79" s="255"/>
      <c r="V79" s="255"/>
      <c r="W79" s="255"/>
      <c r="X79" s="255"/>
      <c r="Y79" s="255"/>
    </row>
    <row r="80" spans="1:25" ht="15">
      <c r="A80" s="255"/>
      <c r="B80" s="250">
        <v>72</v>
      </c>
      <c r="C80" s="253">
        <v>69</v>
      </c>
      <c r="D80" s="255"/>
      <c r="E80" s="255"/>
      <c r="F80" s="255"/>
      <c r="G80" s="255"/>
      <c r="H80" s="255"/>
      <c r="I80" s="255"/>
      <c r="J80" s="255"/>
      <c r="K80" s="255"/>
      <c r="L80" s="255"/>
      <c r="M80" s="255"/>
      <c r="N80" s="255"/>
      <c r="O80" s="255"/>
      <c r="P80" s="255"/>
      <c r="Q80" s="255"/>
      <c r="R80" s="255"/>
      <c r="S80" s="255"/>
      <c r="T80" s="255"/>
      <c r="U80" s="255"/>
      <c r="V80" s="255"/>
      <c r="W80" s="255"/>
      <c r="X80" s="255"/>
      <c r="Y80" s="255"/>
    </row>
    <row r="81" spans="1:25" ht="15">
      <c r="A81" s="255"/>
      <c r="B81" s="250">
        <v>73</v>
      </c>
      <c r="C81" s="253">
        <v>69</v>
      </c>
      <c r="D81" s="255"/>
      <c r="E81" s="255"/>
      <c r="F81" s="255"/>
      <c r="G81" s="255"/>
      <c r="H81" s="255"/>
      <c r="I81" s="255"/>
      <c r="J81" s="255"/>
      <c r="K81" s="255"/>
      <c r="L81" s="255"/>
      <c r="M81" s="255"/>
      <c r="N81" s="255"/>
      <c r="O81" s="255"/>
      <c r="P81" s="255"/>
      <c r="Q81" s="255"/>
      <c r="R81" s="255"/>
      <c r="S81" s="255"/>
      <c r="T81" s="255"/>
      <c r="U81" s="255"/>
      <c r="V81" s="255"/>
      <c r="W81" s="255"/>
      <c r="X81" s="255"/>
      <c r="Y81" s="255"/>
    </row>
    <row r="82" spans="1:25" ht="15">
      <c r="A82" s="255"/>
      <c r="B82" s="250">
        <v>74</v>
      </c>
      <c r="C82" s="253">
        <v>69</v>
      </c>
      <c r="D82" s="255"/>
      <c r="E82" s="255"/>
      <c r="F82" s="255"/>
      <c r="G82" s="255"/>
      <c r="H82" s="255"/>
      <c r="I82" s="255"/>
      <c r="J82" s="255"/>
      <c r="K82" s="255"/>
      <c r="L82" s="255"/>
      <c r="M82" s="255"/>
      <c r="N82" s="255"/>
      <c r="O82" s="255"/>
      <c r="P82" s="255"/>
      <c r="Q82" s="255"/>
      <c r="R82" s="255"/>
      <c r="S82" s="255"/>
      <c r="T82" s="255"/>
      <c r="U82" s="255"/>
      <c r="V82" s="255"/>
      <c r="W82" s="255"/>
      <c r="X82" s="255"/>
      <c r="Y82" s="255"/>
    </row>
    <row r="83" spans="1:25" ht="15">
      <c r="A83" s="255"/>
      <c r="B83" s="250">
        <v>75</v>
      </c>
      <c r="C83" s="253">
        <v>69</v>
      </c>
      <c r="D83" s="255"/>
      <c r="E83" s="255"/>
      <c r="F83" s="255"/>
      <c r="G83" s="255"/>
      <c r="H83" s="255"/>
      <c r="I83" s="255"/>
      <c r="J83" s="255"/>
      <c r="K83" s="255"/>
      <c r="L83" s="255"/>
      <c r="M83" s="255"/>
      <c r="N83" s="255"/>
      <c r="O83" s="255"/>
      <c r="P83" s="255"/>
      <c r="Q83" s="255"/>
      <c r="R83" s="255"/>
      <c r="S83" s="255"/>
      <c r="T83" s="255"/>
      <c r="U83" s="255"/>
      <c r="V83" s="255"/>
      <c r="W83" s="255"/>
      <c r="X83" s="255"/>
      <c r="Y83" s="255"/>
    </row>
    <row r="84" spans="1:25" ht="15">
      <c r="A84" s="255"/>
      <c r="B84" s="250">
        <v>76</v>
      </c>
      <c r="C84" s="253">
        <v>69</v>
      </c>
      <c r="D84" s="255"/>
      <c r="E84" s="255"/>
      <c r="F84" s="255"/>
      <c r="G84" s="255"/>
      <c r="H84" s="255"/>
      <c r="I84" s="255"/>
      <c r="J84" s="255"/>
      <c r="K84" s="255"/>
      <c r="L84" s="255"/>
      <c r="M84" s="255"/>
      <c r="N84" s="255"/>
      <c r="O84" s="255"/>
      <c r="P84" s="255"/>
      <c r="Q84" s="255"/>
      <c r="R84" s="255"/>
      <c r="S84" s="255"/>
      <c r="T84" s="255"/>
      <c r="U84" s="255"/>
      <c r="V84" s="255"/>
      <c r="W84" s="255"/>
      <c r="X84" s="255"/>
      <c r="Y84" s="255"/>
    </row>
    <row r="85" spans="1:25" ht="15">
      <c r="A85" s="255"/>
      <c r="B85" s="250">
        <v>77</v>
      </c>
      <c r="C85" s="253">
        <v>69</v>
      </c>
      <c r="D85" s="255"/>
      <c r="E85" s="255"/>
      <c r="F85" s="255"/>
      <c r="G85" s="255"/>
      <c r="H85" s="255"/>
      <c r="I85" s="255"/>
      <c r="J85" s="255"/>
      <c r="K85" s="255"/>
      <c r="L85" s="255"/>
      <c r="M85" s="255"/>
      <c r="N85" s="255"/>
      <c r="O85" s="255"/>
      <c r="P85" s="255"/>
      <c r="Q85" s="255"/>
      <c r="R85" s="255"/>
      <c r="S85" s="255"/>
      <c r="T85" s="255"/>
      <c r="U85" s="255"/>
      <c r="V85" s="255"/>
      <c r="W85" s="255"/>
      <c r="X85" s="255"/>
      <c r="Y85" s="255"/>
    </row>
    <row r="86" spans="1:25" ht="15">
      <c r="A86" s="255"/>
      <c r="B86" s="250">
        <v>78</v>
      </c>
      <c r="C86" s="253">
        <v>69</v>
      </c>
      <c r="D86" s="255"/>
      <c r="E86" s="255"/>
      <c r="F86" s="255"/>
      <c r="G86" s="255"/>
      <c r="H86" s="255"/>
      <c r="I86" s="255"/>
      <c r="J86" s="255"/>
      <c r="K86" s="255"/>
      <c r="L86" s="255"/>
      <c r="M86" s="255"/>
      <c r="N86" s="255"/>
      <c r="O86" s="255"/>
      <c r="P86" s="255"/>
      <c r="Q86" s="255"/>
      <c r="R86" s="255"/>
      <c r="S86" s="255"/>
      <c r="T86" s="255"/>
      <c r="U86" s="255"/>
      <c r="V86" s="255"/>
      <c r="W86" s="255"/>
      <c r="X86" s="255"/>
      <c r="Y86" s="255"/>
    </row>
    <row r="87" spans="1:25" ht="15">
      <c r="A87" s="255"/>
      <c r="B87" s="250">
        <v>79</v>
      </c>
      <c r="C87" s="253">
        <v>69</v>
      </c>
      <c r="D87" s="255"/>
      <c r="E87" s="255"/>
      <c r="F87" s="255"/>
      <c r="G87" s="255"/>
      <c r="H87" s="255"/>
      <c r="I87" s="255"/>
      <c r="J87" s="255"/>
      <c r="K87" s="255"/>
      <c r="L87" s="255"/>
      <c r="M87" s="255"/>
      <c r="N87" s="255"/>
      <c r="O87" s="255"/>
      <c r="P87" s="255"/>
      <c r="Q87" s="255"/>
      <c r="R87" s="255"/>
      <c r="S87" s="255"/>
      <c r="T87" s="255"/>
      <c r="U87" s="255"/>
      <c r="V87" s="255"/>
      <c r="W87" s="255"/>
      <c r="X87" s="255"/>
      <c r="Y87" s="255"/>
    </row>
    <row r="88" spans="1:25" ht="15">
      <c r="A88" s="255"/>
      <c r="B88" s="250">
        <v>80</v>
      </c>
      <c r="C88" s="253">
        <v>69</v>
      </c>
      <c r="D88" s="255"/>
      <c r="E88" s="255"/>
      <c r="F88" s="255"/>
      <c r="G88" s="255"/>
      <c r="H88" s="255"/>
      <c r="I88" s="255"/>
      <c r="J88" s="255"/>
      <c r="K88" s="255"/>
      <c r="L88" s="255"/>
      <c r="M88" s="255"/>
      <c r="N88" s="255"/>
      <c r="O88" s="255"/>
      <c r="P88" s="255"/>
      <c r="Q88" s="255"/>
      <c r="R88" s="255"/>
      <c r="S88" s="255"/>
      <c r="T88" s="255"/>
      <c r="U88" s="255"/>
      <c r="V88" s="255"/>
      <c r="W88" s="255"/>
      <c r="X88" s="255"/>
      <c r="Y88" s="255"/>
    </row>
    <row r="89" spans="1:25" ht="15">
      <c r="A89" s="255"/>
      <c r="B89" s="250">
        <v>81</v>
      </c>
      <c r="C89" s="253">
        <v>69</v>
      </c>
      <c r="D89" s="255"/>
      <c r="E89" s="255"/>
      <c r="F89" s="255"/>
      <c r="G89" s="255"/>
      <c r="H89" s="255"/>
      <c r="I89" s="255"/>
      <c r="J89" s="255"/>
      <c r="K89" s="255"/>
      <c r="L89" s="255"/>
      <c r="M89" s="255"/>
      <c r="N89" s="255"/>
      <c r="O89" s="255"/>
      <c r="P89" s="255"/>
      <c r="Q89" s="255"/>
      <c r="R89" s="255"/>
      <c r="S89" s="255"/>
      <c r="T89" s="255"/>
      <c r="U89" s="255"/>
      <c r="V89" s="255"/>
      <c r="W89" s="255"/>
      <c r="X89" s="255"/>
      <c r="Y89" s="255"/>
    </row>
    <row r="90" spans="1:25" ht="15">
      <c r="A90" s="255"/>
      <c r="B90" s="250">
        <v>82</v>
      </c>
      <c r="C90" s="253">
        <v>69</v>
      </c>
      <c r="D90" s="255"/>
      <c r="E90" s="255"/>
      <c r="F90" s="255"/>
      <c r="G90" s="255"/>
      <c r="H90" s="255"/>
      <c r="I90" s="255"/>
      <c r="J90" s="255"/>
      <c r="K90" s="255"/>
      <c r="L90" s="255"/>
      <c r="M90" s="255"/>
      <c r="N90" s="255"/>
      <c r="O90" s="255"/>
      <c r="P90" s="255"/>
      <c r="Q90" s="255"/>
      <c r="R90" s="255"/>
      <c r="S90" s="255"/>
      <c r="T90" s="255"/>
      <c r="U90" s="255"/>
      <c r="V90" s="255"/>
      <c r="W90" s="255"/>
      <c r="X90" s="255"/>
      <c r="Y90" s="255"/>
    </row>
    <row r="91" spans="1:25" ht="15">
      <c r="A91" s="255"/>
      <c r="B91" s="250">
        <v>83</v>
      </c>
      <c r="C91" s="253">
        <v>69</v>
      </c>
      <c r="D91" s="255"/>
      <c r="E91" s="255"/>
      <c r="F91" s="255"/>
      <c r="G91" s="255"/>
      <c r="H91" s="255"/>
      <c r="I91" s="255"/>
      <c r="J91" s="255"/>
      <c r="K91" s="255"/>
      <c r="L91" s="255"/>
      <c r="M91" s="255"/>
      <c r="N91" s="255"/>
      <c r="O91" s="255"/>
      <c r="P91" s="255"/>
      <c r="Q91" s="255"/>
      <c r="R91" s="255"/>
      <c r="S91" s="255"/>
      <c r="T91" s="255"/>
      <c r="U91" s="255"/>
      <c r="V91" s="255"/>
      <c r="W91" s="255"/>
      <c r="X91" s="255"/>
      <c r="Y91" s="255"/>
    </row>
    <row r="92" spans="1:25" ht="15">
      <c r="A92" s="255"/>
      <c r="B92" s="250">
        <v>84</v>
      </c>
      <c r="C92" s="253">
        <v>69</v>
      </c>
      <c r="D92" s="255"/>
      <c r="E92" s="255"/>
      <c r="F92" s="255"/>
      <c r="G92" s="255"/>
      <c r="H92" s="255"/>
      <c r="I92" s="255"/>
      <c r="J92" s="255"/>
      <c r="K92" s="255"/>
      <c r="L92" s="255"/>
      <c r="M92" s="255"/>
      <c r="N92" s="255"/>
      <c r="O92" s="255"/>
      <c r="P92" s="255"/>
      <c r="Q92" s="255"/>
      <c r="R92" s="255"/>
      <c r="S92" s="255"/>
      <c r="T92" s="255"/>
      <c r="U92" s="255"/>
      <c r="V92" s="255"/>
      <c r="W92" s="255"/>
      <c r="X92" s="255"/>
      <c r="Y92" s="255"/>
    </row>
    <row r="93" spans="1:25" ht="15">
      <c r="A93" s="255"/>
      <c r="B93" s="250">
        <v>85</v>
      </c>
      <c r="C93" s="253">
        <v>69</v>
      </c>
      <c r="D93" s="255"/>
      <c r="E93" s="255"/>
      <c r="F93" s="255"/>
      <c r="G93" s="255"/>
      <c r="H93" s="255"/>
      <c r="I93" s="255"/>
      <c r="J93" s="255"/>
      <c r="K93" s="255"/>
      <c r="L93" s="255"/>
      <c r="M93" s="255"/>
      <c r="N93" s="255"/>
      <c r="O93" s="255"/>
      <c r="P93" s="255"/>
      <c r="Q93" s="255"/>
      <c r="R93" s="255"/>
      <c r="S93" s="255"/>
      <c r="T93" s="255"/>
      <c r="U93" s="255"/>
      <c r="V93" s="255"/>
      <c r="W93" s="255"/>
      <c r="X93" s="255"/>
      <c r="Y93" s="255"/>
    </row>
    <row r="94" spans="1:25" ht="15">
      <c r="A94" s="255"/>
      <c r="B94" s="250">
        <v>86</v>
      </c>
      <c r="C94" s="253">
        <v>69</v>
      </c>
      <c r="D94" s="255"/>
      <c r="E94" s="255"/>
      <c r="F94" s="255"/>
      <c r="G94" s="255"/>
      <c r="H94" s="255"/>
      <c r="I94" s="255"/>
      <c r="J94" s="255"/>
      <c r="K94" s="255"/>
      <c r="L94" s="255"/>
      <c r="M94" s="255"/>
      <c r="N94" s="255"/>
      <c r="O94" s="255"/>
      <c r="P94" s="255"/>
      <c r="Q94" s="255"/>
      <c r="R94" s="255"/>
      <c r="S94" s="255"/>
      <c r="T94" s="255"/>
      <c r="U94" s="255"/>
      <c r="V94" s="255"/>
      <c r="W94" s="255"/>
      <c r="X94" s="255"/>
      <c r="Y94" s="255"/>
    </row>
    <row r="95" spans="1:25" ht="15">
      <c r="A95" s="255"/>
      <c r="B95" s="250">
        <v>87</v>
      </c>
      <c r="C95" s="253">
        <v>69</v>
      </c>
      <c r="D95" s="255"/>
      <c r="E95" s="255"/>
      <c r="F95" s="255"/>
      <c r="G95" s="255"/>
      <c r="H95" s="255"/>
      <c r="I95" s="255"/>
      <c r="J95" s="255"/>
      <c r="K95" s="255"/>
      <c r="L95" s="255"/>
      <c r="M95" s="255"/>
      <c r="N95" s="255"/>
      <c r="O95" s="255"/>
      <c r="P95" s="255"/>
      <c r="Q95" s="255"/>
      <c r="R95" s="255"/>
      <c r="S95" s="255"/>
      <c r="T95" s="255"/>
      <c r="U95" s="255"/>
      <c r="V95" s="255"/>
      <c r="W95" s="255"/>
      <c r="X95" s="255"/>
      <c r="Y95" s="255"/>
    </row>
    <row r="96" spans="1:25" ht="15">
      <c r="A96" s="255"/>
      <c r="B96" s="250">
        <v>88</v>
      </c>
      <c r="C96" s="253">
        <v>69</v>
      </c>
      <c r="D96" s="255"/>
      <c r="E96" s="255"/>
      <c r="F96" s="255"/>
      <c r="G96" s="255"/>
      <c r="H96" s="255"/>
      <c r="I96" s="255"/>
      <c r="J96" s="255"/>
      <c r="K96" s="255"/>
      <c r="L96" s="255"/>
      <c r="M96" s="255"/>
      <c r="N96" s="255"/>
      <c r="O96" s="255"/>
      <c r="P96" s="255"/>
      <c r="Q96" s="255"/>
      <c r="R96" s="255"/>
      <c r="S96" s="255"/>
      <c r="T96" s="255"/>
      <c r="U96" s="255"/>
      <c r="V96" s="255"/>
      <c r="W96" s="255"/>
      <c r="X96" s="255"/>
      <c r="Y96" s="255"/>
    </row>
    <row r="97" spans="1:25" ht="15">
      <c r="A97" s="255"/>
      <c r="B97" s="250">
        <v>89</v>
      </c>
      <c r="C97" s="253">
        <v>69</v>
      </c>
      <c r="D97" s="255"/>
      <c r="E97" s="255"/>
      <c r="F97" s="255"/>
      <c r="G97" s="255"/>
      <c r="H97" s="255"/>
      <c r="I97" s="255"/>
      <c r="J97" s="255"/>
      <c r="K97" s="255"/>
      <c r="L97" s="255"/>
      <c r="M97" s="255"/>
      <c r="N97" s="255"/>
      <c r="O97" s="255"/>
      <c r="P97" s="255"/>
      <c r="Q97" s="255"/>
      <c r="R97" s="255"/>
      <c r="S97" s="255"/>
      <c r="T97" s="255"/>
      <c r="U97" s="255"/>
      <c r="V97" s="255"/>
      <c r="W97" s="255"/>
      <c r="X97" s="255"/>
      <c r="Y97" s="255"/>
    </row>
    <row r="98" spans="1:25" ht="15">
      <c r="A98" s="255"/>
      <c r="B98" s="250">
        <v>90</v>
      </c>
      <c r="C98" s="253">
        <v>69</v>
      </c>
      <c r="D98" s="255"/>
      <c r="E98" s="255"/>
      <c r="F98" s="255"/>
      <c r="G98" s="255"/>
      <c r="H98" s="255"/>
      <c r="I98" s="255"/>
      <c r="J98" s="255"/>
      <c r="K98" s="255"/>
      <c r="L98" s="255"/>
      <c r="M98" s="255"/>
      <c r="N98" s="255"/>
      <c r="O98" s="255"/>
      <c r="P98" s="255"/>
      <c r="Q98" s="255"/>
      <c r="R98" s="255"/>
      <c r="S98" s="255"/>
      <c r="T98" s="255"/>
      <c r="U98" s="255"/>
      <c r="V98" s="255"/>
      <c r="W98" s="255"/>
      <c r="X98" s="255"/>
      <c r="Y98" s="255"/>
    </row>
    <row r="99" spans="1:25" ht="15">
      <c r="A99" s="255"/>
      <c r="B99" s="250">
        <v>91</v>
      </c>
      <c r="C99" s="253">
        <v>69</v>
      </c>
      <c r="D99" s="255"/>
      <c r="E99" s="255"/>
      <c r="F99" s="255"/>
      <c r="G99" s="255"/>
      <c r="H99" s="255"/>
      <c r="I99" s="255"/>
      <c r="J99" s="255"/>
      <c r="K99" s="255"/>
      <c r="L99" s="255"/>
      <c r="M99" s="255"/>
      <c r="N99" s="255"/>
      <c r="O99" s="255"/>
      <c r="P99" s="255"/>
      <c r="Q99" s="255"/>
      <c r="R99" s="255"/>
      <c r="S99" s="255"/>
      <c r="T99" s="255"/>
      <c r="U99" s="255"/>
      <c r="V99" s="255"/>
      <c r="W99" s="255"/>
      <c r="X99" s="255"/>
      <c r="Y99" s="255"/>
    </row>
    <row r="100" spans="1:25" ht="15">
      <c r="A100" s="255"/>
      <c r="B100" s="250">
        <v>92</v>
      </c>
      <c r="C100" s="253">
        <v>69</v>
      </c>
      <c r="D100" s="255"/>
      <c r="E100" s="255"/>
      <c r="F100" s="255"/>
      <c r="G100" s="255"/>
      <c r="H100" s="255"/>
      <c r="I100" s="255"/>
      <c r="J100" s="255"/>
      <c r="K100" s="255"/>
      <c r="L100" s="255"/>
      <c r="M100" s="255"/>
      <c r="N100" s="255"/>
      <c r="O100" s="255"/>
      <c r="P100" s="255"/>
      <c r="Q100" s="255"/>
      <c r="R100" s="255"/>
      <c r="S100" s="255"/>
      <c r="T100" s="255"/>
      <c r="U100" s="255"/>
      <c r="V100" s="255"/>
      <c r="W100" s="255"/>
      <c r="X100" s="255"/>
      <c r="Y100" s="255"/>
    </row>
    <row r="101" spans="1:25" ht="15">
      <c r="A101" s="255"/>
      <c r="B101" s="250">
        <v>93</v>
      </c>
      <c r="C101" s="253">
        <v>69</v>
      </c>
      <c r="D101" s="255"/>
      <c r="E101" s="255"/>
      <c r="F101" s="255"/>
      <c r="G101" s="255"/>
      <c r="H101" s="255"/>
      <c r="I101" s="255"/>
      <c r="J101" s="255"/>
      <c r="K101" s="255"/>
      <c r="L101" s="255"/>
      <c r="M101" s="255"/>
      <c r="N101" s="255"/>
      <c r="O101" s="255"/>
      <c r="P101" s="255"/>
      <c r="Q101" s="255"/>
      <c r="R101" s="255"/>
      <c r="S101" s="255"/>
      <c r="T101" s="255"/>
      <c r="U101" s="255"/>
      <c r="V101" s="255"/>
      <c r="W101" s="255"/>
      <c r="X101" s="255"/>
      <c r="Y101" s="255"/>
    </row>
    <row r="102" spans="1:25" ht="15">
      <c r="A102" s="255"/>
      <c r="B102" s="250">
        <v>94</v>
      </c>
      <c r="C102" s="253">
        <v>69</v>
      </c>
      <c r="D102" s="255"/>
      <c r="E102" s="255"/>
      <c r="F102" s="255"/>
      <c r="G102" s="255"/>
      <c r="H102" s="255"/>
      <c r="I102" s="255"/>
      <c r="J102" s="255"/>
      <c r="K102" s="255"/>
      <c r="L102" s="255"/>
      <c r="M102" s="255"/>
      <c r="N102" s="255"/>
      <c r="O102" s="255"/>
      <c r="P102" s="255"/>
      <c r="Q102" s="255"/>
      <c r="R102" s="255"/>
      <c r="S102" s="255"/>
      <c r="T102" s="255"/>
      <c r="U102" s="255"/>
      <c r="V102" s="255"/>
      <c r="W102" s="255"/>
      <c r="X102" s="255"/>
      <c r="Y102" s="255"/>
    </row>
    <row r="103" spans="1:25" ht="15">
      <c r="A103" s="255"/>
      <c r="B103" s="250">
        <v>95</v>
      </c>
      <c r="C103" s="253">
        <v>69</v>
      </c>
      <c r="D103" s="255"/>
      <c r="E103" s="255"/>
      <c r="F103" s="255"/>
      <c r="G103" s="255"/>
      <c r="H103" s="255"/>
      <c r="I103" s="255"/>
      <c r="J103" s="255"/>
      <c r="K103" s="255"/>
      <c r="L103" s="255"/>
      <c r="M103" s="255"/>
      <c r="N103" s="255"/>
      <c r="O103" s="255"/>
      <c r="P103" s="255"/>
      <c r="Q103" s="255"/>
      <c r="R103" s="255"/>
      <c r="S103" s="255"/>
      <c r="T103" s="255"/>
      <c r="U103" s="255"/>
      <c r="V103" s="255"/>
      <c r="W103" s="255"/>
      <c r="X103" s="255"/>
      <c r="Y103" s="255"/>
    </row>
    <row r="104" spans="1:25" ht="15">
      <c r="A104" s="255"/>
      <c r="B104" s="250">
        <v>96</v>
      </c>
      <c r="C104" s="253">
        <v>69</v>
      </c>
      <c r="D104" s="255"/>
      <c r="E104" s="255"/>
      <c r="F104" s="255"/>
      <c r="G104" s="255"/>
      <c r="H104" s="255"/>
      <c r="I104" s="255"/>
      <c r="J104" s="255"/>
      <c r="K104" s="255"/>
      <c r="L104" s="255"/>
      <c r="M104" s="255"/>
      <c r="N104" s="255"/>
      <c r="O104" s="255"/>
      <c r="P104" s="255"/>
      <c r="Q104" s="255"/>
      <c r="R104" s="255"/>
      <c r="S104" s="255"/>
      <c r="T104" s="255"/>
      <c r="U104" s="255"/>
      <c r="V104" s="255"/>
      <c r="W104" s="255"/>
      <c r="X104" s="255"/>
      <c r="Y104" s="255"/>
    </row>
    <row r="105" spans="1:25" ht="15">
      <c r="A105" s="255"/>
      <c r="B105" s="250">
        <v>97</v>
      </c>
      <c r="C105" s="253">
        <v>69</v>
      </c>
      <c r="D105" s="255"/>
      <c r="E105" s="255"/>
      <c r="F105" s="255"/>
      <c r="G105" s="255"/>
      <c r="H105" s="255"/>
      <c r="I105" s="255"/>
      <c r="J105" s="255"/>
      <c r="K105" s="255"/>
      <c r="L105" s="255"/>
      <c r="M105" s="255"/>
      <c r="N105" s="255"/>
      <c r="O105" s="255"/>
      <c r="P105" s="255"/>
      <c r="Q105" s="255"/>
      <c r="R105" s="255"/>
      <c r="S105" s="255"/>
      <c r="T105" s="255"/>
      <c r="U105" s="255"/>
      <c r="V105" s="255"/>
      <c r="W105" s="255"/>
      <c r="X105" s="255"/>
      <c r="Y105" s="255"/>
    </row>
    <row r="106" spans="1:25" ht="15">
      <c r="A106" s="255"/>
      <c r="B106" s="250">
        <v>98</v>
      </c>
      <c r="C106" s="253">
        <v>69</v>
      </c>
      <c r="D106" s="255"/>
      <c r="E106" s="255"/>
      <c r="F106" s="255"/>
      <c r="G106" s="255"/>
      <c r="H106" s="255"/>
      <c r="I106" s="255"/>
      <c r="J106" s="255"/>
      <c r="K106" s="255"/>
      <c r="L106" s="255"/>
      <c r="M106" s="255"/>
      <c r="N106" s="255"/>
      <c r="O106" s="255"/>
      <c r="P106" s="255"/>
      <c r="Q106" s="255"/>
      <c r="R106" s="255"/>
      <c r="S106" s="255"/>
      <c r="T106" s="255"/>
      <c r="U106" s="255"/>
      <c r="V106" s="255"/>
      <c r="W106" s="255"/>
      <c r="X106" s="255"/>
      <c r="Y106" s="255"/>
    </row>
    <row r="107" spans="1:25" ht="15">
      <c r="A107" s="255"/>
      <c r="B107" s="250">
        <v>99</v>
      </c>
      <c r="C107" s="253">
        <v>69</v>
      </c>
      <c r="D107" s="255"/>
      <c r="E107" s="255"/>
      <c r="F107" s="255"/>
      <c r="G107" s="255"/>
      <c r="H107" s="255"/>
      <c r="I107" s="255"/>
      <c r="J107" s="255"/>
      <c r="K107" s="255"/>
      <c r="L107" s="255"/>
      <c r="M107" s="255"/>
      <c r="N107" s="255"/>
      <c r="O107" s="255"/>
      <c r="P107" s="255"/>
      <c r="Q107" s="255"/>
      <c r="R107" s="255"/>
      <c r="S107" s="255"/>
      <c r="T107" s="255"/>
      <c r="U107" s="255"/>
      <c r="V107" s="255"/>
      <c r="W107" s="255"/>
      <c r="X107" s="255"/>
      <c r="Y107" s="255"/>
    </row>
    <row r="108" spans="1:25" ht="15.75" thickBot="1">
      <c r="A108" s="255"/>
      <c r="B108" s="251">
        <v>100</v>
      </c>
      <c r="C108" s="254">
        <v>69</v>
      </c>
      <c r="D108" s="255"/>
      <c r="E108" s="255"/>
      <c r="F108" s="255"/>
      <c r="G108" s="255"/>
      <c r="H108" s="255"/>
      <c r="I108" s="255"/>
      <c r="J108" s="255"/>
      <c r="K108" s="255"/>
      <c r="L108" s="255"/>
      <c r="M108" s="255"/>
      <c r="N108" s="255"/>
      <c r="O108" s="255"/>
      <c r="P108" s="255"/>
      <c r="Q108" s="255"/>
      <c r="R108" s="255"/>
      <c r="S108" s="255"/>
      <c r="T108" s="255"/>
      <c r="U108" s="255"/>
      <c r="V108" s="255"/>
      <c r="W108" s="255"/>
      <c r="X108" s="255"/>
      <c r="Y108" s="255"/>
    </row>
    <row r="109" spans="1:25">
      <c r="A109" s="255"/>
      <c r="B109" s="255"/>
      <c r="C109" s="255"/>
      <c r="D109" s="255"/>
      <c r="E109" s="255"/>
      <c r="F109" s="255"/>
      <c r="G109" s="255"/>
      <c r="H109" s="255"/>
      <c r="I109" s="255"/>
      <c r="J109" s="255"/>
      <c r="K109" s="255"/>
      <c r="L109" s="255"/>
      <c r="M109" s="255"/>
      <c r="N109" s="255"/>
      <c r="O109" s="255"/>
      <c r="P109" s="255"/>
      <c r="Q109" s="255"/>
      <c r="R109" s="255"/>
      <c r="S109" s="255"/>
      <c r="T109" s="255"/>
      <c r="U109" s="255"/>
      <c r="V109" s="255"/>
      <c r="W109" s="255"/>
      <c r="X109" s="255"/>
      <c r="Y109" s="255"/>
    </row>
    <row r="110" spans="1:25">
      <c r="A110" s="255"/>
      <c r="B110" s="255"/>
      <c r="C110" s="255"/>
      <c r="D110" s="255"/>
      <c r="E110" s="255"/>
      <c r="F110" s="255"/>
      <c r="G110" s="255"/>
      <c r="H110" s="255"/>
      <c r="I110" s="255"/>
      <c r="J110" s="255"/>
      <c r="K110" s="255"/>
      <c r="L110" s="255"/>
      <c r="M110" s="255"/>
      <c r="N110" s="255"/>
      <c r="O110" s="255"/>
      <c r="P110" s="255"/>
      <c r="Q110" s="255"/>
      <c r="R110" s="255"/>
      <c r="S110" s="255"/>
      <c r="T110" s="255"/>
      <c r="U110" s="255"/>
      <c r="V110" s="255"/>
      <c r="W110" s="255"/>
      <c r="X110" s="255"/>
      <c r="Y110" s="255"/>
    </row>
    <row r="111" spans="1:25">
      <c r="A111" s="255"/>
      <c r="B111" s="255"/>
      <c r="C111" s="255"/>
      <c r="D111" s="255"/>
      <c r="E111" s="255"/>
      <c r="F111" s="255"/>
      <c r="G111" s="255"/>
      <c r="H111" s="255"/>
      <c r="I111" s="255"/>
      <c r="J111" s="255"/>
      <c r="K111" s="255"/>
      <c r="L111" s="255"/>
      <c r="M111" s="255"/>
      <c r="N111" s="255"/>
      <c r="O111" s="255"/>
      <c r="P111" s="255"/>
      <c r="Q111" s="255"/>
      <c r="R111" s="255"/>
      <c r="S111" s="255"/>
      <c r="T111" s="255"/>
      <c r="U111" s="255"/>
      <c r="V111" s="255"/>
      <c r="W111" s="255"/>
      <c r="X111" s="255"/>
      <c r="Y111" s="255"/>
    </row>
    <row r="112" spans="1:25">
      <c r="A112" s="255"/>
      <c r="B112" s="255"/>
      <c r="C112" s="255"/>
      <c r="D112" s="255"/>
      <c r="E112" s="255"/>
      <c r="F112" s="255"/>
      <c r="G112" s="255"/>
      <c r="H112" s="255"/>
      <c r="I112" s="255"/>
      <c r="J112" s="255"/>
      <c r="K112" s="255"/>
      <c r="L112" s="255"/>
      <c r="M112" s="255"/>
      <c r="N112" s="255"/>
      <c r="O112" s="255"/>
      <c r="P112" s="255"/>
      <c r="Q112" s="255"/>
      <c r="R112" s="255"/>
      <c r="S112" s="255"/>
      <c r="T112" s="255"/>
      <c r="U112" s="255"/>
      <c r="V112" s="255"/>
      <c r="W112" s="255"/>
      <c r="X112" s="255"/>
      <c r="Y112" s="255"/>
    </row>
    <row r="113" spans="1:25">
      <c r="A113" s="255"/>
      <c r="B113" s="255"/>
      <c r="C113" s="255"/>
      <c r="D113" s="255"/>
      <c r="E113" s="255"/>
      <c r="F113" s="255"/>
      <c r="G113" s="255"/>
      <c r="H113" s="255"/>
      <c r="I113" s="255"/>
      <c r="J113" s="255"/>
      <c r="K113" s="255"/>
      <c r="L113" s="255"/>
      <c r="M113" s="255"/>
      <c r="N113" s="255"/>
      <c r="O113" s="255"/>
      <c r="P113" s="255"/>
      <c r="Q113" s="255"/>
      <c r="R113" s="255"/>
      <c r="S113" s="255"/>
      <c r="T113" s="255"/>
      <c r="U113" s="255"/>
      <c r="V113" s="255"/>
      <c r="W113" s="255"/>
      <c r="X113" s="255"/>
      <c r="Y113" s="255"/>
    </row>
    <row r="114" spans="1:25">
      <c r="A114" s="255"/>
      <c r="B114" s="255"/>
      <c r="C114" s="255"/>
      <c r="D114" s="255"/>
      <c r="E114" s="255"/>
      <c r="F114" s="255"/>
      <c r="G114" s="255"/>
      <c r="H114" s="255"/>
      <c r="I114" s="255"/>
      <c r="J114" s="255"/>
      <c r="K114" s="255"/>
      <c r="L114" s="255"/>
      <c r="M114" s="255"/>
      <c r="N114" s="255"/>
      <c r="O114" s="255"/>
      <c r="P114" s="255"/>
      <c r="Q114" s="255"/>
      <c r="R114" s="255"/>
      <c r="S114" s="255"/>
      <c r="T114" s="255"/>
      <c r="U114" s="255"/>
      <c r="V114" s="255"/>
      <c r="W114" s="255"/>
      <c r="X114" s="255"/>
      <c r="Y114" s="255"/>
    </row>
    <row r="115" spans="1:25">
      <c r="A115" s="255"/>
      <c r="B115" s="255"/>
      <c r="C115" s="255"/>
      <c r="D115" s="255"/>
      <c r="E115" s="255"/>
      <c r="F115" s="255"/>
      <c r="G115" s="255"/>
      <c r="H115" s="255"/>
      <c r="I115" s="255"/>
      <c r="J115" s="255"/>
      <c r="K115" s="255"/>
      <c r="L115" s="255"/>
      <c r="M115" s="255"/>
      <c r="N115" s="255"/>
      <c r="O115" s="255"/>
      <c r="P115" s="255"/>
      <c r="Q115" s="255"/>
      <c r="R115" s="255"/>
      <c r="S115" s="255"/>
      <c r="T115" s="255"/>
      <c r="U115" s="255"/>
      <c r="V115" s="255"/>
      <c r="W115" s="255"/>
      <c r="X115" s="255"/>
      <c r="Y115" s="255"/>
    </row>
    <row r="116" spans="1:25">
      <c r="A116" s="255"/>
      <c r="B116" s="255"/>
      <c r="C116" s="255"/>
      <c r="D116" s="255"/>
      <c r="E116" s="255"/>
      <c r="F116" s="255"/>
      <c r="G116" s="255"/>
      <c r="H116" s="255"/>
      <c r="I116" s="255"/>
      <c r="J116" s="255"/>
      <c r="K116" s="255"/>
      <c r="L116" s="255"/>
      <c r="M116" s="255"/>
      <c r="N116" s="255"/>
      <c r="O116" s="255"/>
      <c r="P116" s="255"/>
      <c r="Q116" s="255"/>
      <c r="R116" s="255"/>
      <c r="S116" s="255"/>
      <c r="T116" s="255"/>
      <c r="U116" s="255"/>
      <c r="V116" s="255"/>
      <c r="W116" s="255"/>
      <c r="X116" s="255"/>
      <c r="Y116" s="255"/>
    </row>
    <row r="117" spans="1:25">
      <c r="A117" s="255"/>
      <c r="B117" s="255"/>
      <c r="C117" s="255"/>
      <c r="D117" s="255"/>
      <c r="E117" s="255"/>
      <c r="F117" s="255"/>
      <c r="G117" s="255"/>
      <c r="H117" s="255"/>
      <c r="I117" s="255"/>
      <c r="J117" s="255"/>
      <c r="K117" s="255"/>
      <c r="L117" s="255"/>
      <c r="M117" s="255"/>
      <c r="N117" s="255"/>
      <c r="O117" s="255"/>
      <c r="P117" s="255"/>
      <c r="Q117" s="255"/>
      <c r="R117" s="255"/>
      <c r="S117" s="255"/>
      <c r="T117" s="255"/>
      <c r="U117" s="255"/>
      <c r="V117" s="255"/>
      <c r="W117" s="255"/>
      <c r="X117" s="255"/>
      <c r="Y117" s="255"/>
    </row>
    <row r="118" spans="1:25">
      <c r="A118" s="255"/>
      <c r="B118" s="255"/>
      <c r="C118" s="255"/>
      <c r="D118" s="255"/>
      <c r="E118" s="255"/>
      <c r="F118" s="255"/>
      <c r="G118" s="255"/>
      <c r="H118" s="255"/>
      <c r="I118" s="255"/>
      <c r="J118" s="255"/>
      <c r="K118" s="255"/>
      <c r="L118" s="255"/>
      <c r="M118" s="255"/>
      <c r="N118" s="255"/>
      <c r="O118" s="255"/>
      <c r="P118" s="255"/>
      <c r="Q118" s="255"/>
      <c r="R118" s="255"/>
      <c r="S118" s="255"/>
      <c r="T118" s="255"/>
      <c r="U118" s="255"/>
      <c r="V118" s="255"/>
      <c r="W118" s="255"/>
      <c r="X118" s="255"/>
      <c r="Y118" s="255"/>
    </row>
    <row r="119" spans="1:25">
      <c r="A119" s="255"/>
      <c r="B119" s="255"/>
      <c r="C119" s="255"/>
      <c r="D119" s="255"/>
      <c r="E119" s="255"/>
      <c r="F119" s="255"/>
      <c r="G119" s="255"/>
      <c r="H119" s="255"/>
      <c r="I119" s="255"/>
      <c r="J119" s="255"/>
      <c r="K119" s="255"/>
      <c r="L119" s="255"/>
      <c r="M119" s="255"/>
      <c r="N119" s="255"/>
      <c r="O119" s="255"/>
      <c r="P119" s="255"/>
      <c r="Q119" s="255"/>
      <c r="R119" s="255"/>
      <c r="S119" s="255"/>
      <c r="T119" s="255"/>
      <c r="U119" s="255"/>
      <c r="V119" s="255"/>
      <c r="W119" s="255"/>
      <c r="X119" s="255"/>
      <c r="Y119" s="255"/>
    </row>
    <row r="120" spans="1:25">
      <c r="A120" s="255"/>
      <c r="B120" s="255"/>
      <c r="C120" s="255"/>
      <c r="D120" s="255"/>
      <c r="E120" s="255"/>
      <c r="F120" s="255"/>
      <c r="G120" s="255"/>
      <c r="H120" s="255"/>
      <c r="I120" s="255"/>
      <c r="J120" s="255"/>
      <c r="K120" s="255"/>
      <c r="L120" s="255"/>
      <c r="M120" s="255"/>
      <c r="N120" s="255"/>
      <c r="O120" s="255"/>
      <c r="P120" s="255"/>
      <c r="Q120" s="255"/>
      <c r="R120" s="255"/>
      <c r="S120" s="255"/>
      <c r="T120" s="255"/>
      <c r="U120" s="255"/>
      <c r="V120" s="255"/>
      <c r="W120" s="255"/>
      <c r="X120" s="255"/>
      <c r="Y120" s="255"/>
    </row>
    <row r="121" spans="1:25">
      <c r="A121" s="255"/>
      <c r="B121" s="255"/>
      <c r="C121" s="255"/>
      <c r="D121" s="255"/>
      <c r="E121" s="255"/>
      <c r="F121" s="255"/>
      <c r="G121" s="255"/>
      <c r="H121" s="255"/>
      <c r="I121" s="255"/>
      <c r="J121" s="255"/>
      <c r="K121" s="255"/>
      <c r="L121" s="255"/>
      <c r="M121" s="255"/>
      <c r="N121" s="255"/>
      <c r="O121" s="255"/>
      <c r="P121" s="255"/>
      <c r="Q121" s="255"/>
      <c r="R121" s="255"/>
      <c r="S121" s="255"/>
      <c r="T121" s="255"/>
      <c r="U121" s="255"/>
      <c r="V121" s="255"/>
      <c r="W121" s="255"/>
      <c r="X121" s="255"/>
      <c r="Y121" s="255"/>
    </row>
    <row r="122" spans="1:25">
      <c r="A122" s="255"/>
      <c r="B122" s="255"/>
      <c r="C122" s="255"/>
      <c r="D122" s="255"/>
      <c r="E122" s="255"/>
      <c r="F122" s="255"/>
      <c r="G122" s="255"/>
      <c r="H122" s="255"/>
      <c r="I122" s="255"/>
      <c r="J122" s="255"/>
      <c r="K122" s="255"/>
      <c r="L122" s="255"/>
      <c r="M122" s="255"/>
      <c r="N122" s="255"/>
      <c r="O122" s="255"/>
      <c r="P122" s="255"/>
      <c r="Q122" s="255"/>
      <c r="R122" s="255"/>
      <c r="S122" s="255"/>
      <c r="T122" s="255"/>
      <c r="U122" s="255"/>
      <c r="V122" s="255"/>
      <c r="W122" s="255"/>
      <c r="X122" s="255"/>
      <c r="Y122" s="255"/>
    </row>
    <row r="123" spans="1:25">
      <c r="A123" s="255"/>
      <c r="B123" s="255"/>
      <c r="C123" s="255"/>
      <c r="D123" s="255"/>
      <c r="E123" s="255"/>
      <c r="F123" s="255"/>
      <c r="G123" s="255"/>
      <c r="H123" s="255"/>
      <c r="I123" s="255"/>
      <c r="J123" s="255"/>
      <c r="K123" s="255"/>
      <c r="L123" s="255"/>
      <c r="M123" s="255"/>
      <c r="N123" s="255"/>
      <c r="O123" s="255"/>
      <c r="P123" s="255"/>
      <c r="Q123" s="255"/>
      <c r="R123" s="255"/>
      <c r="S123" s="255"/>
      <c r="T123" s="255"/>
      <c r="U123" s="255"/>
      <c r="V123" s="255"/>
      <c r="W123" s="255"/>
      <c r="X123" s="255"/>
      <c r="Y123" s="255"/>
    </row>
    <row r="124" spans="1:25">
      <c r="A124" s="255"/>
      <c r="B124" s="255"/>
      <c r="C124" s="255"/>
      <c r="D124" s="255"/>
      <c r="E124" s="255"/>
      <c r="F124" s="255"/>
      <c r="G124" s="255"/>
      <c r="H124" s="255"/>
      <c r="I124" s="255"/>
      <c r="J124" s="255"/>
      <c r="K124" s="255"/>
      <c r="L124" s="255"/>
      <c r="M124" s="255"/>
      <c r="N124" s="255"/>
      <c r="O124" s="255"/>
      <c r="P124" s="255"/>
      <c r="Q124" s="255"/>
      <c r="R124" s="255"/>
      <c r="S124" s="255"/>
      <c r="T124" s="255"/>
      <c r="U124" s="255"/>
      <c r="V124" s="255"/>
      <c r="W124" s="255"/>
      <c r="X124" s="255"/>
      <c r="Y124" s="255"/>
    </row>
    <row r="125" spans="1:25">
      <c r="A125" s="255"/>
      <c r="B125" s="255"/>
      <c r="C125" s="255"/>
      <c r="D125" s="255"/>
      <c r="E125" s="255"/>
      <c r="F125" s="255"/>
      <c r="G125" s="255"/>
      <c r="H125" s="255"/>
      <c r="I125" s="255"/>
      <c r="J125" s="255"/>
      <c r="K125" s="255"/>
      <c r="L125" s="255"/>
      <c r="M125" s="255"/>
      <c r="N125" s="255"/>
      <c r="O125" s="255"/>
      <c r="P125" s="255"/>
      <c r="Q125" s="255"/>
      <c r="R125" s="255"/>
      <c r="S125" s="255"/>
      <c r="T125" s="255"/>
      <c r="U125" s="255"/>
      <c r="V125" s="255"/>
      <c r="W125" s="255"/>
      <c r="X125" s="255"/>
      <c r="Y125" s="255"/>
    </row>
    <row r="126" spans="1:25">
      <c r="A126" s="255"/>
      <c r="B126" s="255"/>
      <c r="C126" s="255"/>
      <c r="D126" s="255"/>
      <c r="E126" s="255"/>
      <c r="F126" s="255"/>
      <c r="G126" s="255"/>
      <c r="H126" s="255"/>
      <c r="I126" s="255"/>
      <c r="J126" s="255"/>
      <c r="K126" s="255"/>
      <c r="L126" s="255"/>
      <c r="M126" s="255"/>
      <c r="N126" s="255"/>
      <c r="O126" s="255"/>
      <c r="P126" s="255"/>
      <c r="Q126" s="255"/>
      <c r="R126" s="255"/>
      <c r="S126" s="255"/>
      <c r="T126" s="255"/>
      <c r="U126" s="255"/>
      <c r="V126" s="255"/>
      <c r="W126" s="255"/>
      <c r="X126" s="255"/>
      <c r="Y126" s="255"/>
    </row>
    <row r="127" spans="1:25">
      <c r="A127" s="255"/>
      <c r="B127" s="255"/>
      <c r="C127" s="255"/>
      <c r="D127" s="255"/>
      <c r="E127" s="255"/>
      <c r="F127" s="255"/>
      <c r="G127" s="255"/>
      <c r="H127" s="255"/>
      <c r="I127" s="255"/>
      <c r="J127" s="255"/>
      <c r="K127" s="255"/>
      <c r="L127" s="255"/>
      <c r="M127" s="255"/>
      <c r="N127" s="255"/>
      <c r="O127" s="255"/>
      <c r="P127" s="255"/>
      <c r="Q127" s="255"/>
      <c r="R127" s="255"/>
      <c r="S127" s="255"/>
      <c r="T127" s="255"/>
      <c r="U127" s="255"/>
      <c r="V127" s="255"/>
      <c r="W127" s="255"/>
      <c r="X127" s="255"/>
      <c r="Y127" s="255"/>
    </row>
    <row r="128" spans="1:25">
      <c r="A128" s="255"/>
      <c r="B128" s="255"/>
      <c r="C128" s="255"/>
      <c r="D128" s="255"/>
      <c r="E128" s="255"/>
      <c r="F128" s="255"/>
      <c r="G128" s="255"/>
      <c r="H128" s="255"/>
      <c r="I128" s="255"/>
      <c r="J128" s="255"/>
      <c r="K128" s="255"/>
      <c r="L128" s="255"/>
      <c r="M128" s="255"/>
      <c r="N128" s="255"/>
      <c r="O128" s="255"/>
      <c r="P128" s="255"/>
      <c r="Q128" s="255"/>
      <c r="R128" s="255"/>
      <c r="S128" s="255"/>
      <c r="T128" s="255"/>
      <c r="U128" s="255"/>
      <c r="V128" s="255"/>
      <c r="W128" s="255"/>
      <c r="X128" s="255"/>
      <c r="Y128" s="255"/>
    </row>
    <row r="129" spans="1:25">
      <c r="A129" s="255"/>
      <c r="B129" s="255"/>
      <c r="C129" s="255"/>
      <c r="D129" s="255"/>
      <c r="E129" s="255"/>
      <c r="F129" s="255"/>
      <c r="G129" s="255"/>
      <c r="H129" s="255"/>
      <c r="I129" s="255"/>
      <c r="J129" s="255"/>
      <c r="K129" s="255"/>
      <c r="L129" s="255"/>
      <c r="M129" s="255"/>
      <c r="N129" s="255"/>
      <c r="O129" s="255"/>
      <c r="P129" s="255"/>
      <c r="Q129" s="255"/>
      <c r="R129" s="255"/>
      <c r="S129" s="255"/>
      <c r="T129" s="255"/>
      <c r="U129" s="255"/>
      <c r="V129" s="255"/>
      <c r="W129" s="255"/>
      <c r="X129" s="255"/>
      <c r="Y129" s="255"/>
    </row>
    <row r="130" spans="1:25">
      <c r="A130" s="255"/>
      <c r="B130" s="255"/>
      <c r="C130" s="255"/>
      <c r="D130" s="255"/>
      <c r="E130" s="255"/>
      <c r="F130" s="255"/>
      <c r="G130" s="255"/>
      <c r="H130" s="255"/>
      <c r="I130" s="255"/>
      <c r="J130" s="255"/>
      <c r="K130" s="255"/>
      <c r="L130" s="255"/>
      <c r="M130" s="255"/>
      <c r="N130" s="255"/>
      <c r="O130" s="255"/>
      <c r="P130" s="255"/>
      <c r="Q130" s="255"/>
      <c r="R130" s="255"/>
      <c r="S130" s="255"/>
      <c r="T130" s="255"/>
      <c r="U130" s="255"/>
      <c r="V130" s="255"/>
      <c r="W130" s="255"/>
      <c r="X130" s="255"/>
      <c r="Y130" s="255"/>
    </row>
    <row r="131" spans="1:25">
      <c r="A131" s="255"/>
      <c r="B131" s="255"/>
      <c r="C131" s="255"/>
      <c r="D131" s="255"/>
      <c r="E131" s="255"/>
      <c r="F131" s="255"/>
      <c r="G131" s="255"/>
      <c r="H131" s="255"/>
      <c r="I131" s="255"/>
      <c r="J131" s="255"/>
      <c r="K131" s="255"/>
      <c r="L131" s="255"/>
      <c r="M131" s="255"/>
      <c r="N131" s="255"/>
      <c r="O131" s="255"/>
      <c r="P131" s="255"/>
      <c r="Q131" s="255"/>
      <c r="R131" s="255"/>
      <c r="S131" s="255"/>
      <c r="T131" s="255"/>
      <c r="U131" s="255"/>
      <c r="V131" s="255"/>
      <c r="W131" s="255"/>
      <c r="X131" s="255"/>
      <c r="Y131" s="255"/>
    </row>
    <row r="132" spans="1:25">
      <c r="A132" s="255"/>
      <c r="B132" s="255"/>
      <c r="C132" s="255"/>
      <c r="D132" s="255"/>
      <c r="E132" s="255"/>
      <c r="F132" s="255"/>
      <c r="G132" s="255"/>
      <c r="H132" s="255"/>
      <c r="I132" s="255"/>
      <c r="J132" s="255"/>
      <c r="K132" s="255"/>
      <c r="L132" s="255"/>
      <c r="M132" s="255"/>
      <c r="N132" s="255"/>
      <c r="O132" s="255"/>
      <c r="P132" s="255"/>
      <c r="Q132" s="255"/>
      <c r="R132" s="255"/>
      <c r="S132" s="255"/>
      <c r="T132" s="255"/>
      <c r="U132" s="255"/>
      <c r="V132" s="255"/>
      <c r="W132" s="255"/>
      <c r="X132" s="255"/>
      <c r="Y132" s="255"/>
    </row>
    <row r="133" spans="1:25">
      <c r="A133" s="255"/>
      <c r="B133" s="255"/>
      <c r="C133" s="255"/>
      <c r="D133" s="255"/>
      <c r="E133" s="255"/>
      <c r="F133" s="255"/>
      <c r="G133" s="255"/>
      <c r="H133" s="255"/>
      <c r="I133" s="255"/>
      <c r="J133" s="255"/>
      <c r="K133" s="255"/>
      <c r="L133" s="255"/>
      <c r="M133" s="255"/>
      <c r="N133" s="255"/>
      <c r="O133" s="255"/>
      <c r="P133" s="255"/>
      <c r="Q133" s="255"/>
      <c r="R133" s="255"/>
      <c r="S133" s="255"/>
      <c r="T133" s="255"/>
      <c r="U133" s="255"/>
      <c r="V133" s="255"/>
      <c r="W133" s="255"/>
      <c r="X133" s="255"/>
      <c r="Y133" s="255"/>
    </row>
    <row r="134" spans="1:25">
      <c r="A134" s="255"/>
      <c r="B134" s="255"/>
      <c r="C134" s="255"/>
      <c r="D134" s="255"/>
      <c r="E134" s="255"/>
      <c r="F134" s="255"/>
      <c r="G134" s="255"/>
      <c r="H134" s="255"/>
      <c r="I134" s="255"/>
      <c r="J134" s="255"/>
      <c r="K134" s="255"/>
      <c r="L134" s="255"/>
      <c r="M134" s="255"/>
      <c r="N134" s="255"/>
      <c r="O134" s="255"/>
      <c r="P134" s="255"/>
      <c r="Q134" s="255"/>
      <c r="R134" s="255"/>
      <c r="S134" s="255"/>
      <c r="T134" s="255"/>
      <c r="U134" s="255"/>
      <c r="V134" s="255"/>
      <c r="W134" s="255"/>
      <c r="X134" s="255"/>
      <c r="Y134" s="255"/>
    </row>
    <row r="135" spans="1:25">
      <c r="A135" s="255"/>
      <c r="B135" s="255"/>
      <c r="C135" s="255"/>
      <c r="D135" s="255"/>
      <c r="E135" s="255"/>
      <c r="F135" s="255"/>
      <c r="G135" s="255"/>
      <c r="H135" s="255"/>
      <c r="I135" s="255"/>
      <c r="J135" s="255"/>
      <c r="K135" s="255"/>
      <c r="L135" s="255"/>
      <c r="M135" s="255"/>
      <c r="N135" s="255"/>
      <c r="O135" s="255"/>
      <c r="P135" s="255"/>
      <c r="Q135" s="255"/>
      <c r="R135" s="255"/>
      <c r="S135" s="255"/>
      <c r="T135" s="255"/>
      <c r="U135" s="255"/>
      <c r="V135" s="255"/>
      <c r="W135" s="255"/>
      <c r="X135" s="255"/>
      <c r="Y135" s="255"/>
    </row>
    <row r="136" spans="1:25">
      <c r="A136" s="255"/>
      <c r="B136" s="255"/>
      <c r="C136" s="255"/>
      <c r="D136" s="255"/>
      <c r="E136" s="255"/>
      <c r="F136" s="255"/>
      <c r="G136" s="255"/>
      <c r="H136" s="255"/>
      <c r="I136" s="255"/>
      <c r="J136" s="255"/>
      <c r="K136" s="255"/>
      <c r="L136" s="255"/>
      <c r="M136" s="255"/>
      <c r="N136" s="255"/>
      <c r="O136" s="255"/>
      <c r="P136" s="255"/>
      <c r="Q136" s="255"/>
      <c r="R136" s="255"/>
      <c r="S136" s="255"/>
      <c r="T136" s="255"/>
      <c r="U136" s="255"/>
      <c r="V136" s="255"/>
      <c r="W136" s="255"/>
      <c r="X136" s="255"/>
      <c r="Y136" s="255"/>
    </row>
    <row r="137" spans="1:25">
      <c r="A137" s="255"/>
      <c r="B137" s="255"/>
      <c r="C137" s="255"/>
      <c r="D137" s="255"/>
      <c r="E137" s="255"/>
      <c r="F137" s="255"/>
      <c r="G137" s="255"/>
      <c r="H137" s="255"/>
      <c r="I137" s="255"/>
      <c r="J137" s="255"/>
      <c r="K137" s="255"/>
      <c r="L137" s="255"/>
      <c r="M137" s="255"/>
      <c r="N137" s="255"/>
      <c r="O137" s="255"/>
      <c r="P137" s="255"/>
      <c r="Q137" s="255"/>
      <c r="R137" s="255"/>
      <c r="S137" s="255"/>
      <c r="T137" s="255"/>
      <c r="U137" s="255"/>
      <c r="V137" s="255"/>
      <c r="W137" s="255"/>
      <c r="X137" s="255"/>
      <c r="Y137" s="255"/>
    </row>
    <row r="138" spans="1:25">
      <c r="A138" s="255"/>
      <c r="B138" s="255"/>
      <c r="C138" s="255"/>
      <c r="D138" s="255"/>
      <c r="E138" s="255"/>
      <c r="F138" s="255"/>
      <c r="G138" s="255"/>
      <c r="H138" s="255"/>
      <c r="I138" s="255"/>
      <c r="J138" s="255"/>
      <c r="K138" s="255"/>
      <c r="L138" s="255"/>
      <c r="M138" s="255"/>
      <c r="N138" s="255"/>
      <c r="O138" s="255"/>
      <c r="P138" s="255"/>
      <c r="Q138" s="255"/>
      <c r="R138" s="255"/>
      <c r="S138" s="255"/>
      <c r="T138" s="255"/>
      <c r="U138" s="255"/>
      <c r="V138" s="255"/>
      <c r="W138" s="255"/>
      <c r="X138" s="255"/>
      <c r="Y138" s="255"/>
    </row>
    <row r="139" spans="1:25">
      <c r="A139" s="255"/>
      <c r="B139" s="255"/>
      <c r="C139" s="255"/>
      <c r="D139" s="255"/>
      <c r="E139" s="255"/>
      <c r="F139" s="255"/>
      <c r="G139" s="255"/>
      <c r="H139" s="255"/>
      <c r="I139" s="255"/>
      <c r="J139" s="255"/>
      <c r="K139" s="255"/>
      <c r="L139" s="255"/>
      <c r="M139" s="255"/>
      <c r="N139" s="255"/>
      <c r="O139" s="255"/>
      <c r="P139" s="255"/>
      <c r="Q139" s="255"/>
      <c r="R139" s="255"/>
      <c r="S139" s="255"/>
      <c r="T139" s="255"/>
      <c r="U139" s="255"/>
      <c r="V139" s="255"/>
      <c r="W139" s="255"/>
      <c r="X139" s="255"/>
      <c r="Y139" s="255"/>
    </row>
  </sheetData>
  <mergeCells count="2">
    <mergeCell ref="B3:N3"/>
    <mergeCell ref="B4:N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dimension ref="A1:B53"/>
  <sheetViews>
    <sheetView workbookViewId="0">
      <selection activeCell="F58" sqref="F58"/>
    </sheetView>
  </sheetViews>
  <sheetFormatPr defaultRowHeight="12"/>
  <cols>
    <col min="1" max="1" width="43" customWidth="1"/>
    <col min="2" max="2" width="20.625" customWidth="1"/>
  </cols>
  <sheetData>
    <row r="1" spans="1:2">
      <c r="A1" s="1" t="s">
        <v>30</v>
      </c>
      <c r="B1" s="1" t="s">
        <v>30</v>
      </c>
    </row>
    <row r="2" spans="1:2" ht="14.25">
      <c r="A2" s="2" t="s">
        <v>145</v>
      </c>
      <c r="B2" t="s">
        <v>60</v>
      </c>
    </row>
    <row r="3" spans="1:2" ht="14.25">
      <c r="A3" s="2" t="s">
        <v>89</v>
      </c>
      <c r="B3" t="s">
        <v>133</v>
      </c>
    </row>
    <row r="4" spans="1:2">
      <c r="A4" s="1" t="s">
        <v>30</v>
      </c>
      <c r="B4" s="1" t="s">
        <v>30</v>
      </c>
    </row>
    <row r="5" spans="1:2" ht="15">
      <c r="A5" s="12" t="s">
        <v>147</v>
      </c>
      <c r="B5" s="28">
        <v>3</v>
      </c>
    </row>
    <row r="6" spans="1:2" ht="15">
      <c r="A6" s="12" t="s">
        <v>148</v>
      </c>
      <c r="B6" s="28" t="s">
        <v>100</v>
      </c>
    </row>
    <row r="7" spans="1:2" ht="15">
      <c r="A7" s="12" t="s">
        <v>149</v>
      </c>
      <c r="B7" s="28" t="s">
        <v>135</v>
      </c>
    </row>
    <row r="8" spans="1:2" ht="15">
      <c r="A8" s="12" t="s">
        <v>150</v>
      </c>
      <c r="B8" s="28" t="s">
        <v>136</v>
      </c>
    </row>
    <row r="9" spans="1:2" ht="15">
      <c r="A9" s="12" t="s">
        <v>151</v>
      </c>
      <c r="B9" s="28" t="s">
        <v>137</v>
      </c>
    </row>
    <row r="10" spans="1:2" ht="15">
      <c r="A10" s="24" t="s">
        <v>152</v>
      </c>
      <c r="B10" s="28" t="s">
        <v>137</v>
      </c>
    </row>
    <row r="11" spans="1:2" ht="15">
      <c r="A11" s="12" t="s">
        <v>153</v>
      </c>
      <c r="B11" s="28" t="s">
        <v>137</v>
      </c>
    </row>
    <row r="12" spans="1:2" ht="15">
      <c r="A12" s="12" t="s">
        <v>154</v>
      </c>
      <c r="B12" s="28" t="s">
        <v>136</v>
      </c>
    </row>
    <row r="13" spans="1:2" ht="15">
      <c r="A13" s="12" t="s">
        <v>131</v>
      </c>
      <c r="B13" s="28" t="s">
        <v>136</v>
      </c>
    </row>
    <row r="14" spans="1:2" ht="15">
      <c r="A14" s="12" t="s">
        <v>232</v>
      </c>
      <c r="B14" s="28" t="s">
        <v>100</v>
      </c>
    </row>
    <row r="15" spans="1:2" ht="15">
      <c r="A15" s="62" t="s">
        <v>156</v>
      </c>
      <c r="B15" s="28" t="s">
        <v>100</v>
      </c>
    </row>
    <row r="16" spans="1:2" ht="15">
      <c r="A16" s="12" t="s">
        <v>155</v>
      </c>
      <c r="B16" s="28" t="s">
        <v>100</v>
      </c>
    </row>
    <row r="17" spans="1:2" ht="15">
      <c r="A17" s="12" t="s">
        <v>157</v>
      </c>
      <c r="B17" s="28" t="s">
        <v>139</v>
      </c>
    </row>
    <row r="18" spans="1:2" ht="15">
      <c r="A18" s="12" t="s">
        <v>158</v>
      </c>
      <c r="B18" s="28" t="s">
        <v>136</v>
      </c>
    </row>
    <row r="19" spans="1:2" ht="15">
      <c r="A19" s="12" t="s">
        <v>129</v>
      </c>
      <c r="B19" s="28" t="s">
        <v>136</v>
      </c>
    </row>
    <row r="20" spans="1:2" ht="15">
      <c r="A20" s="12" t="s">
        <v>159</v>
      </c>
      <c r="B20" s="28" t="s">
        <v>136</v>
      </c>
    </row>
    <row r="21" spans="1:2" ht="15">
      <c r="A21" s="12" t="s">
        <v>160</v>
      </c>
      <c r="B21" s="28" t="s">
        <v>136</v>
      </c>
    </row>
    <row r="22" spans="1:2" ht="15">
      <c r="A22" s="11" t="s">
        <v>161</v>
      </c>
      <c r="B22" s="28" t="s">
        <v>136</v>
      </c>
    </row>
    <row r="23" spans="1:2" ht="15">
      <c r="A23" s="11" t="s">
        <v>162</v>
      </c>
      <c r="B23" s="28" t="s">
        <v>136</v>
      </c>
    </row>
    <row r="24" spans="1:2" ht="15">
      <c r="A24" s="12" t="s">
        <v>163</v>
      </c>
      <c r="B24" s="28" t="s">
        <v>136</v>
      </c>
    </row>
    <row r="25" spans="1:2" ht="15">
      <c r="A25" s="11" t="s">
        <v>164</v>
      </c>
      <c r="B25" s="28" t="s">
        <v>136</v>
      </c>
    </row>
    <row r="26" spans="1:2" ht="15">
      <c r="A26" s="12" t="s">
        <v>165</v>
      </c>
      <c r="B26" s="28" t="s">
        <v>136</v>
      </c>
    </row>
    <row r="27" spans="1:2" ht="15">
      <c r="A27" s="24" t="s">
        <v>166</v>
      </c>
      <c r="B27" s="28" t="s">
        <v>135</v>
      </c>
    </row>
    <row r="28" spans="1:2" ht="15">
      <c r="A28" s="12" t="s">
        <v>167</v>
      </c>
      <c r="B28" s="28" t="s">
        <v>135</v>
      </c>
    </row>
    <row r="29" spans="1:2" ht="15">
      <c r="A29" s="12" t="s">
        <v>168</v>
      </c>
      <c r="B29" s="28" t="s">
        <v>140</v>
      </c>
    </row>
    <row r="30" spans="1:2" ht="15">
      <c r="A30" s="12" t="s">
        <v>169</v>
      </c>
      <c r="B30" s="28" t="s">
        <v>136</v>
      </c>
    </row>
    <row r="31" spans="1:2" ht="15">
      <c r="A31" s="12" t="s">
        <v>170</v>
      </c>
      <c r="B31" s="28" t="s">
        <v>141</v>
      </c>
    </row>
    <row r="32" spans="1:2" ht="15">
      <c r="A32" s="12" t="s">
        <v>171</v>
      </c>
      <c r="B32" s="28" t="s">
        <v>137</v>
      </c>
    </row>
    <row r="33" spans="1:2" ht="15">
      <c r="A33" s="12" t="s">
        <v>243</v>
      </c>
      <c r="B33" s="28" t="s">
        <v>135</v>
      </c>
    </row>
    <row r="34" spans="1:2" ht="15">
      <c r="A34" s="12" t="s">
        <v>172</v>
      </c>
      <c r="B34" s="28" t="s">
        <v>136</v>
      </c>
    </row>
    <row r="35" spans="1:2" ht="15">
      <c r="A35" s="12" t="s">
        <v>173</v>
      </c>
      <c r="B35" s="28" t="s">
        <v>136</v>
      </c>
    </row>
    <row r="36" spans="1:2" ht="15">
      <c r="A36" s="12" t="s">
        <v>174</v>
      </c>
      <c r="B36" s="28" t="s">
        <v>136</v>
      </c>
    </row>
    <row r="37" spans="1:2" ht="15">
      <c r="A37" s="12" t="s">
        <v>175</v>
      </c>
      <c r="B37" s="28" t="s">
        <v>136</v>
      </c>
    </row>
    <row r="38" spans="1:2" ht="15">
      <c r="A38" s="11" t="s">
        <v>176</v>
      </c>
      <c r="B38" s="28" t="s">
        <v>136</v>
      </c>
    </row>
    <row r="39" spans="1:2" ht="15">
      <c r="A39" s="11" t="s">
        <v>177</v>
      </c>
      <c r="B39" s="28" t="s">
        <v>136</v>
      </c>
    </row>
    <row r="40" spans="1:2" ht="15">
      <c r="A40" s="12" t="s">
        <v>178</v>
      </c>
      <c r="B40" s="28" t="s">
        <v>136</v>
      </c>
    </row>
    <row r="41" spans="1:2" ht="15">
      <c r="A41" s="12" t="s">
        <v>179</v>
      </c>
      <c r="B41" s="28" t="s">
        <v>136</v>
      </c>
    </row>
    <row r="42" spans="1:2" ht="15">
      <c r="A42" s="12" t="s">
        <v>180</v>
      </c>
      <c r="B42" s="28" t="s">
        <v>136</v>
      </c>
    </row>
    <row r="43" spans="1:2" ht="15">
      <c r="A43" s="12" t="s">
        <v>181</v>
      </c>
      <c r="B43" s="28" t="s">
        <v>137</v>
      </c>
    </row>
    <row r="44" spans="1:2" ht="15">
      <c r="A44" s="12" t="s">
        <v>182</v>
      </c>
      <c r="B44" s="28" t="s">
        <v>137</v>
      </c>
    </row>
    <row r="45" spans="1:2" ht="15">
      <c r="A45" s="12" t="s">
        <v>183</v>
      </c>
      <c r="B45" s="28" t="s">
        <v>137</v>
      </c>
    </row>
    <row r="46" spans="1:2" ht="15">
      <c r="A46" s="12" t="s">
        <v>184</v>
      </c>
      <c r="B46" s="28" t="s">
        <v>137</v>
      </c>
    </row>
    <row r="47" spans="1:2" ht="15">
      <c r="A47" s="11" t="s">
        <v>19</v>
      </c>
      <c r="B47" s="28" t="s">
        <v>143</v>
      </c>
    </row>
    <row r="48" spans="1:2" ht="15">
      <c r="A48" s="63" t="s">
        <v>186</v>
      </c>
      <c r="B48" s="28" t="s">
        <v>143</v>
      </c>
    </row>
    <row r="49" spans="1:2" ht="15">
      <c r="A49" s="11" t="s">
        <v>185</v>
      </c>
      <c r="B49" s="28" t="s">
        <v>142</v>
      </c>
    </row>
    <row r="50" spans="1:2" ht="15">
      <c r="A50" s="12" t="s">
        <v>187</v>
      </c>
      <c r="B50" s="28" t="s">
        <v>144</v>
      </c>
    </row>
    <row r="51" spans="1:2" ht="15">
      <c r="A51" s="12" t="s">
        <v>188</v>
      </c>
      <c r="B51" s="28" t="s">
        <v>136</v>
      </c>
    </row>
    <row r="52" spans="1:2" ht="15">
      <c r="A52" s="12" t="s">
        <v>189</v>
      </c>
      <c r="B52" s="28" t="s">
        <v>136</v>
      </c>
    </row>
    <row r="53" spans="1:2" ht="15">
      <c r="A53" s="11" t="s">
        <v>190</v>
      </c>
      <c r="B53" s="28" t="s">
        <v>138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
  <dimension ref="A1:AM79"/>
  <sheetViews>
    <sheetView workbookViewId="0">
      <selection activeCell="V12" sqref="V12"/>
    </sheetView>
  </sheetViews>
  <sheetFormatPr defaultRowHeight="12"/>
  <cols>
    <col min="1" max="1" width="11.875" customWidth="1"/>
    <col min="2" max="2" width="12.5" customWidth="1"/>
    <col min="3" max="3" width="24.375" bestFit="1" customWidth="1"/>
    <col min="4" max="4" width="9.5" customWidth="1"/>
    <col min="5" max="5" width="5.25" bestFit="1" customWidth="1"/>
    <col min="6" max="6" width="5.5" bestFit="1" customWidth="1"/>
    <col min="7" max="7" width="4.875" bestFit="1" customWidth="1"/>
    <col min="8" max="8" width="4.75" bestFit="1" customWidth="1"/>
    <col min="9" max="9" width="4.875" bestFit="1" customWidth="1"/>
    <col min="10" max="10" width="6" customWidth="1"/>
    <col min="11" max="11" width="4.875" bestFit="1" customWidth="1"/>
    <col min="12" max="12" width="5.625" customWidth="1"/>
    <col min="13" max="13" width="5.75" bestFit="1" customWidth="1"/>
    <col min="14" max="14" width="5.25" bestFit="1" customWidth="1"/>
    <col min="15" max="15" width="5.125" bestFit="1" customWidth="1"/>
    <col min="16" max="17" width="6" bestFit="1" customWidth="1"/>
    <col min="18" max="19" width="5.75" bestFit="1" customWidth="1"/>
    <col min="20" max="20" width="5.75" customWidth="1"/>
  </cols>
  <sheetData>
    <row r="1" spans="1:39">
      <c r="A1" s="489"/>
      <c r="B1" s="489"/>
      <c r="C1" s="489"/>
      <c r="D1" s="489"/>
      <c r="E1" s="489"/>
      <c r="F1" s="489"/>
      <c r="G1" s="489"/>
      <c r="H1" s="489"/>
      <c r="I1" s="489"/>
      <c r="J1" s="489"/>
      <c r="K1" s="489"/>
      <c r="L1" s="489"/>
      <c r="M1" s="489"/>
      <c r="N1" s="489"/>
      <c r="O1" s="489"/>
      <c r="P1" s="489"/>
      <c r="Q1" s="489"/>
      <c r="R1" s="489"/>
      <c r="S1" s="489"/>
      <c r="T1" s="489"/>
      <c r="U1" s="489"/>
      <c r="V1" s="489"/>
      <c r="W1" s="489"/>
      <c r="X1" s="489"/>
      <c r="Y1" s="489"/>
      <c r="Z1" s="489"/>
      <c r="AA1" s="489"/>
      <c r="AB1" s="489"/>
      <c r="AC1" s="489"/>
      <c r="AD1" s="489"/>
      <c r="AE1" s="489"/>
      <c r="AF1" s="489"/>
      <c r="AG1" s="489"/>
      <c r="AH1" s="489"/>
      <c r="AI1" s="489"/>
      <c r="AJ1" s="489"/>
      <c r="AK1" s="489"/>
      <c r="AL1" s="489"/>
      <c r="AM1" s="489"/>
    </row>
    <row r="2" spans="1:39">
      <c r="A2" s="489"/>
      <c r="B2" s="489"/>
      <c r="C2" s="489"/>
      <c r="D2" s="489"/>
      <c r="E2" s="489"/>
      <c r="F2" s="489"/>
      <c r="G2" s="489"/>
      <c r="H2" s="489"/>
      <c r="I2" s="489"/>
      <c r="J2" s="489"/>
      <c r="K2" s="489"/>
      <c r="L2" s="489"/>
      <c r="M2" s="489"/>
      <c r="N2" s="489"/>
      <c r="O2" s="489"/>
      <c r="P2" s="489"/>
      <c r="Q2" s="489"/>
      <c r="R2" s="489"/>
      <c r="S2" s="489"/>
      <c r="T2" s="489"/>
      <c r="U2" s="489"/>
      <c r="V2" s="489"/>
      <c r="W2" s="489"/>
      <c r="X2" s="489"/>
      <c r="Y2" s="489"/>
      <c r="Z2" s="489"/>
      <c r="AA2" s="489"/>
      <c r="AB2" s="489"/>
      <c r="AC2" s="489"/>
      <c r="AD2" s="489"/>
      <c r="AE2" s="489"/>
      <c r="AF2" s="489"/>
      <c r="AG2" s="489"/>
      <c r="AH2" s="489"/>
      <c r="AI2" s="489"/>
      <c r="AJ2" s="489"/>
      <c r="AK2" s="489"/>
      <c r="AL2" s="489"/>
      <c r="AM2" s="489"/>
    </row>
    <row r="3" spans="1:39">
      <c r="A3" s="489"/>
      <c r="B3" s="489"/>
      <c r="C3" s="489"/>
      <c r="D3" s="489"/>
      <c r="E3" s="489"/>
      <c r="F3" s="489"/>
      <c r="G3" s="489"/>
      <c r="H3" s="489"/>
      <c r="I3" s="489"/>
      <c r="J3" s="489"/>
      <c r="K3" s="489"/>
      <c r="L3" s="489"/>
      <c r="M3" s="489"/>
      <c r="N3" s="489"/>
      <c r="O3" s="489"/>
      <c r="P3" s="489"/>
      <c r="Q3" s="489"/>
      <c r="R3" s="489"/>
      <c r="S3" s="489"/>
      <c r="T3" s="489"/>
      <c r="U3" s="489"/>
      <c r="V3" s="489"/>
      <c r="W3" s="489"/>
      <c r="X3" s="489"/>
      <c r="Y3" s="489"/>
      <c r="Z3" s="489"/>
      <c r="AA3" s="489"/>
      <c r="AB3" s="489"/>
      <c r="AC3" s="489"/>
      <c r="AD3" s="489"/>
      <c r="AE3" s="489"/>
      <c r="AF3" s="489"/>
      <c r="AG3" s="489"/>
      <c r="AH3" s="489"/>
      <c r="AI3" s="489"/>
      <c r="AJ3" s="489"/>
      <c r="AK3" s="489"/>
      <c r="AL3" s="489"/>
      <c r="AM3" s="489"/>
    </row>
    <row r="4" spans="1:39">
      <c r="A4" s="489"/>
      <c r="B4" s="489"/>
      <c r="C4" s="489"/>
      <c r="D4" s="489"/>
      <c r="E4" s="489"/>
      <c r="F4" s="489"/>
      <c r="G4" s="489"/>
      <c r="H4" s="489"/>
      <c r="I4" s="489"/>
      <c r="J4" s="489"/>
      <c r="K4" s="489"/>
      <c r="L4" s="489"/>
      <c r="M4" s="489"/>
      <c r="N4" s="489"/>
      <c r="O4" s="489"/>
      <c r="P4" s="489"/>
      <c r="Q4" s="489"/>
      <c r="R4" s="489"/>
      <c r="S4" s="489"/>
      <c r="T4" s="489"/>
      <c r="U4" s="489"/>
      <c r="V4" s="489"/>
      <c r="W4" s="489"/>
      <c r="X4" s="489"/>
      <c r="Y4" s="489"/>
      <c r="Z4" s="489"/>
      <c r="AA4" s="489"/>
      <c r="AB4" s="489"/>
      <c r="AC4" s="489"/>
      <c r="AD4" s="489"/>
      <c r="AE4" s="489"/>
      <c r="AF4" s="489"/>
      <c r="AG4" s="489"/>
      <c r="AH4" s="489"/>
      <c r="AI4" s="489"/>
      <c r="AJ4" s="489"/>
      <c r="AK4" s="489"/>
      <c r="AL4" s="489"/>
      <c r="AM4" s="489"/>
    </row>
    <row r="5" spans="1:39" ht="12.75" thickBot="1">
      <c r="A5" s="489"/>
      <c r="B5" s="489"/>
      <c r="C5" s="489"/>
      <c r="D5" s="489"/>
      <c r="E5" s="489"/>
      <c r="F5" s="489"/>
      <c r="G5" s="489"/>
      <c r="H5" s="489"/>
      <c r="I5" s="489"/>
      <c r="J5" s="489"/>
      <c r="K5" s="489"/>
      <c r="L5" s="489"/>
      <c r="M5" s="489"/>
      <c r="N5" s="489"/>
      <c r="O5" s="489"/>
      <c r="P5" s="489"/>
      <c r="Q5" s="489"/>
      <c r="R5" s="489"/>
      <c r="S5" s="489"/>
      <c r="T5" s="489"/>
      <c r="U5" s="489"/>
      <c r="V5" s="489"/>
      <c r="W5" s="489"/>
      <c r="X5" s="489"/>
      <c r="Y5" s="489"/>
      <c r="Z5" s="489"/>
      <c r="AA5" s="489"/>
      <c r="AB5" s="489"/>
      <c r="AC5" s="489"/>
      <c r="AD5" s="489"/>
      <c r="AE5" s="489"/>
      <c r="AF5" s="489"/>
      <c r="AG5" s="489"/>
      <c r="AH5" s="489"/>
      <c r="AI5" s="489"/>
      <c r="AJ5" s="489"/>
      <c r="AK5" s="489"/>
      <c r="AL5" s="489"/>
      <c r="AM5" s="489"/>
    </row>
    <row r="6" spans="1:39" ht="31.5" customHeight="1">
      <c r="A6" s="603"/>
      <c r="B6" s="604"/>
      <c r="C6" s="1453" t="s">
        <v>580</v>
      </c>
      <c r="D6" s="1453"/>
      <c r="E6" s="1453"/>
      <c r="F6" s="1453"/>
      <c r="G6" s="1453"/>
      <c r="H6" s="1453"/>
      <c r="I6" s="1453"/>
      <c r="J6" s="1453"/>
      <c r="K6" s="1453"/>
      <c r="L6" s="1453"/>
      <c r="M6" s="1453"/>
      <c r="N6" s="1453"/>
      <c r="O6" s="1453"/>
      <c r="P6" s="1453"/>
      <c r="Q6" s="1453"/>
      <c r="R6" s="1453"/>
      <c r="S6" s="1453"/>
      <c r="T6" s="1454"/>
      <c r="U6" s="489"/>
      <c r="V6" s="489"/>
      <c r="W6" s="489"/>
      <c r="X6" s="489"/>
      <c r="Y6" s="489"/>
      <c r="Z6" s="489"/>
      <c r="AA6" s="489"/>
      <c r="AB6" s="489"/>
      <c r="AC6" s="489"/>
      <c r="AD6" s="489"/>
      <c r="AE6" s="489"/>
      <c r="AF6" s="489"/>
      <c r="AG6" s="489"/>
      <c r="AH6" s="489"/>
      <c r="AI6" s="489"/>
      <c r="AJ6" s="489"/>
      <c r="AK6" s="489"/>
      <c r="AL6" s="489"/>
      <c r="AM6" s="489"/>
    </row>
    <row r="7" spans="1:39" ht="47.25">
      <c r="A7" s="605" t="s">
        <v>525</v>
      </c>
      <c r="B7" s="1103" t="s">
        <v>526</v>
      </c>
      <c r="C7" s="590" t="s">
        <v>527</v>
      </c>
      <c r="D7" s="591" t="s">
        <v>528</v>
      </c>
      <c r="E7" s="592" t="s">
        <v>529</v>
      </c>
      <c r="F7" s="592" t="s">
        <v>530</v>
      </c>
      <c r="G7" s="592" t="s">
        <v>531</v>
      </c>
      <c r="H7" s="592" t="s">
        <v>532</v>
      </c>
      <c r="I7" s="592" t="s">
        <v>533</v>
      </c>
      <c r="J7" s="592" t="s">
        <v>534</v>
      </c>
      <c r="K7" s="592" t="s">
        <v>535</v>
      </c>
      <c r="L7" s="592" t="s">
        <v>536</v>
      </c>
      <c r="M7" s="593" t="s">
        <v>537</v>
      </c>
      <c r="N7" s="593" t="s">
        <v>538</v>
      </c>
      <c r="O7" s="593" t="s">
        <v>539</v>
      </c>
      <c r="P7" s="593" t="s">
        <v>540</v>
      </c>
      <c r="Q7" s="593" t="s">
        <v>541</v>
      </c>
      <c r="R7" s="594" t="s">
        <v>542</v>
      </c>
      <c r="S7" s="593" t="s">
        <v>543</v>
      </c>
      <c r="T7" s="606" t="s">
        <v>544</v>
      </c>
      <c r="U7" s="489"/>
      <c r="V7" s="489"/>
      <c r="W7" s="489"/>
      <c r="X7" s="489"/>
      <c r="Y7" s="489"/>
      <c r="Z7" s="489"/>
      <c r="AA7" s="489"/>
      <c r="AB7" s="489"/>
      <c r="AC7" s="489"/>
      <c r="AD7" s="489"/>
      <c r="AE7" s="489"/>
      <c r="AF7" s="489"/>
      <c r="AG7" s="489"/>
      <c r="AH7" s="489"/>
      <c r="AI7" s="489"/>
      <c r="AJ7" s="489"/>
      <c r="AK7" s="489"/>
      <c r="AL7" s="489"/>
      <c r="AM7" s="489"/>
    </row>
    <row r="8" spans="1:39" ht="15.75">
      <c r="A8" s="1104"/>
      <c r="B8" s="1105"/>
      <c r="C8" s="1455" t="s">
        <v>545</v>
      </c>
      <c r="D8" s="1456"/>
      <c r="E8" s="1106"/>
      <c r="F8" s="1107"/>
      <c r="G8" s="1107"/>
      <c r="H8" s="1107"/>
      <c r="I8" s="1107"/>
      <c r="J8" s="1107"/>
      <c r="K8" s="1107"/>
      <c r="L8" s="1107"/>
      <c r="M8" s="1107"/>
      <c r="N8" s="1107"/>
      <c r="O8" s="1107"/>
      <c r="P8" s="1107"/>
      <c r="Q8" s="1107"/>
      <c r="R8" s="1107"/>
      <c r="S8" s="1107"/>
      <c r="T8" s="1108"/>
      <c r="U8" s="489"/>
      <c r="V8" s="489"/>
      <c r="W8" s="489"/>
      <c r="X8" s="489"/>
      <c r="Y8" s="489"/>
      <c r="Z8" s="489"/>
      <c r="AA8" s="489"/>
      <c r="AB8" s="489"/>
      <c r="AC8" s="489"/>
      <c r="AD8" s="489"/>
      <c r="AE8" s="489"/>
      <c r="AF8" s="489"/>
      <c r="AG8" s="489"/>
      <c r="AH8" s="489"/>
      <c r="AI8" s="489"/>
      <c r="AJ8" s="489"/>
      <c r="AK8" s="489"/>
      <c r="AL8" s="489"/>
      <c r="AM8" s="489"/>
    </row>
    <row r="9" spans="1:39" ht="15">
      <c r="A9" s="607" t="s">
        <v>546</v>
      </c>
      <c r="B9" s="1112" t="s">
        <v>547</v>
      </c>
      <c r="C9" s="559" t="s">
        <v>548</v>
      </c>
      <c r="D9" s="595" t="s">
        <v>549</v>
      </c>
      <c r="E9" s="597">
        <v>8.5</v>
      </c>
      <c r="F9" s="596" t="s">
        <v>550</v>
      </c>
      <c r="G9" s="597">
        <v>3</v>
      </c>
      <c r="H9" s="597">
        <v>2.5</v>
      </c>
      <c r="I9" s="597">
        <v>7</v>
      </c>
      <c r="J9" s="597">
        <v>10</v>
      </c>
      <c r="K9" s="597">
        <v>5</v>
      </c>
      <c r="L9" s="597">
        <v>9</v>
      </c>
      <c r="M9" s="597">
        <v>6.5</v>
      </c>
      <c r="N9" s="597">
        <v>1.5</v>
      </c>
      <c r="O9" s="597">
        <v>4</v>
      </c>
      <c r="P9" s="596" t="s">
        <v>550</v>
      </c>
      <c r="Q9" s="596" t="s">
        <v>550</v>
      </c>
      <c r="R9" s="596" t="s">
        <v>550</v>
      </c>
      <c r="S9" s="596" t="s">
        <v>550</v>
      </c>
      <c r="T9" s="608" t="s">
        <v>550</v>
      </c>
      <c r="U9" s="489"/>
      <c r="V9" s="489"/>
      <c r="W9" s="489"/>
      <c r="X9" s="489"/>
      <c r="Y9" s="489"/>
      <c r="Z9" s="489"/>
      <c r="AA9" s="489"/>
      <c r="AB9" s="489"/>
      <c r="AC9" s="489"/>
      <c r="AD9" s="489"/>
      <c r="AE9" s="489"/>
      <c r="AF9" s="489"/>
      <c r="AG9" s="489"/>
      <c r="AH9" s="489"/>
      <c r="AI9" s="489"/>
      <c r="AJ9" s="489"/>
      <c r="AK9" s="489"/>
      <c r="AL9" s="489"/>
      <c r="AM9" s="489"/>
    </row>
    <row r="10" spans="1:39" ht="15">
      <c r="A10" s="607" t="s">
        <v>551</v>
      </c>
      <c r="B10" s="598" t="s">
        <v>549</v>
      </c>
      <c r="C10" s="559" t="s">
        <v>552</v>
      </c>
      <c r="D10" s="598" t="s">
        <v>553</v>
      </c>
      <c r="E10" s="597">
        <v>5.5</v>
      </c>
      <c r="F10" s="596" t="s">
        <v>550</v>
      </c>
      <c r="G10" s="596" t="s">
        <v>550</v>
      </c>
      <c r="H10" s="596" t="s">
        <v>550</v>
      </c>
      <c r="I10" s="596" t="s">
        <v>550</v>
      </c>
      <c r="J10" s="597">
        <v>5.5</v>
      </c>
      <c r="K10" s="597">
        <v>3</v>
      </c>
      <c r="L10" s="597">
        <v>5</v>
      </c>
      <c r="M10" s="597">
        <v>3.5</v>
      </c>
      <c r="N10" s="597">
        <v>1</v>
      </c>
      <c r="O10" s="597">
        <v>1.5</v>
      </c>
      <c r="P10" s="597">
        <v>6.5</v>
      </c>
      <c r="Q10" s="597">
        <v>6</v>
      </c>
      <c r="R10" s="597">
        <v>6</v>
      </c>
      <c r="S10" s="597">
        <v>6</v>
      </c>
      <c r="T10" s="609">
        <v>4.5</v>
      </c>
      <c r="U10" s="489"/>
      <c r="V10" s="489"/>
      <c r="W10" s="489"/>
      <c r="X10" s="489"/>
      <c r="Y10" s="489"/>
      <c r="Z10" s="489"/>
      <c r="AA10" s="489"/>
      <c r="AB10" s="489"/>
      <c r="AC10" s="489"/>
      <c r="AD10" s="489"/>
      <c r="AE10" s="489"/>
      <c r="AF10" s="489"/>
      <c r="AG10" s="489"/>
      <c r="AH10" s="489"/>
      <c r="AI10" s="489"/>
      <c r="AJ10" s="489"/>
      <c r="AK10" s="489"/>
      <c r="AL10" s="489"/>
      <c r="AM10" s="489"/>
    </row>
    <row r="11" spans="1:39" ht="15">
      <c r="A11" s="607" t="s">
        <v>547</v>
      </c>
      <c r="B11" s="598" t="s">
        <v>551</v>
      </c>
      <c r="C11" s="559" t="s">
        <v>554</v>
      </c>
      <c r="D11" s="598" t="s">
        <v>553</v>
      </c>
      <c r="E11" s="597">
        <v>6.5</v>
      </c>
      <c r="F11" s="597">
        <v>1.5</v>
      </c>
      <c r="G11" s="597">
        <v>2</v>
      </c>
      <c r="H11" s="597">
        <v>2</v>
      </c>
      <c r="I11" s="597">
        <v>5.5</v>
      </c>
      <c r="J11" s="597">
        <v>7</v>
      </c>
      <c r="K11" s="597">
        <v>3.5</v>
      </c>
      <c r="L11" s="597">
        <v>6.5</v>
      </c>
      <c r="M11" s="597">
        <v>5.5</v>
      </c>
      <c r="N11" s="597">
        <v>1.5</v>
      </c>
      <c r="O11" s="597">
        <v>2.5</v>
      </c>
      <c r="P11" s="597">
        <v>4</v>
      </c>
      <c r="Q11" s="597">
        <v>4.5</v>
      </c>
      <c r="R11" s="597">
        <v>5</v>
      </c>
      <c r="S11" s="597">
        <v>6</v>
      </c>
      <c r="T11" s="609">
        <v>4</v>
      </c>
      <c r="U11" s="269"/>
      <c r="V11" s="489"/>
      <c r="W11" s="489"/>
      <c r="X11" s="489"/>
      <c r="Y11" s="489"/>
      <c r="Z11" s="489"/>
      <c r="AA11" s="489"/>
      <c r="AB11" s="489"/>
      <c r="AC11" s="489"/>
      <c r="AD11" s="489"/>
      <c r="AE11" s="489"/>
      <c r="AF11" s="489"/>
      <c r="AG11" s="489"/>
      <c r="AH11" s="489"/>
      <c r="AI11" s="489"/>
      <c r="AJ11" s="489"/>
      <c r="AK11" s="489"/>
      <c r="AL11" s="489"/>
      <c r="AM11" s="489"/>
    </row>
    <row r="12" spans="1:39" ht="15">
      <c r="A12" s="607" t="s">
        <v>546</v>
      </c>
      <c r="B12" s="598" t="s">
        <v>551</v>
      </c>
      <c r="C12" s="559" t="s">
        <v>555</v>
      </c>
      <c r="D12" s="598" t="s">
        <v>549</v>
      </c>
      <c r="E12" s="597">
        <v>7.5</v>
      </c>
      <c r="F12" s="597">
        <v>2</v>
      </c>
      <c r="G12" s="597">
        <v>3</v>
      </c>
      <c r="H12" s="597">
        <v>2.5</v>
      </c>
      <c r="I12" s="597">
        <v>6.5</v>
      </c>
      <c r="J12" s="597">
        <v>7</v>
      </c>
      <c r="K12" s="597">
        <v>5</v>
      </c>
      <c r="L12" s="597">
        <v>8</v>
      </c>
      <c r="M12" s="597">
        <v>6</v>
      </c>
      <c r="N12" s="597">
        <v>2</v>
      </c>
      <c r="O12" s="597">
        <v>4</v>
      </c>
      <c r="P12" s="596" t="s">
        <v>550</v>
      </c>
      <c r="Q12" s="596" t="s">
        <v>550</v>
      </c>
      <c r="R12" s="596" t="s">
        <v>550</v>
      </c>
      <c r="S12" s="597">
        <v>6</v>
      </c>
      <c r="T12" s="609">
        <v>5.5</v>
      </c>
      <c r="U12" s="489"/>
      <c r="V12" s="489"/>
      <c r="W12" s="489"/>
      <c r="X12" s="489"/>
      <c r="Y12" s="489"/>
      <c r="Z12" s="489"/>
      <c r="AA12" s="489"/>
      <c r="AB12" s="489"/>
      <c r="AC12" s="489"/>
      <c r="AD12" s="489"/>
      <c r="AE12" s="489"/>
      <c r="AF12" s="489"/>
      <c r="AG12" s="489"/>
      <c r="AH12" s="489"/>
      <c r="AI12" s="489"/>
      <c r="AJ12" s="489"/>
      <c r="AK12" s="489"/>
      <c r="AL12" s="489"/>
      <c r="AM12" s="489"/>
    </row>
    <row r="13" spans="1:39" ht="15">
      <c r="A13" s="607" t="s">
        <v>551</v>
      </c>
      <c r="B13" s="598" t="s">
        <v>549</v>
      </c>
      <c r="C13" s="559" t="s">
        <v>556</v>
      </c>
      <c r="D13" s="598" t="s">
        <v>549</v>
      </c>
      <c r="E13" s="597">
        <v>5</v>
      </c>
      <c r="F13" s="596" t="s">
        <v>550</v>
      </c>
      <c r="G13" s="597">
        <v>1.5</v>
      </c>
      <c r="H13" s="597">
        <v>0.5</v>
      </c>
      <c r="I13" s="597">
        <v>4</v>
      </c>
      <c r="J13" s="597">
        <v>6</v>
      </c>
      <c r="K13" s="597">
        <v>3.5</v>
      </c>
      <c r="L13" s="597">
        <v>5</v>
      </c>
      <c r="M13" s="597">
        <v>4</v>
      </c>
      <c r="N13" s="597">
        <v>1</v>
      </c>
      <c r="O13" s="597">
        <v>2</v>
      </c>
      <c r="P13" s="597">
        <v>6</v>
      </c>
      <c r="Q13" s="597">
        <v>5.5</v>
      </c>
      <c r="R13" s="597">
        <v>6.5</v>
      </c>
      <c r="S13" s="597">
        <v>6.5</v>
      </c>
      <c r="T13" s="609">
        <v>5</v>
      </c>
      <c r="U13" s="489"/>
      <c r="V13" s="489"/>
      <c r="W13" s="489"/>
      <c r="X13" s="489"/>
      <c r="Y13" s="489"/>
      <c r="Z13" s="489"/>
      <c r="AA13" s="489"/>
      <c r="AB13" s="489"/>
      <c r="AC13" s="489"/>
      <c r="AD13" s="489"/>
      <c r="AE13" s="489"/>
      <c r="AF13" s="489"/>
      <c r="AG13" s="489"/>
      <c r="AH13" s="489"/>
      <c r="AI13" s="489"/>
      <c r="AJ13" s="489"/>
      <c r="AK13" s="489"/>
      <c r="AL13" s="489"/>
      <c r="AM13" s="489"/>
    </row>
    <row r="14" spans="1:39" ht="15">
      <c r="A14" s="607" t="s">
        <v>549</v>
      </c>
      <c r="B14" s="598" t="s">
        <v>551</v>
      </c>
      <c r="C14" s="559" t="s">
        <v>557</v>
      </c>
      <c r="D14" s="598" t="s">
        <v>558</v>
      </c>
      <c r="E14" s="597">
        <v>5</v>
      </c>
      <c r="F14" s="597">
        <v>1</v>
      </c>
      <c r="G14" s="597">
        <v>1.5</v>
      </c>
      <c r="H14" s="597">
        <v>2</v>
      </c>
      <c r="I14" s="597">
        <v>4</v>
      </c>
      <c r="J14" s="597">
        <v>5.5</v>
      </c>
      <c r="K14" s="597">
        <v>3.5</v>
      </c>
      <c r="L14" s="597">
        <v>5</v>
      </c>
      <c r="M14" s="597">
        <v>4</v>
      </c>
      <c r="N14" s="597">
        <v>1.5</v>
      </c>
      <c r="O14" s="597">
        <v>3</v>
      </c>
      <c r="P14" s="596" t="s">
        <v>550</v>
      </c>
      <c r="Q14" s="597">
        <v>1</v>
      </c>
      <c r="R14" s="596" t="s">
        <v>550</v>
      </c>
      <c r="S14" s="597">
        <v>4.5</v>
      </c>
      <c r="T14" s="608" t="s">
        <v>550</v>
      </c>
      <c r="U14" s="489"/>
      <c r="V14" s="489"/>
      <c r="W14" s="489"/>
      <c r="X14" s="489"/>
      <c r="Y14" s="489"/>
      <c r="Z14" s="489"/>
      <c r="AA14" s="489"/>
      <c r="AB14" s="489"/>
      <c r="AC14" s="489"/>
      <c r="AD14" s="489"/>
      <c r="AE14" s="489"/>
      <c r="AF14" s="489"/>
      <c r="AG14" s="489"/>
      <c r="AH14" s="489"/>
      <c r="AI14" s="489"/>
      <c r="AJ14" s="489"/>
      <c r="AK14" s="489"/>
      <c r="AL14" s="489"/>
      <c r="AM14" s="489"/>
    </row>
    <row r="15" spans="1:39" ht="15">
      <c r="A15" s="607" t="s">
        <v>549</v>
      </c>
      <c r="B15" s="600" t="s">
        <v>547</v>
      </c>
      <c r="C15" s="559" t="s">
        <v>559</v>
      </c>
      <c r="D15" s="598" t="s">
        <v>549</v>
      </c>
      <c r="E15" s="597">
        <v>6.5</v>
      </c>
      <c r="F15" s="596" t="s">
        <v>550</v>
      </c>
      <c r="G15" s="597">
        <v>1.5</v>
      </c>
      <c r="H15" s="597">
        <v>2</v>
      </c>
      <c r="I15" s="597">
        <v>5</v>
      </c>
      <c r="J15" s="597">
        <v>7.5</v>
      </c>
      <c r="K15" s="597">
        <v>3.5</v>
      </c>
      <c r="L15" s="597">
        <v>7</v>
      </c>
      <c r="M15" s="597">
        <v>5</v>
      </c>
      <c r="N15" s="597">
        <v>1</v>
      </c>
      <c r="O15" s="597">
        <v>2</v>
      </c>
      <c r="P15" s="596" t="s">
        <v>550</v>
      </c>
      <c r="Q15" s="597">
        <v>1.5</v>
      </c>
      <c r="R15" s="596" t="s">
        <v>550</v>
      </c>
      <c r="S15" s="597">
        <v>6.5</v>
      </c>
      <c r="T15" s="608" t="s">
        <v>550</v>
      </c>
      <c r="U15" s="489"/>
      <c r="V15" s="489"/>
      <c r="W15" s="489"/>
      <c r="X15" s="489"/>
      <c r="Y15" s="489"/>
      <c r="Z15" s="489"/>
      <c r="AA15" s="489"/>
      <c r="AB15" s="489"/>
      <c r="AC15" s="489"/>
      <c r="AD15" s="489"/>
      <c r="AE15" s="489"/>
      <c r="AF15" s="489"/>
      <c r="AG15" s="489"/>
      <c r="AH15" s="489"/>
      <c r="AI15" s="489"/>
      <c r="AJ15" s="489"/>
      <c r="AK15" s="489"/>
      <c r="AL15" s="489"/>
      <c r="AM15" s="489"/>
    </row>
    <row r="16" spans="1:39" ht="15.75">
      <c r="A16" s="1104"/>
      <c r="B16" s="1105"/>
      <c r="C16" s="1455" t="s">
        <v>560</v>
      </c>
      <c r="D16" s="1456"/>
      <c r="E16" s="1109"/>
      <c r="F16" s="1110"/>
      <c r="G16" s="1110"/>
      <c r="H16" s="1110"/>
      <c r="I16" s="1110"/>
      <c r="J16" s="1110"/>
      <c r="K16" s="1110"/>
      <c r="L16" s="1110"/>
      <c r="M16" s="1110"/>
      <c r="N16" s="1110"/>
      <c r="O16" s="1110"/>
      <c r="P16" s="1110"/>
      <c r="Q16" s="1110"/>
      <c r="R16" s="1110"/>
      <c r="S16" s="1110"/>
      <c r="T16" s="1111"/>
      <c r="U16" s="489"/>
      <c r="V16" s="489"/>
      <c r="W16" s="489"/>
      <c r="X16" s="489"/>
      <c r="Y16" s="489"/>
      <c r="Z16" s="489"/>
      <c r="AA16" s="489"/>
      <c r="AB16" s="489"/>
      <c r="AC16" s="489"/>
      <c r="AD16" s="489"/>
      <c r="AE16" s="489"/>
      <c r="AF16" s="489"/>
      <c r="AG16" s="489"/>
      <c r="AH16" s="489"/>
      <c r="AI16" s="489"/>
      <c r="AJ16" s="489"/>
      <c r="AK16" s="489"/>
      <c r="AL16" s="489"/>
      <c r="AM16" s="489"/>
    </row>
    <row r="17" spans="1:39" ht="15">
      <c r="A17" s="607" t="s">
        <v>549</v>
      </c>
      <c r="B17" s="1112" t="s">
        <v>549</v>
      </c>
      <c r="C17" s="559" t="s">
        <v>561</v>
      </c>
      <c r="D17" s="598" t="s">
        <v>553</v>
      </c>
      <c r="E17" s="597">
        <v>5</v>
      </c>
      <c r="F17" s="597">
        <v>1.5</v>
      </c>
      <c r="G17" s="596" t="s">
        <v>550</v>
      </c>
      <c r="H17" s="596" t="s">
        <v>550</v>
      </c>
      <c r="I17" s="597">
        <v>3</v>
      </c>
      <c r="J17" s="597">
        <v>5.5</v>
      </c>
      <c r="K17" s="597">
        <v>3</v>
      </c>
      <c r="L17" s="597">
        <v>5</v>
      </c>
      <c r="M17" s="597">
        <v>3</v>
      </c>
      <c r="N17" s="597">
        <v>1.5</v>
      </c>
      <c r="O17" s="597">
        <v>2.5</v>
      </c>
      <c r="P17" s="597">
        <v>6.5</v>
      </c>
      <c r="Q17" s="597">
        <v>5</v>
      </c>
      <c r="R17" s="597">
        <v>6.5</v>
      </c>
      <c r="S17" s="597">
        <v>6</v>
      </c>
      <c r="T17" s="609">
        <v>3.5</v>
      </c>
      <c r="U17" s="489"/>
      <c r="V17" s="489"/>
      <c r="W17" s="489"/>
      <c r="X17" s="489"/>
      <c r="Y17" s="489"/>
      <c r="Z17" s="489"/>
      <c r="AA17" s="489"/>
      <c r="AB17" s="489"/>
      <c r="AC17" s="489"/>
      <c r="AD17" s="489"/>
      <c r="AE17" s="489"/>
      <c r="AF17" s="489"/>
      <c r="AG17" s="489"/>
      <c r="AH17" s="489"/>
      <c r="AI17" s="489"/>
      <c r="AJ17" s="489"/>
      <c r="AK17" s="489"/>
      <c r="AL17" s="489"/>
      <c r="AM17" s="489"/>
    </row>
    <row r="18" spans="1:39" ht="15">
      <c r="A18" s="607" t="s">
        <v>547</v>
      </c>
      <c r="B18" s="598" t="s">
        <v>549</v>
      </c>
      <c r="C18" s="559" t="s">
        <v>562</v>
      </c>
      <c r="D18" s="598" t="s">
        <v>553</v>
      </c>
      <c r="E18" s="597">
        <v>7</v>
      </c>
      <c r="F18" s="596" t="s">
        <v>550</v>
      </c>
      <c r="G18" s="597">
        <v>1</v>
      </c>
      <c r="H18" s="597">
        <v>1</v>
      </c>
      <c r="I18" s="597">
        <v>5.5</v>
      </c>
      <c r="J18" s="597">
        <v>7</v>
      </c>
      <c r="K18" s="597">
        <v>4.5</v>
      </c>
      <c r="L18" s="597">
        <v>7</v>
      </c>
      <c r="M18" s="597">
        <v>5.5</v>
      </c>
      <c r="N18" s="596" t="s">
        <v>550</v>
      </c>
      <c r="O18" s="597">
        <v>3</v>
      </c>
      <c r="P18" s="597">
        <v>8</v>
      </c>
      <c r="Q18" s="597">
        <v>7</v>
      </c>
      <c r="R18" s="597">
        <v>8</v>
      </c>
      <c r="S18" s="597">
        <v>8</v>
      </c>
      <c r="T18" s="609">
        <v>6</v>
      </c>
      <c r="U18" s="489"/>
      <c r="V18" s="489"/>
      <c r="W18" s="489"/>
      <c r="X18" s="489"/>
      <c r="Y18" s="489"/>
      <c r="Z18" s="489"/>
      <c r="AA18" s="489"/>
      <c r="AB18" s="489"/>
      <c r="AC18" s="489"/>
      <c r="AD18" s="489"/>
      <c r="AE18" s="489"/>
      <c r="AF18" s="489"/>
      <c r="AG18" s="489"/>
      <c r="AH18" s="489"/>
      <c r="AI18" s="489"/>
      <c r="AJ18" s="489"/>
      <c r="AK18" s="489"/>
      <c r="AL18" s="489"/>
      <c r="AM18" s="489"/>
    </row>
    <row r="19" spans="1:39" ht="15">
      <c r="A19" s="607" t="s">
        <v>549</v>
      </c>
      <c r="B19" s="598" t="s">
        <v>546</v>
      </c>
      <c r="C19" s="559" t="s">
        <v>563</v>
      </c>
      <c r="D19" s="598" t="s">
        <v>553</v>
      </c>
      <c r="E19" s="597">
        <v>4</v>
      </c>
      <c r="F19" s="596" t="s">
        <v>550</v>
      </c>
      <c r="G19" s="596" t="s">
        <v>550</v>
      </c>
      <c r="H19" s="596" t="s">
        <v>550</v>
      </c>
      <c r="I19" s="597">
        <v>3</v>
      </c>
      <c r="J19" s="597">
        <v>4.5</v>
      </c>
      <c r="K19" s="597">
        <v>2.5</v>
      </c>
      <c r="L19" s="597">
        <v>4</v>
      </c>
      <c r="M19" s="597">
        <v>3</v>
      </c>
      <c r="N19" s="596" t="s">
        <v>550</v>
      </c>
      <c r="O19" s="597">
        <v>2.5</v>
      </c>
      <c r="P19" s="597">
        <v>5.5</v>
      </c>
      <c r="Q19" s="597">
        <v>5</v>
      </c>
      <c r="R19" s="597">
        <v>5.5</v>
      </c>
      <c r="S19" s="597">
        <v>5</v>
      </c>
      <c r="T19" s="609">
        <v>3</v>
      </c>
      <c r="U19" s="489"/>
      <c r="V19" s="489"/>
      <c r="W19" s="489"/>
      <c r="X19" s="489"/>
      <c r="Y19" s="489"/>
      <c r="Z19" s="489"/>
      <c r="AA19" s="489"/>
      <c r="AB19" s="489"/>
      <c r="AC19" s="489"/>
      <c r="AD19" s="489"/>
      <c r="AE19" s="489"/>
      <c r="AF19" s="489"/>
      <c r="AG19" s="489"/>
      <c r="AH19" s="489"/>
      <c r="AI19" s="489"/>
      <c r="AJ19" s="489"/>
      <c r="AK19" s="489"/>
      <c r="AL19" s="489"/>
      <c r="AM19" s="489"/>
    </row>
    <row r="20" spans="1:39" ht="15">
      <c r="A20" s="607" t="s">
        <v>549</v>
      </c>
      <c r="B20" s="598" t="s">
        <v>551</v>
      </c>
      <c r="C20" s="559" t="s">
        <v>564</v>
      </c>
      <c r="D20" s="598" t="s">
        <v>558</v>
      </c>
      <c r="E20" s="597">
        <v>4</v>
      </c>
      <c r="F20" s="597">
        <v>1.5</v>
      </c>
      <c r="G20" s="597">
        <v>2</v>
      </c>
      <c r="H20" s="597">
        <v>2</v>
      </c>
      <c r="I20" s="597">
        <v>3</v>
      </c>
      <c r="J20" s="597">
        <v>4.5</v>
      </c>
      <c r="K20" s="597">
        <v>2.5</v>
      </c>
      <c r="L20" s="597">
        <v>4</v>
      </c>
      <c r="M20" s="597">
        <v>3</v>
      </c>
      <c r="N20" s="597">
        <v>1.5</v>
      </c>
      <c r="O20" s="597">
        <v>2.5</v>
      </c>
      <c r="P20" s="597">
        <v>5.5</v>
      </c>
      <c r="Q20" s="597">
        <v>5</v>
      </c>
      <c r="R20" s="597">
        <v>5.5</v>
      </c>
      <c r="S20" s="597">
        <v>5</v>
      </c>
      <c r="T20" s="609">
        <v>3</v>
      </c>
      <c r="U20" s="489"/>
      <c r="V20" s="489"/>
      <c r="W20" s="489"/>
      <c r="X20" s="489"/>
      <c r="Y20" s="489"/>
      <c r="Z20" s="489"/>
      <c r="AA20" s="489"/>
      <c r="AB20" s="489"/>
      <c r="AC20" s="489"/>
      <c r="AD20" s="489"/>
      <c r="AE20" s="489"/>
      <c r="AF20" s="489"/>
      <c r="AG20" s="489"/>
      <c r="AH20" s="489"/>
      <c r="AI20" s="489"/>
      <c r="AJ20" s="489"/>
      <c r="AK20" s="489"/>
      <c r="AL20" s="489"/>
      <c r="AM20" s="489"/>
    </row>
    <row r="21" spans="1:39" ht="15">
      <c r="A21" s="607" t="s">
        <v>551</v>
      </c>
      <c r="B21" s="598" t="s">
        <v>547</v>
      </c>
      <c r="C21" s="559" t="s">
        <v>565</v>
      </c>
      <c r="D21" s="598" t="s">
        <v>553</v>
      </c>
      <c r="E21" s="597">
        <v>10</v>
      </c>
      <c r="F21" s="596" t="s">
        <v>550</v>
      </c>
      <c r="G21" s="597">
        <v>2</v>
      </c>
      <c r="H21" s="597">
        <v>2.5</v>
      </c>
      <c r="I21" s="597">
        <v>8</v>
      </c>
      <c r="J21" s="597">
        <v>10</v>
      </c>
      <c r="K21" s="597">
        <v>6</v>
      </c>
      <c r="L21" s="597">
        <v>10</v>
      </c>
      <c r="M21" s="597">
        <v>8</v>
      </c>
      <c r="N21" s="597">
        <v>1.5</v>
      </c>
      <c r="O21" s="597">
        <v>4</v>
      </c>
      <c r="P21" s="597">
        <v>11</v>
      </c>
      <c r="Q21" s="597">
        <v>10</v>
      </c>
      <c r="R21" s="597">
        <v>11</v>
      </c>
      <c r="S21" s="597">
        <v>10.5</v>
      </c>
      <c r="T21" s="609">
        <v>8.5</v>
      </c>
      <c r="U21" s="489"/>
      <c r="V21" s="489"/>
      <c r="W21" s="489"/>
      <c r="X21" s="489"/>
      <c r="Y21" s="489"/>
      <c r="Z21" s="489"/>
      <c r="AA21" s="489"/>
      <c r="AB21" s="489"/>
      <c r="AC21" s="489"/>
      <c r="AD21" s="489"/>
      <c r="AE21" s="489"/>
      <c r="AF21" s="489"/>
      <c r="AG21" s="489"/>
      <c r="AH21" s="489"/>
      <c r="AI21" s="489"/>
      <c r="AJ21" s="489"/>
      <c r="AK21" s="489"/>
      <c r="AL21" s="489"/>
      <c r="AM21" s="489"/>
    </row>
    <row r="22" spans="1:39" ht="15">
      <c r="A22" s="607" t="s">
        <v>547</v>
      </c>
      <c r="B22" s="598" t="s">
        <v>547</v>
      </c>
      <c r="C22" s="559" t="s">
        <v>566</v>
      </c>
      <c r="D22" s="598" t="s">
        <v>553</v>
      </c>
      <c r="E22" s="597">
        <v>8</v>
      </c>
      <c r="F22" s="596" t="s">
        <v>550</v>
      </c>
      <c r="G22" s="597">
        <v>2</v>
      </c>
      <c r="H22" s="597">
        <v>2.5</v>
      </c>
      <c r="I22" s="597">
        <v>6.5</v>
      </c>
      <c r="J22" s="597">
        <v>8.5</v>
      </c>
      <c r="K22" s="597">
        <v>5</v>
      </c>
      <c r="L22" s="597">
        <v>8</v>
      </c>
      <c r="M22" s="597">
        <v>6.5</v>
      </c>
      <c r="N22" s="597">
        <v>1.5</v>
      </c>
      <c r="O22" s="597">
        <v>3.5</v>
      </c>
      <c r="P22" s="597">
        <v>8</v>
      </c>
      <c r="Q22" s="597">
        <v>9</v>
      </c>
      <c r="R22" s="597">
        <v>8.5</v>
      </c>
      <c r="S22" s="597">
        <v>8</v>
      </c>
      <c r="T22" s="609">
        <v>7.5</v>
      </c>
      <c r="U22" s="489"/>
      <c r="V22" s="489"/>
      <c r="W22" s="489"/>
      <c r="X22" s="489"/>
      <c r="Y22" s="489"/>
      <c r="Z22" s="489"/>
      <c r="AA22" s="489"/>
      <c r="AB22" s="489"/>
      <c r="AC22" s="489"/>
      <c r="AD22" s="489"/>
      <c r="AE22" s="489"/>
      <c r="AF22" s="489"/>
      <c r="AG22" s="489"/>
      <c r="AH22" s="489"/>
      <c r="AI22" s="489"/>
      <c r="AJ22" s="489"/>
      <c r="AK22" s="489"/>
      <c r="AL22" s="489"/>
      <c r="AM22" s="489"/>
    </row>
    <row r="23" spans="1:39" ht="15">
      <c r="A23" s="607" t="s">
        <v>547</v>
      </c>
      <c r="B23" s="598" t="s">
        <v>551</v>
      </c>
      <c r="C23" s="559" t="s">
        <v>567</v>
      </c>
      <c r="D23" s="598" t="s">
        <v>553</v>
      </c>
      <c r="E23" s="597">
        <v>8</v>
      </c>
      <c r="F23" s="597">
        <v>2</v>
      </c>
      <c r="G23" s="597">
        <v>3</v>
      </c>
      <c r="H23" s="597">
        <v>2.5</v>
      </c>
      <c r="I23" s="597">
        <v>6</v>
      </c>
      <c r="J23" s="597">
        <v>7.5</v>
      </c>
      <c r="K23" s="597">
        <v>5.5</v>
      </c>
      <c r="L23" s="597">
        <v>7.5</v>
      </c>
      <c r="M23" s="597">
        <v>6</v>
      </c>
      <c r="N23" s="597">
        <v>1.5</v>
      </c>
      <c r="O23" s="597">
        <v>3.5</v>
      </c>
      <c r="P23" s="597">
        <v>8</v>
      </c>
      <c r="Q23" s="597">
        <v>9</v>
      </c>
      <c r="R23" s="597">
        <v>8</v>
      </c>
      <c r="S23" s="597">
        <v>7.5</v>
      </c>
      <c r="T23" s="609">
        <v>7.5</v>
      </c>
      <c r="U23" s="489"/>
      <c r="V23" s="489"/>
      <c r="W23" s="489"/>
      <c r="X23" s="489"/>
      <c r="Y23" s="489"/>
      <c r="Z23" s="489"/>
      <c r="AA23" s="489"/>
      <c r="AB23" s="489"/>
      <c r="AC23" s="489"/>
      <c r="AD23" s="489"/>
      <c r="AE23" s="489"/>
      <c r="AF23" s="489"/>
      <c r="AG23" s="489"/>
      <c r="AH23" s="489"/>
      <c r="AI23" s="489"/>
      <c r="AJ23" s="489"/>
      <c r="AK23" s="489"/>
      <c r="AL23" s="489"/>
      <c r="AM23" s="489"/>
    </row>
    <row r="24" spans="1:39" ht="15">
      <c r="A24" s="607" t="s">
        <v>547</v>
      </c>
      <c r="B24" s="600" t="s">
        <v>546</v>
      </c>
      <c r="C24" s="559" t="s">
        <v>568</v>
      </c>
      <c r="D24" s="598" t="s">
        <v>553</v>
      </c>
      <c r="E24" s="597">
        <v>6</v>
      </c>
      <c r="F24" s="596" t="s">
        <v>550</v>
      </c>
      <c r="G24" s="596" t="s">
        <v>550</v>
      </c>
      <c r="H24" s="596" t="s">
        <v>550</v>
      </c>
      <c r="I24" s="597">
        <v>4</v>
      </c>
      <c r="J24" s="597">
        <v>6</v>
      </c>
      <c r="K24" s="597">
        <v>4</v>
      </c>
      <c r="L24" s="597">
        <v>6</v>
      </c>
      <c r="M24" s="597">
        <v>4</v>
      </c>
      <c r="N24" s="596" t="s">
        <v>550</v>
      </c>
      <c r="O24" s="597">
        <v>2.5</v>
      </c>
      <c r="P24" s="597">
        <v>7</v>
      </c>
      <c r="Q24" s="597">
        <v>7</v>
      </c>
      <c r="R24" s="597">
        <v>7</v>
      </c>
      <c r="S24" s="597">
        <v>6</v>
      </c>
      <c r="T24" s="609">
        <v>5.5</v>
      </c>
      <c r="U24" s="489"/>
      <c r="V24" s="489"/>
      <c r="W24" s="489"/>
      <c r="X24" s="489"/>
      <c r="Y24" s="489"/>
      <c r="Z24" s="489"/>
      <c r="AA24" s="489"/>
      <c r="AB24" s="489"/>
      <c r="AC24" s="489"/>
      <c r="AD24" s="489"/>
      <c r="AE24" s="489"/>
      <c r="AF24" s="489"/>
      <c r="AG24" s="489"/>
      <c r="AH24" s="489"/>
      <c r="AI24" s="489"/>
      <c r="AJ24" s="489"/>
      <c r="AK24" s="489"/>
      <c r="AL24" s="489"/>
      <c r="AM24" s="489"/>
    </row>
    <row r="25" spans="1:39" ht="15.75">
      <c r="A25" s="1104"/>
      <c r="B25" s="1105"/>
      <c r="C25" s="1455" t="s">
        <v>569</v>
      </c>
      <c r="D25" s="1456"/>
      <c r="E25" s="1109"/>
      <c r="F25" s="1110"/>
      <c r="G25" s="1110"/>
      <c r="H25" s="1110"/>
      <c r="I25" s="1110"/>
      <c r="J25" s="1110"/>
      <c r="K25" s="1110"/>
      <c r="L25" s="1110"/>
      <c r="M25" s="1110"/>
      <c r="N25" s="1110"/>
      <c r="O25" s="1110"/>
      <c r="P25" s="1110"/>
      <c r="Q25" s="1110"/>
      <c r="R25" s="1110"/>
      <c r="S25" s="1110"/>
      <c r="T25" s="1111"/>
      <c r="U25" s="489"/>
      <c r="V25" s="489"/>
      <c r="W25" s="489"/>
      <c r="X25" s="489"/>
      <c r="Y25" s="489"/>
      <c r="Z25" s="489"/>
      <c r="AA25" s="489"/>
      <c r="AB25" s="489"/>
      <c r="AC25" s="489"/>
      <c r="AD25" s="489"/>
      <c r="AE25" s="489"/>
      <c r="AF25" s="489"/>
      <c r="AG25" s="489"/>
      <c r="AH25" s="489"/>
      <c r="AI25" s="489"/>
      <c r="AJ25" s="489"/>
      <c r="AK25" s="489"/>
      <c r="AL25" s="489"/>
      <c r="AM25" s="489"/>
    </row>
    <row r="26" spans="1:39" ht="15">
      <c r="A26" s="607" t="s">
        <v>547</v>
      </c>
      <c r="B26" s="1112" t="s">
        <v>549</v>
      </c>
      <c r="C26" s="559" t="s">
        <v>570</v>
      </c>
      <c r="D26" s="598" t="s">
        <v>571</v>
      </c>
      <c r="E26" s="597">
        <v>7.5</v>
      </c>
      <c r="F26" s="596" t="s">
        <v>550</v>
      </c>
      <c r="G26" s="597">
        <v>3.5</v>
      </c>
      <c r="H26" s="597">
        <v>1</v>
      </c>
      <c r="I26" s="597">
        <v>5.5</v>
      </c>
      <c r="J26" s="597">
        <v>9</v>
      </c>
      <c r="K26" s="597">
        <v>5</v>
      </c>
      <c r="L26" s="597">
        <v>8</v>
      </c>
      <c r="M26" s="597">
        <v>5</v>
      </c>
      <c r="N26" s="596" t="s">
        <v>550</v>
      </c>
      <c r="O26" s="597">
        <v>3</v>
      </c>
      <c r="P26" s="597">
        <v>9</v>
      </c>
      <c r="Q26" s="597">
        <v>9</v>
      </c>
      <c r="R26" s="597">
        <v>9.5</v>
      </c>
      <c r="S26" s="597">
        <v>9.5</v>
      </c>
      <c r="T26" s="609">
        <v>6</v>
      </c>
      <c r="U26" s="489"/>
      <c r="V26" s="489"/>
      <c r="W26" s="489"/>
      <c r="X26" s="489"/>
      <c r="Y26" s="489"/>
      <c r="Z26" s="489"/>
      <c r="AA26" s="489"/>
      <c r="AB26" s="489"/>
      <c r="AC26" s="489"/>
      <c r="AD26" s="489"/>
      <c r="AE26" s="489"/>
      <c r="AF26" s="489"/>
      <c r="AG26" s="489"/>
      <c r="AH26" s="489"/>
      <c r="AI26" s="489"/>
      <c r="AJ26" s="489"/>
      <c r="AK26" s="489"/>
      <c r="AL26" s="489"/>
      <c r="AM26" s="489"/>
    </row>
    <row r="27" spans="1:39" ht="15">
      <c r="A27" s="607" t="s">
        <v>551</v>
      </c>
      <c r="B27" s="598" t="s">
        <v>547</v>
      </c>
      <c r="C27" s="559" t="s">
        <v>572</v>
      </c>
      <c r="D27" s="598" t="s">
        <v>549</v>
      </c>
      <c r="E27" s="597">
        <v>9</v>
      </c>
      <c r="F27" s="596" t="s">
        <v>550</v>
      </c>
      <c r="G27" s="597">
        <v>4.5</v>
      </c>
      <c r="H27" s="597">
        <v>3.5</v>
      </c>
      <c r="I27" s="597">
        <v>8</v>
      </c>
      <c r="J27" s="597">
        <v>11</v>
      </c>
      <c r="K27" s="597">
        <v>7</v>
      </c>
      <c r="L27" s="597">
        <v>10</v>
      </c>
      <c r="M27" s="597">
        <v>8</v>
      </c>
      <c r="N27" s="597">
        <v>2.5</v>
      </c>
      <c r="O27" s="597">
        <v>4</v>
      </c>
      <c r="P27" s="597">
        <v>9.5</v>
      </c>
      <c r="Q27" s="597">
        <v>10.5</v>
      </c>
      <c r="R27" s="597">
        <v>10.5</v>
      </c>
      <c r="S27" s="597">
        <v>11.5</v>
      </c>
      <c r="T27" s="609">
        <v>9</v>
      </c>
      <c r="U27" s="489"/>
      <c r="V27" s="489"/>
      <c r="W27" s="489"/>
      <c r="X27" s="489"/>
      <c r="Y27" s="489"/>
      <c r="Z27" s="489"/>
      <c r="AA27" s="489"/>
      <c r="AB27" s="489"/>
      <c r="AC27" s="489"/>
      <c r="AD27" s="489"/>
      <c r="AE27" s="489"/>
      <c r="AF27" s="489"/>
      <c r="AG27" s="489"/>
      <c r="AH27" s="489"/>
      <c r="AI27" s="489"/>
      <c r="AJ27" s="489"/>
      <c r="AK27" s="489"/>
      <c r="AL27" s="489"/>
      <c r="AM27" s="489"/>
    </row>
    <row r="28" spans="1:39" ht="15">
      <c r="A28" s="607" t="s">
        <v>546</v>
      </c>
      <c r="B28" s="598" t="s">
        <v>547</v>
      </c>
      <c r="C28" s="559" t="s">
        <v>573</v>
      </c>
      <c r="D28" s="598" t="s">
        <v>553</v>
      </c>
      <c r="E28" s="597">
        <v>9</v>
      </c>
      <c r="F28" s="596" t="s">
        <v>550</v>
      </c>
      <c r="G28" s="597">
        <v>4.5</v>
      </c>
      <c r="H28" s="597">
        <v>3</v>
      </c>
      <c r="I28" s="597">
        <v>8</v>
      </c>
      <c r="J28" s="597">
        <v>10</v>
      </c>
      <c r="K28" s="597">
        <v>6.5</v>
      </c>
      <c r="L28" s="597">
        <v>9</v>
      </c>
      <c r="M28" s="597">
        <v>7.5</v>
      </c>
      <c r="N28" s="597">
        <v>2.5</v>
      </c>
      <c r="O28" s="597">
        <v>3.5</v>
      </c>
      <c r="P28" s="596" t="s">
        <v>550</v>
      </c>
      <c r="Q28" s="597">
        <v>2</v>
      </c>
      <c r="R28" s="596" t="s">
        <v>550</v>
      </c>
      <c r="S28" s="596" t="s">
        <v>550</v>
      </c>
      <c r="T28" s="608" t="s">
        <v>550</v>
      </c>
      <c r="U28" s="489"/>
      <c r="V28" s="489"/>
      <c r="W28" s="489"/>
      <c r="X28" s="489"/>
      <c r="Y28" s="489"/>
      <c r="Z28" s="489"/>
      <c r="AA28" s="489"/>
      <c r="AB28" s="489"/>
      <c r="AC28" s="489"/>
      <c r="AD28" s="489"/>
      <c r="AE28" s="489"/>
      <c r="AF28" s="489"/>
      <c r="AG28" s="489"/>
      <c r="AH28" s="489"/>
      <c r="AI28" s="489"/>
      <c r="AJ28" s="489"/>
      <c r="AK28" s="489"/>
      <c r="AL28" s="489"/>
      <c r="AM28" s="489"/>
    </row>
    <row r="29" spans="1:39" ht="15">
      <c r="A29" s="607" t="s">
        <v>547</v>
      </c>
      <c r="B29" s="598" t="s">
        <v>547</v>
      </c>
      <c r="C29" s="559" t="s">
        <v>574</v>
      </c>
      <c r="D29" s="598" t="s">
        <v>558</v>
      </c>
      <c r="E29" s="597">
        <v>9</v>
      </c>
      <c r="F29" s="596" t="s">
        <v>550</v>
      </c>
      <c r="G29" s="597">
        <v>4</v>
      </c>
      <c r="H29" s="597">
        <v>3</v>
      </c>
      <c r="I29" s="597">
        <v>8</v>
      </c>
      <c r="J29" s="597">
        <v>10</v>
      </c>
      <c r="K29" s="597">
        <v>6.5</v>
      </c>
      <c r="L29" s="597">
        <v>9</v>
      </c>
      <c r="M29" s="597">
        <v>8</v>
      </c>
      <c r="N29" s="597">
        <v>2.5</v>
      </c>
      <c r="O29" s="597">
        <v>3.5</v>
      </c>
      <c r="P29" s="597">
        <v>8.5</v>
      </c>
      <c r="Q29" s="597">
        <v>8.5</v>
      </c>
      <c r="R29" s="597">
        <v>9</v>
      </c>
      <c r="S29" s="597">
        <v>10.5</v>
      </c>
      <c r="T29" s="609">
        <v>9</v>
      </c>
      <c r="U29" s="489"/>
      <c r="V29" s="489"/>
      <c r="W29" s="489"/>
      <c r="X29" s="489"/>
      <c r="Y29" s="489"/>
      <c r="Z29" s="489"/>
      <c r="AA29" s="489"/>
      <c r="AB29" s="489"/>
      <c r="AC29" s="489"/>
      <c r="AD29" s="489"/>
      <c r="AE29" s="489"/>
      <c r="AF29" s="489"/>
      <c r="AG29" s="489"/>
      <c r="AH29" s="489"/>
      <c r="AI29" s="489"/>
      <c r="AJ29" s="489"/>
      <c r="AK29" s="489"/>
      <c r="AL29" s="489"/>
      <c r="AM29" s="489"/>
    </row>
    <row r="30" spans="1:39" ht="15">
      <c r="A30" s="607" t="s">
        <v>546</v>
      </c>
      <c r="B30" s="598" t="s">
        <v>551</v>
      </c>
      <c r="C30" s="559" t="s">
        <v>575</v>
      </c>
      <c r="D30" s="598" t="s">
        <v>571</v>
      </c>
      <c r="E30" s="597">
        <v>5.5</v>
      </c>
      <c r="F30" s="597">
        <v>1.5</v>
      </c>
      <c r="G30" s="597">
        <v>2.5</v>
      </c>
      <c r="H30" s="597">
        <v>1.5</v>
      </c>
      <c r="I30" s="596">
        <v>5</v>
      </c>
      <c r="J30" s="597">
        <v>7</v>
      </c>
      <c r="K30" s="597">
        <v>3.5</v>
      </c>
      <c r="L30" s="597">
        <v>6.5</v>
      </c>
      <c r="M30" s="597">
        <v>5</v>
      </c>
      <c r="N30" s="597">
        <v>1.5</v>
      </c>
      <c r="O30" s="597">
        <v>3</v>
      </c>
      <c r="P30" s="596" t="s">
        <v>550</v>
      </c>
      <c r="Q30" s="596" t="s">
        <v>550</v>
      </c>
      <c r="R30" s="596" t="s">
        <v>550</v>
      </c>
      <c r="S30" s="597">
        <v>7</v>
      </c>
      <c r="T30" s="608" t="s">
        <v>550</v>
      </c>
      <c r="U30" s="489"/>
      <c r="V30" s="489"/>
      <c r="W30" s="489"/>
      <c r="X30" s="489"/>
      <c r="Y30" s="489"/>
      <c r="Z30" s="489"/>
      <c r="AA30" s="489"/>
      <c r="AB30" s="489"/>
      <c r="AC30" s="489"/>
      <c r="AD30" s="489"/>
      <c r="AE30" s="489"/>
      <c r="AF30" s="489"/>
      <c r="AG30" s="489"/>
      <c r="AH30" s="489"/>
      <c r="AI30" s="489"/>
      <c r="AJ30" s="489"/>
      <c r="AK30" s="489"/>
      <c r="AL30" s="489"/>
      <c r="AM30" s="489"/>
    </row>
    <row r="31" spans="1:39" ht="15">
      <c r="A31" s="607" t="s">
        <v>546</v>
      </c>
      <c r="B31" s="598" t="s">
        <v>551</v>
      </c>
      <c r="C31" s="559" t="s">
        <v>576</v>
      </c>
      <c r="D31" s="598" t="s">
        <v>558</v>
      </c>
      <c r="E31" s="597">
        <v>5</v>
      </c>
      <c r="F31" s="597">
        <v>1.5</v>
      </c>
      <c r="G31" s="597">
        <v>2.5</v>
      </c>
      <c r="H31" s="597">
        <v>1.5</v>
      </c>
      <c r="I31" s="596">
        <v>4</v>
      </c>
      <c r="J31" s="597">
        <v>6</v>
      </c>
      <c r="K31" s="597">
        <v>3</v>
      </c>
      <c r="L31" s="597">
        <v>5</v>
      </c>
      <c r="M31" s="597">
        <v>4</v>
      </c>
      <c r="N31" s="597">
        <v>1.5</v>
      </c>
      <c r="O31" s="597">
        <v>2.5</v>
      </c>
      <c r="P31" s="596" t="s">
        <v>550</v>
      </c>
      <c r="Q31" s="596" t="s">
        <v>550</v>
      </c>
      <c r="R31" s="596" t="s">
        <v>550</v>
      </c>
      <c r="S31" s="597">
        <v>6</v>
      </c>
      <c r="T31" s="608" t="s">
        <v>550</v>
      </c>
      <c r="U31" s="489"/>
      <c r="V31" s="489"/>
      <c r="W31" s="489"/>
      <c r="X31" s="489"/>
      <c r="Y31" s="489"/>
      <c r="Z31" s="489"/>
      <c r="AA31" s="489"/>
      <c r="AB31" s="489"/>
      <c r="AC31" s="489"/>
      <c r="AD31" s="489"/>
      <c r="AE31" s="489"/>
      <c r="AF31" s="489"/>
      <c r="AG31" s="489"/>
      <c r="AH31" s="489"/>
      <c r="AI31" s="489"/>
      <c r="AJ31" s="489"/>
      <c r="AK31" s="489"/>
      <c r="AL31" s="489"/>
      <c r="AM31" s="489"/>
    </row>
    <row r="32" spans="1:39" ht="15">
      <c r="A32" s="607" t="s">
        <v>551</v>
      </c>
      <c r="B32" s="598" t="s">
        <v>547</v>
      </c>
      <c r="C32" s="559" t="s">
        <v>577</v>
      </c>
      <c r="D32" s="598" t="s">
        <v>553</v>
      </c>
      <c r="E32" s="597">
        <v>9.5</v>
      </c>
      <c r="F32" s="596" t="s">
        <v>550</v>
      </c>
      <c r="G32" s="597">
        <v>4.5</v>
      </c>
      <c r="H32" s="597">
        <v>3</v>
      </c>
      <c r="I32" s="597">
        <v>8</v>
      </c>
      <c r="J32" s="597">
        <v>11</v>
      </c>
      <c r="K32" s="597">
        <v>7</v>
      </c>
      <c r="L32" s="597">
        <v>10</v>
      </c>
      <c r="M32" s="597">
        <v>8</v>
      </c>
      <c r="N32" s="597">
        <v>2.5</v>
      </c>
      <c r="O32" s="597">
        <v>4</v>
      </c>
      <c r="P32" s="597">
        <v>12</v>
      </c>
      <c r="Q32" s="597">
        <v>11</v>
      </c>
      <c r="R32" s="597">
        <v>11.5</v>
      </c>
      <c r="S32" s="597">
        <v>11.5</v>
      </c>
      <c r="T32" s="609">
        <v>9</v>
      </c>
      <c r="U32" s="489"/>
      <c r="V32" s="489"/>
      <c r="W32" s="489"/>
      <c r="X32" s="489"/>
      <c r="Y32" s="489"/>
      <c r="Z32" s="489"/>
      <c r="AA32" s="489"/>
      <c r="AB32" s="489"/>
      <c r="AC32" s="489"/>
      <c r="AD32" s="489"/>
      <c r="AE32" s="489"/>
      <c r="AF32" s="489"/>
      <c r="AG32" s="489"/>
      <c r="AH32" s="489"/>
      <c r="AI32" s="489"/>
      <c r="AJ32" s="489"/>
      <c r="AK32" s="489"/>
      <c r="AL32" s="489"/>
      <c r="AM32" s="489"/>
    </row>
    <row r="33" spans="1:39" ht="15">
      <c r="A33" s="611" t="s">
        <v>551</v>
      </c>
      <c r="B33" s="600" t="s">
        <v>547</v>
      </c>
      <c r="C33" s="599" t="s">
        <v>578</v>
      </c>
      <c r="D33" s="600" t="s">
        <v>553</v>
      </c>
      <c r="E33" s="601">
        <v>11.5</v>
      </c>
      <c r="F33" s="602" t="s">
        <v>550</v>
      </c>
      <c r="G33" s="601">
        <v>5</v>
      </c>
      <c r="H33" s="601">
        <v>4</v>
      </c>
      <c r="I33" s="601">
        <v>9</v>
      </c>
      <c r="J33" s="601">
        <v>13</v>
      </c>
      <c r="K33" s="601">
        <v>8</v>
      </c>
      <c r="L33" s="601">
        <v>12.5</v>
      </c>
      <c r="M33" s="601">
        <v>9</v>
      </c>
      <c r="N33" s="601">
        <v>3</v>
      </c>
      <c r="O33" s="601">
        <v>4.5</v>
      </c>
      <c r="P33" s="601">
        <v>14</v>
      </c>
      <c r="Q33" s="601">
        <v>13</v>
      </c>
      <c r="R33" s="601">
        <v>14</v>
      </c>
      <c r="S33" s="601">
        <v>13.5</v>
      </c>
      <c r="T33" s="610">
        <v>10</v>
      </c>
      <c r="U33" s="489"/>
      <c r="V33" s="489"/>
      <c r="W33" s="489"/>
      <c r="X33" s="489"/>
      <c r="Y33" s="489"/>
      <c r="Z33" s="489"/>
      <c r="AA33" s="489"/>
      <c r="AB33" s="489"/>
      <c r="AC33" s="489"/>
      <c r="AD33" s="489"/>
      <c r="AE33" s="489"/>
      <c r="AF33" s="489"/>
      <c r="AG33" s="489"/>
      <c r="AH33" s="489"/>
      <c r="AI33" s="489"/>
      <c r="AJ33" s="489"/>
      <c r="AK33" s="489"/>
      <c r="AL33" s="489"/>
      <c r="AM33" s="489"/>
    </row>
    <row r="34" spans="1:39">
      <c r="A34" s="269"/>
      <c r="B34" s="270"/>
      <c r="C34" s="270"/>
      <c r="D34" s="270"/>
      <c r="E34" s="270"/>
      <c r="F34" s="270"/>
      <c r="G34" s="270"/>
      <c r="H34" s="270"/>
      <c r="I34" s="270"/>
      <c r="J34" s="270"/>
      <c r="K34" s="270"/>
      <c r="L34" s="270"/>
      <c r="M34" s="270"/>
      <c r="N34" s="270"/>
      <c r="O34" s="270"/>
      <c r="P34" s="270"/>
      <c r="Q34" s="270"/>
      <c r="R34" s="270"/>
      <c r="S34" s="270"/>
      <c r="T34" s="278"/>
      <c r="U34" s="489"/>
      <c r="V34" s="489"/>
      <c r="W34" s="489"/>
      <c r="X34" s="489"/>
      <c r="Y34" s="489"/>
      <c r="Z34" s="489"/>
      <c r="AA34" s="489"/>
      <c r="AB34" s="489"/>
      <c r="AC34" s="489"/>
      <c r="AD34" s="489"/>
      <c r="AE34" s="489"/>
      <c r="AF34" s="489"/>
      <c r="AG34" s="489"/>
      <c r="AH34" s="489"/>
      <c r="AI34" s="489"/>
      <c r="AJ34" s="489"/>
      <c r="AK34" s="489"/>
      <c r="AL34" s="489"/>
      <c r="AM34" s="489"/>
    </row>
    <row r="35" spans="1:39" ht="15" thickBot="1">
      <c r="A35" s="272"/>
      <c r="B35" s="405"/>
      <c r="C35" s="612" t="s">
        <v>579</v>
      </c>
      <c r="D35" s="405"/>
      <c r="E35" s="405"/>
      <c r="F35" s="405"/>
      <c r="G35" s="405"/>
      <c r="H35" s="405"/>
      <c r="I35" s="405"/>
      <c r="J35" s="405"/>
      <c r="K35" s="405"/>
      <c r="L35" s="405"/>
      <c r="M35" s="405"/>
      <c r="N35" s="405"/>
      <c r="O35" s="405"/>
      <c r="P35" s="405"/>
      <c r="Q35" s="405"/>
      <c r="R35" s="405"/>
      <c r="S35" s="405"/>
      <c r="T35" s="406"/>
      <c r="U35" s="489"/>
      <c r="V35" s="489"/>
      <c r="W35" s="489"/>
      <c r="X35" s="489"/>
      <c r="Y35" s="489"/>
      <c r="Z35" s="489"/>
      <c r="AA35" s="489"/>
      <c r="AB35" s="489"/>
      <c r="AC35" s="489"/>
      <c r="AD35" s="489"/>
      <c r="AE35" s="489"/>
      <c r="AF35" s="489"/>
      <c r="AG35" s="489"/>
      <c r="AH35" s="489"/>
      <c r="AI35" s="489"/>
      <c r="AJ35" s="489"/>
      <c r="AK35" s="489"/>
      <c r="AL35" s="489"/>
      <c r="AM35" s="489"/>
    </row>
    <row r="36" spans="1:39">
      <c r="A36" s="489"/>
      <c r="B36" s="489"/>
      <c r="C36" s="489"/>
      <c r="D36" s="489"/>
      <c r="E36" s="489"/>
      <c r="F36" s="489"/>
      <c r="G36" s="489"/>
      <c r="H36" s="489"/>
      <c r="I36" s="489"/>
      <c r="J36" s="489"/>
      <c r="K36" s="489"/>
      <c r="L36" s="489"/>
      <c r="M36" s="489"/>
      <c r="N36" s="489"/>
      <c r="O36" s="489"/>
      <c r="P36" s="489"/>
      <c r="Q36" s="489"/>
      <c r="R36" s="489"/>
      <c r="S36" s="489"/>
      <c r="T36" s="489"/>
      <c r="U36" s="489"/>
      <c r="V36" s="489"/>
      <c r="W36" s="489"/>
      <c r="X36" s="489"/>
      <c r="Y36" s="489"/>
      <c r="Z36" s="489"/>
      <c r="AA36" s="489"/>
      <c r="AB36" s="489"/>
      <c r="AC36" s="489"/>
      <c r="AD36" s="489"/>
      <c r="AE36" s="489"/>
      <c r="AF36" s="489"/>
      <c r="AG36" s="489"/>
      <c r="AH36" s="489"/>
      <c r="AI36" s="489"/>
      <c r="AJ36" s="489"/>
      <c r="AK36" s="489"/>
      <c r="AL36" s="489"/>
      <c r="AM36" s="489"/>
    </row>
    <row r="37" spans="1:39">
      <c r="A37" s="489"/>
      <c r="B37" s="489"/>
      <c r="C37" s="489"/>
      <c r="D37" s="489"/>
      <c r="E37" s="489"/>
      <c r="F37" s="489"/>
      <c r="G37" s="489"/>
      <c r="H37" s="489"/>
      <c r="I37" s="489"/>
      <c r="J37" s="489"/>
      <c r="K37" s="489"/>
      <c r="L37" s="489"/>
      <c r="M37" s="489"/>
      <c r="N37" s="489"/>
      <c r="O37" s="489"/>
      <c r="P37" s="489"/>
      <c r="Q37" s="489"/>
      <c r="R37" s="489"/>
      <c r="S37" s="489"/>
      <c r="T37" s="489"/>
      <c r="U37" s="489"/>
      <c r="V37" s="489"/>
      <c r="W37" s="489"/>
      <c r="X37" s="489"/>
      <c r="Y37" s="489"/>
      <c r="Z37" s="489"/>
      <c r="AA37" s="489"/>
      <c r="AB37" s="489"/>
      <c r="AC37" s="489"/>
      <c r="AD37" s="489"/>
      <c r="AE37" s="489"/>
      <c r="AF37" s="489"/>
      <c r="AG37" s="489"/>
      <c r="AH37" s="489"/>
      <c r="AI37" s="489"/>
      <c r="AJ37" s="489"/>
      <c r="AK37" s="489"/>
      <c r="AL37" s="489"/>
      <c r="AM37" s="489"/>
    </row>
    <row r="38" spans="1:39">
      <c r="A38" s="489"/>
      <c r="B38" s="489"/>
      <c r="C38" s="489"/>
      <c r="D38" s="489"/>
      <c r="E38" s="489"/>
      <c r="F38" s="489"/>
      <c r="G38" s="489"/>
      <c r="H38" s="489"/>
      <c r="I38" s="489"/>
      <c r="J38" s="489"/>
      <c r="K38" s="489"/>
      <c r="L38" s="489"/>
      <c r="M38" s="489"/>
      <c r="N38" s="489"/>
      <c r="O38" s="489"/>
      <c r="P38" s="489"/>
      <c r="Q38" s="489"/>
      <c r="R38" s="489"/>
      <c r="S38" s="489"/>
      <c r="T38" s="489"/>
      <c r="U38" s="489"/>
      <c r="V38" s="489"/>
      <c r="W38" s="489"/>
      <c r="X38" s="489"/>
      <c r="Y38" s="489"/>
      <c r="Z38" s="489"/>
      <c r="AA38" s="489"/>
      <c r="AB38" s="489"/>
      <c r="AC38" s="489"/>
      <c r="AD38" s="489"/>
      <c r="AE38" s="489"/>
      <c r="AF38" s="489"/>
      <c r="AG38" s="489"/>
      <c r="AH38" s="489"/>
      <c r="AI38" s="489"/>
      <c r="AJ38" s="489"/>
      <c r="AK38" s="489"/>
      <c r="AL38" s="489"/>
      <c r="AM38" s="489"/>
    </row>
    <row r="39" spans="1:39">
      <c r="A39" s="489"/>
      <c r="B39" s="489"/>
      <c r="C39" s="489"/>
      <c r="D39" s="489"/>
      <c r="E39" s="489"/>
      <c r="F39" s="489"/>
      <c r="G39" s="489"/>
      <c r="H39" s="489"/>
      <c r="I39" s="489"/>
      <c r="J39" s="489"/>
      <c r="K39" s="489"/>
      <c r="L39" s="489"/>
      <c r="M39" s="489"/>
      <c r="N39" s="489"/>
      <c r="O39" s="489"/>
      <c r="P39" s="489"/>
      <c r="Q39" s="489"/>
      <c r="R39" s="489"/>
      <c r="S39" s="489"/>
      <c r="T39" s="489"/>
      <c r="U39" s="489"/>
      <c r="V39" s="489"/>
      <c r="W39" s="489"/>
      <c r="X39" s="489"/>
      <c r="Y39" s="489"/>
      <c r="Z39" s="489"/>
      <c r="AA39" s="489"/>
      <c r="AB39" s="489"/>
      <c r="AC39" s="489"/>
      <c r="AD39" s="489"/>
      <c r="AE39" s="489"/>
      <c r="AF39" s="489"/>
      <c r="AG39" s="489"/>
      <c r="AH39" s="489"/>
      <c r="AI39" s="489"/>
      <c r="AJ39" s="489"/>
      <c r="AK39" s="489"/>
      <c r="AL39" s="489"/>
      <c r="AM39" s="489"/>
    </row>
    <row r="40" spans="1:39">
      <c r="A40" s="489"/>
      <c r="B40" s="489"/>
      <c r="C40" s="489"/>
      <c r="D40" s="489"/>
      <c r="E40" s="489"/>
      <c r="F40" s="489"/>
      <c r="G40" s="489"/>
      <c r="H40" s="489"/>
      <c r="I40" s="489"/>
      <c r="J40" s="489"/>
      <c r="K40" s="489"/>
      <c r="L40" s="489"/>
      <c r="M40" s="489"/>
      <c r="N40" s="489"/>
      <c r="O40" s="489"/>
      <c r="P40" s="489"/>
      <c r="Q40" s="489"/>
      <c r="R40" s="489"/>
      <c r="S40" s="489"/>
      <c r="T40" s="489"/>
      <c r="U40" s="489"/>
      <c r="V40" s="489"/>
      <c r="W40" s="489"/>
      <c r="X40" s="489"/>
      <c r="Y40" s="489"/>
      <c r="Z40" s="489"/>
      <c r="AA40" s="489"/>
      <c r="AB40" s="489"/>
      <c r="AC40" s="489"/>
      <c r="AD40" s="489"/>
      <c r="AE40" s="489"/>
      <c r="AF40" s="489"/>
      <c r="AG40" s="489"/>
      <c r="AH40" s="489"/>
      <c r="AI40" s="489"/>
      <c r="AJ40" s="489"/>
      <c r="AK40" s="489"/>
      <c r="AL40" s="489"/>
      <c r="AM40" s="489"/>
    </row>
    <row r="41" spans="1:39">
      <c r="A41" s="489"/>
      <c r="B41" s="489"/>
      <c r="C41" s="489"/>
      <c r="D41" s="489"/>
      <c r="E41" s="489"/>
      <c r="F41" s="489"/>
      <c r="G41" s="489"/>
      <c r="H41" s="489"/>
      <c r="I41" s="489"/>
      <c r="J41" s="489"/>
      <c r="K41" s="489"/>
      <c r="L41" s="489"/>
      <c r="M41" s="489"/>
      <c r="N41" s="489"/>
      <c r="O41" s="489"/>
      <c r="P41" s="489"/>
      <c r="Q41" s="489"/>
      <c r="R41" s="489"/>
      <c r="S41" s="489"/>
      <c r="T41" s="489"/>
      <c r="U41" s="489"/>
      <c r="V41" s="489"/>
      <c r="W41" s="489"/>
      <c r="X41" s="489"/>
      <c r="Y41" s="489"/>
      <c r="Z41" s="489"/>
      <c r="AA41" s="489"/>
      <c r="AB41" s="489"/>
      <c r="AC41" s="489"/>
      <c r="AD41" s="489"/>
      <c r="AE41" s="489"/>
      <c r="AF41" s="489"/>
      <c r="AG41" s="489"/>
      <c r="AH41" s="489"/>
      <c r="AI41" s="489"/>
      <c r="AJ41" s="489"/>
      <c r="AK41" s="489"/>
      <c r="AL41" s="489"/>
      <c r="AM41" s="489"/>
    </row>
    <row r="42" spans="1:39">
      <c r="A42" s="489"/>
      <c r="B42" s="489"/>
      <c r="C42" s="489"/>
      <c r="D42" s="489"/>
      <c r="E42" s="489"/>
      <c r="F42" s="489"/>
      <c r="G42" s="489"/>
      <c r="H42" s="489"/>
      <c r="I42" s="489"/>
      <c r="J42" s="489"/>
      <c r="K42" s="489"/>
      <c r="L42" s="489"/>
      <c r="M42" s="489"/>
      <c r="N42" s="489"/>
      <c r="O42" s="489"/>
      <c r="P42" s="489"/>
      <c r="Q42" s="489"/>
      <c r="R42" s="489"/>
      <c r="S42" s="489"/>
      <c r="T42" s="489"/>
      <c r="U42" s="489"/>
      <c r="V42" s="489"/>
      <c r="W42" s="489"/>
      <c r="X42" s="489"/>
      <c r="Y42" s="489"/>
      <c r="Z42" s="489"/>
      <c r="AA42" s="489"/>
      <c r="AB42" s="489"/>
      <c r="AC42" s="489"/>
      <c r="AD42" s="489"/>
      <c r="AE42" s="489"/>
      <c r="AF42" s="489"/>
      <c r="AG42" s="489"/>
      <c r="AH42" s="489"/>
      <c r="AI42" s="489"/>
      <c r="AJ42" s="489"/>
      <c r="AK42" s="489"/>
      <c r="AL42" s="489"/>
      <c r="AM42" s="489"/>
    </row>
    <row r="43" spans="1:39">
      <c r="A43" s="489"/>
      <c r="B43" s="489"/>
      <c r="C43" s="489"/>
      <c r="D43" s="489"/>
      <c r="E43" s="489"/>
      <c r="F43" s="489"/>
      <c r="G43" s="489"/>
      <c r="H43" s="489"/>
      <c r="I43" s="489"/>
      <c r="J43" s="489"/>
      <c r="K43" s="489"/>
      <c r="L43" s="489"/>
      <c r="M43" s="489"/>
      <c r="N43" s="489"/>
      <c r="O43" s="489"/>
      <c r="P43" s="489"/>
      <c r="Q43" s="489"/>
      <c r="R43" s="489"/>
      <c r="S43" s="489"/>
      <c r="T43" s="489"/>
      <c r="U43" s="489"/>
      <c r="V43" s="489"/>
      <c r="W43" s="489"/>
      <c r="X43" s="489"/>
      <c r="Y43" s="489"/>
      <c r="Z43" s="489"/>
      <c r="AA43" s="489"/>
      <c r="AB43" s="489"/>
      <c r="AC43" s="489"/>
      <c r="AD43" s="489"/>
      <c r="AE43" s="489"/>
      <c r="AF43" s="489"/>
      <c r="AG43" s="489"/>
      <c r="AH43" s="489"/>
      <c r="AI43" s="489"/>
      <c r="AJ43" s="489"/>
      <c r="AK43" s="489"/>
      <c r="AL43" s="489"/>
      <c r="AM43" s="489"/>
    </row>
    <row r="44" spans="1:39">
      <c r="A44" s="489"/>
      <c r="B44" s="489"/>
      <c r="C44" s="489"/>
      <c r="D44" s="489"/>
      <c r="E44" s="489"/>
      <c r="F44" s="489"/>
      <c r="G44" s="489"/>
      <c r="H44" s="489"/>
      <c r="I44" s="489"/>
      <c r="J44" s="489"/>
      <c r="K44" s="489"/>
      <c r="L44" s="489"/>
      <c r="M44" s="489"/>
      <c r="N44" s="489"/>
      <c r="O44" s="489"/>
      <c r="P44" s="489"/>
      <c r="Q44" s="489"/>
      <c r="R44" s="489"/>
      <c r="S44" s="489"/>
      <c r="T44" s="489"/>
      <c r="U44" s="489"/>
      <c r="V44" s="489"/>
      <c r="W44" s="489"/>
      <c r="X44" s="489"/>
      <c r="Y44" s="489"/>
      <c r="Z44" s="489"/>
      <c r="AA44" s="489"/>
      <c r="AB44" s="489"/>
      <c r="AC44" s="489"/>
      <c r="AD44" s="489"/>
      <c r="AE44" s="489"/>
      <c r="AF44" s="489"/>
      <c r="AG44" s="489"/>
      <c r="AH44" s="489"/>
      <c r="AI44" s="489"/>
      <c r="AJ44" s="489"/>
      <c r="AK44" s="489"/>
      <c r="AL44" s="489"/>
      <c r="AM44" s="489"/>
    </row>
    <row r="45" spans="1:39">
      <c r="A45" s="489"/>
      <c r="B45" s="489"/>
      <c r="C45" s="489"/>
      <c r="D45" s="489"/>
      <c r="E45" s="489"/>
      <c r="F45" s="489"/>
      <c r="G45" s="489"/>
      <c r="H45" s="489"/>
      <c r="I45" s="489"/>
      <c r="J45" s="489"/>
      <c r="K45" s="489"/>
      <c r="L45" s="489"/>
      <c r="M45" s="489"/>
      <c r="N45" s="489"/>
      <c r="O45" s="489"/>
      <c r="P45" s="489"/>
      <c r="Q45" s="489"/>
      <c r="R45" s="489"/>
      <c r="S45" s="489"/>
      <c r="T45" s="489"/>
      <c r="U45" s="489"/>
      <c r="V45" s="489"/>
      <c r="W45" s="489"/>
      <c r="X45" s="489"/>
      <c r="Y45" s="489"/>
      <c r="Z45" s="489"/>
      <c r="AA45" s="489"/>
      <c r="AB45" s="489"/>
      <c r="AC45" s="489"/>
      <c r="AD45" s="489"/>
      <c r="AE45" s="489"/>
      <c r="AF45" s="489"/>
      <c r="AG45" s="489"/>
      <c r="AH45" s="489"/>
      <c r="AI45" s="489"/>
      <c r="AJ45" s="489"/>
      <c r="AK45" s="489"/>
      <c r="AL45" s="489"/>
      <c r="AM45" s="489"/>
    </row>
    <row r="46" spans="1:39">
      <c r="A46" s="489"/>
      <c r="B46" s="489"/>
      <c r="C46" s="489"/>
      <c r="D46" s="489"/>
      <c r="E46" s="489"/>
      <c r="F46" s="489"/>
      <c r="G46" s="489"/>
      <c r="H46" s="489"/>
      <c r="I46" s="489"/>
      <c r="J46" s="489"/>
      <c r="K46" s="489"/>
      <c r="L46" s="489"/>
      <c r="M46" s="489"/>
      <c r="N46" s="489"/>
      <c r="O46" s="489"/>
      <c r="P46" s="489"/>
      <c r="Q46" s="489"/>
      <c r="R46" s="489"/>
      <c r="S46" s="489"/>
      <c r="T46" s="489"/>
      <c r="U46" s="489"/>
      <c r="V46" s="489"/>
      <c r="W46" s="489"/>
      <c r="X46" s="489"/>
      <c r="Y46" s="489"/>
      <c r="Z46" s="489"/>
      <c r="AA46" s="489"/>
      <c r="AB46" s="489"/>
      <c r="AC46" s="489"/>
      <c r="AD46" s="489"/>
      <c r="AE46" s="489"/>
      <c r="AF46" s="489"/>
      <c r="AG46" s="489"/>
      <c r="AH46" s="489"/>
      <c r="AI46" s="489"/>
      <c r="AJ46" s="489"/>
      <c r="AK46" s="489"/>
      <c r="AL46" s="489"/>
      <c r="AM46" s="489"/>
    </row>
    <row r="47" spans="1:39">
      <c r="A47" s="489"/>
      <c r="B47" s="489"/>
      <c r="C47" s="489"/>
      <c r="D47" s="489"/>
      <c r="E47" s="489"/>
      <c r="F47" s="489"/>
      <c r="G47" s="489"/>
      <c r="H47" s="489"/>
      <c r="I47" s="489"/>
      <c r="J47" s="489"/>
      <c r="K47" s="489"/>
      <c r="L47" s="489"/>
      <c r="M47" s="489"/>
      <c r="N47" s="489"/>
      <c r="O47" s="489"/>
      <c r="P47" s="489"/>
      <c r="Q47" s="489"/>
      <c r="R47" s="489"/>
      <c r="S47" s="489"/>
      <c r="T47" s="489"/>
      <c r="U47" s="489"/>
      <c r="V47" s="489"/>
      <c r="W47" s="489"/>
      <c r="X47" s="489"/>
      <c r="Y47" s="489"/>
      <c r="Z47" s="489"/>
      <c r="AA47" s="489"/>
      <c r="AB47" s="489"/>
      <c r="AC47" s="489"/>
      <c r="AD47" s="489"/>
      <c r="AE47" s="489"/>
      <c r="AF47" s="489"/>
      <c r="AG47" s="489"/>
      <c r="AH47" s="489"/>
      <c r="AI47" s="489"/>
      <c r="AJ47" s="489"/>
      <c r="AK47" s="489"/>
      <c r="AL47" s="489"/>
      <c r="AM47" s="489"/>
    </row>
    <row r="48" spans="1:39">
      <c r="A48" s="489"/>
      <c r="B48" s="489"/>
      <c r="C48" s="489"/>
      <c r="D48" s="489"/>
      <c r="E48" s="489"/>
      <c r="F48" s="489"/>
      <c r="G48" s="489"/>
      <c r="H48" s="489"/>
      <c r="I48" s="489"/>
      <c r="J48" s="489"/>
      <c r="K48" s="489"/>
      <c r="L48" s="489"/>
      <c r="M48" s="489"/>
      <c r="N48" s="489"/>
      <c r="O48" s="489"/>
      <c r="P48" s="489"/>
      <c r="Q48" s="489"/>
      <c r="R48" s="489"/>
      <c r="S48" s="489"/>
      <c r="T48" s="489"/>
      <c r="U48" s="489"/>
      <c r="V48" s="489"/>
      <c r="W48" s="489"/>
      <c r="X48" s="489"/>
      <c r="Y48" s="489"/>
      <c r="Z48" s="489"/>
      <c r="AA48" s="489"/>
      <c r="AB48" s="489"/>
      <c r="AC48" s="489"/>
      <c r="AD48" s="489"/>
      <c r="AE48" s="489"/>
      <c r="AF48" s="489"/>
      <c r="AG48" s="489"/>
      <c r="AH48" s="489"/>
      <c r="AI48" s="489"/>
      <c r="AJ48" s="489"/>
      <c r="AK48" s="489"/>
      <c r="AL48" s="489"/>
      <c r="AM48" s="489"/>
    </row>
    <row r="49" spans="1:39">
      <c r="A49" s="489"/>
      <c r="B49" s="489"/>
      <c r="C49" s="489"/>
      <c r="D49" s="489"/>
      <c r="E49" s="489"/>
      <c r="F49" s="489"/>
      <c r="G49" s="489"/>
      <c r="H49" s="489"/>
      <c r="I49" s="489"/>
      <c r="J49" s="489"/>
      <c r="K49" s="489"/>
      <c r="L49" s="489"/>
      <c r="M49" s="489"/>
      <c r="N49" s="489"/>
      <c r="O49" s="489"/>
      <c r="P49" s="489"/>
      <c r="Q49" s="489"/>
      <c r="R49" s="489"/>
      <c r="S49" s="489"/>
      <c r="T49" s="489"/>
      <c r="U49" s="489"/>
      <c r="V49" s="489"/>
      <c r="W49" s="489"/>
      <c r="X49" s="489"/>
      <c r="Y49" s="489"/>
      <c r="Z49" s="489"/>
      <c r="AA49" s="489"/>
      <c r="AB49" s="489"/>
      <c r="AC49" s="489"/>
      <c r="AD49" s="489"/>
      <c r="AE49" s="489"/>
      <c r="AF49" s="489"/>
      <c r="AG49" s="489"/>
      <c r="AH49" s="489"/>
      <c r="AI49" s="489"/>
      <c r="AJ49" s="489"/>
      <c r="AK49" s="489"/>
      <c r="AL49" s="489"/>
      <c r="AM49" s="489"/>
    </row>
    <row r="50" spans="1:39">
      <c r="A50" s="489"/>
      <c r="B50" s="489"/>
      <c r="C50" s="489"/>
      <c r="D50" s="489"/>
      <c r="E50" s="489"/>
      <c r="F50" s="489"/>
      <c r="G50" s="489"/>
      <c r="H50" s="489"/>
      <c r="I50" s="489"/>
      <c r="J50" s="489"/>
      <c r="K50" s="489"/>
      <c r="L50" s="489"/>
      <c r="M50" s="489"/>
      <c r="N50" s="489"/>
      <c r="O50" s="489"/>
      <c r="P50" s="489"/>
      <c r="Q50" s="489"/>
      <c r="R50" s="489"/>
      <c r="S50" s="489"/>
      <c r="T50" s="489"/>
      <c r="U50" s="489"/>
      <c r="V50" s="489"/>
      <c r="W50" s="489"/>
      <c r="X50" s="489"/>
      <c r="Y50" s="489"/>
      <c r="Z50" s="489"/>
      <c r="AA50" s="489"/>
      <c r="AB50" s="489"/>
      <c r="AC50" s="489"/>
      <c r="AD50" s="489"/>
      <c r="AE50" s="489"/>
      <c r="AF50" s="489"/>
      <c r="AG50" s="489"/>
      <c r="AH50" s="489"/>
      <c r="AI50" s="489"/>
      <c r="AJ50" s="489"/>
      <c r="AK50" s="489"/>
      <c r="AL50" s="489"/>
      <c r="AM50" s="489"/>
    </row>
    <row r="51" spans="1:39">
      <c r="A51" s="489"/>
      <c r="B51" s="489"/>
      <c r="C51" s="489"/>
      <c r="D51" s="489"/>
      <c r="E51" s="489"/>
      <c r="F51" s="489"/>
      <c r="G51" s="489"/>
      <c r="H51" s="489"/>
      <c r="I51" s="489"/>
      <c r="J51" s="489"/>
      <c r="K51" s="489"/>
      <c r="L51" s="489"/>
      <c r="M51" s="489"/>
      <c r="N51" s="489"/>
      <c r="O51" s="489"/>
      <c r="P51" s="489"/>
      <c r="Q51" s="489"/>
      <c r="R51" s="489"/>
      <c r="S51" s="489"/>
      <c r="T51" s="489"/>
      <c r="U51" s="489"/>
      <c r="V51" s="489"/>
      <c r="W51" s="489"/>
      <c r="X51" s="489"/>
      <c r="Y51" s="489"/>
      <c r="Z51" s="489"/>
      <c r="AA51" s="489"/>
      <c r="AB51" s="489"/>
      <c r="AC51" s="489"/>
      <c r="AD51" s="489"/>
      <c r="AE51" s="489"/>
      <c r="AF51" s="489"/>
      <c r="AG51" s="489"/>
      <c r="AH51" s="489"/>
      <c r="AI51" s="489"/>
      <c r="AJ51" s="489"/>
      <c r="AK51" s="489"/>
      <c r="AL51" s="489"/>
      <c r="AM51" s="489"/>
    </row>
    <row r="52" spans="1:39">
      <c r="A52" s="489"/>
      <c r="B52" s="489"/>
      <c r="C52" s="489"/>
      <c r="D52" s="489"/>
      <c r="E52" s="489"/>
      <c r="F52" s="489"/>
      <c r="G52" s="489"/>
      <c r="H52" s="489"/>
      <c r="I52" s="489"/>
      <c r="J52" s="489"/>
      <c r="K52" s="489"/>
      <c r="L52" s="489"/>
      <c r="M52" s="489"/>
      <c r="N52" s="489"/>
      <c r="O52" s="489"/>
      <c r="P52" s="489"/>
      <c r="Q52" s="489"/>
      <c r="R52" s="489"/>
      <c r="S52" s="489"/>
      <c r="T52" s="489"/>
      <c r="U52" s="489"/>
      <c r="V52" s="489"/>
      <c r="W52" s="489"/>
      <c r="X52" s="489"/>
      <c r="Y52" s="489"/>
      <c r="Z52" s="489"/>
      <c r="AA52" s="489"/>
      <c r="AB52" s="489"/>
      <c r="AC52" s="489"/>
      <c r="AD52" s="489"/>
      <c r="AE52" s="489"/>
      <c r="AF52" s="489"/>
      <c r="AG52" s="489"/>
      <c r="AH52" s="489"/>
      <c r="AI52" s="489"/>
      <c r="AJ52" s="489"/>
      <c r="AK52" s="489"/>
      <c r="AL52" s="489"/>
      <c r="AM52" s="489"/>
    </row>
    <row r="53" spans="1:39">
      <c r="A53" s="489"/>
      <c r="B53" s="489"/>
      <c r="C53" s="489"/>
      <c r="D53" s="489"/>
      <c r="E53" s="489"/>
      <c r="F53" s="489"/>
      <c r="G53" s="489"/>
      <c r="H53" s="489"/>
      <c r="I53" s="489"/>
      <c r="J53" s="489"/>
      <c r="K53" s="489"/>
      <c r="L53" s="489"/>
      <c r="M53" s="489"/>
      <c r="N53" s="489"/>
      <c r="O53" s="489"/>
      <c r="P53" s="489"/>
      <c r="Q53" s="489"/>
      <c r="R53" s="489"/>
      <c r="S53" s="489"/>
      <c r="T53" s="489"/>
      <c r="U53" s="489"/>
      <c r="V53" s="489"/>
      <c r="W53" s="489"/>
      <c r="X53" s="489"/>
      <c r="Y53" s="489"/>
      <c r="Z53" s="489"/>
      <c r="AA53" s="489"/>
      <c r="AB53" s="489"/>
      <c r="AC53" s="489"/>
      <c r="AD53" s="489"/>
      <c r="AE53" s="489"/>
      <c r="AF53" s="489"/>
      <c r="AG53" s="489"/>
      <c r="AH53" s="489"/>
      <c r="AI53" s="489"/>
      <c r="AJ53" s="489"/>
      <c r="AK53" s="489"/>
      <c r="AL53" s="489"/>
      <c r="AM53" s="489"/>
    </row>
    <row r="54" spans="1:39">
      <c r="A54" s="489"/>
      <c r="B54" s="489"/>
      <c r="C54" s="489"/>
      <c r="D54" s="489"/>
      <c r="E54" s="489"/>
      <c r="F54" s="489"/>
      <c r="G54" s="489"/>
      <c r="H54" s="489"/>
      <c r="I54" s="489"/>
      <c r="J54" s="489"/>
      <c r="K54" s="489"/>
      <c r="L54" s="489"/>
      <c r="M54" s="489"/>
      <c r="N54" s="489"/>
      <c r="O54" s="489"/>
      <c r="P54" s="489"/>
      <c r="Q54" s="489"/>
      <c r="R54" s="489"/>
      <c r="S54" s="489"/>
      <c r="T54" s="489"/>
      <c r="U54" s="489"/>
      <c r="V54" s="489"/>
      <c r="W54" s="489"/>
      <c r="X54" s="489"/>
      <c r="Y54" s="489"/>
      <c r="Z54" s="489"/>
      <c r="AA54" s="489"/>
      <c r="AB54" s="489"/>
      <c r="AC54" s="489"/>
      <c r="AD54" s="489"/>
      <c r="AE54" s="489"/>
      <c r="AF54" s="489"/>
      <c r="AG54" s="489"/>
      <c r="AH54" s="489"/>
      <c r="AI54" s="489"/>
      <c r="AJ54" s="489"/>
      <c r="AK54" s="489"/>
      <c r="AL54" s="489"/>
      <c r="AM54" s="489"/>
    </row>
    <row r="55" spans="1:39">
      <c r="A55" s="489"/>
      <c r="B55" s="489"/>
      <c r="C55" s="489"/>
      <c r="D55" s="489"/>
      <c r="E55" s="489"/>
      <c r="F55" s="489"/>
      <c r="G55" s="489"/>
      <c r="H55" s="489"/>
      <c r="I55" s="489"/>
      <c r="J55" s="489"/>
      <c r="K55" s="489"/>
      <c r="L55" s="489"/>
      <c r="M55" s="489"/>
      <c r="N55" s="489"/>
      <c r="O55" s="489"/>
      <c r="P55" s="489"/>
      <c r="Q55" s="489"/>
      <c r="R55" s="489"/>
      <c r="S55" s="489"/>
      <c r="T55" s="489"/>
      <c r="U55" s="489"/>
      <c r="V55" s="489"/>
      <c r="W55" s="489"/>
      <c r="X55" s="489"/>
      <c r="Y55" s="489"/>
      <c r="Z55" s="489"/>
      <c r="AA55" s="489"/>
      <c r="AB55" s="489"/>
      <c r="AC55" s="489"/>
      <c r="AD55" s="489"/>
      <c r="AE55" s="489"/>
      <c r="AF55" s="489"/>
      <c r="AG55" s="489"/>
      <c r="AH55" s="489"/>
      <c r="AI55" s="489"/>
      <c r="AJ55" s="489"/>
      <c r="AK55" s="489"/>
      <c r="AL55" s="489"/>
      <c r="AM55" s="489"/>
    </row>
    <row r="56" spans="1:39">
      <c r="A56" s="489"/>
      <c r="B56" s="489"/>
      <c r="C56" s="489"/>
      <c r="D56" s="489"/>
      <c r="E56" s="489"/>
      <c r="F56" s="489"/>
      <c r="G56" s="489"/>
      <c r="H56" s="489"/>
      <c r="I56" s="489"/>
      <c r="J56" s="489"/>
      <c r="K56" s="489"/>
      <c r="L56" s="489"/>
      <c r="M56" s="489"/>
      <c r="N56" s="489"/>
      <c r="O56" s="489"/>
      <c r="P56" s="489"/>
      <c r="Q56" s="489"/>
      <c r="R56" s="489"/>
      <c r="S56" s="489"/>
      <c r="T56" s="489"/>
      <c r="U56" s="489"/>
      <c r="V56" s="489"/>
      <c r="W56" s="489"/>
      <c r="X56" s="489"/>
      <c r="Y56" s="489"/>
      <c r="Z56" s="489"/>
      <c r="AA56" s="489"/>
      <c r="AB56" s="489"/>
      <c r="AC56" s="489"/>
      <c r="AD56" s="489"/>
      <c r="AE56" s="489"/>
      <c r="AF56" s="489"/>
      <c r="AG56" s="489"/>
      <c r="AH56" s="489"/>
      <c r="AI56" s="489"/>
      <c r="AJ56" s="489"/>
      <c r="AK56" s="489"/>
      <c r="AL56" s="489"/>
      <c r="AM56" s="489"/>
    </row>
    <row r="57" spans="1:39">
      <c r="A57" s="489"/>
      <c r="B57" s="489"/>
      <c r="C57" s="489"/>
      <c r="D57" s="489"/>
      <c r="E57" s="489"/>
      <c r="F57" s="489"/>
      <c r="G57" s="489"/>
      <c r="H57" s="489"/>
      <c r="I57" s="489"/>
      <c r="J57" s="489"/>
      <c r="K57" s="489"/>
      <c r="L57" s="489"/>
      <c r="M57" s="489"/>
      <c r="N57" s="489"/>
      <c r="O57" s="489"/>
      <c r="P57" s="489"/>
      <c r="Q57" s="489"/>
      <c r="R57" s="489"/>
      <c r="S57" s="489"/>
      <c r="T57" s="489"/>
      <c r="U57" s="489"/>
      <c r="V57" s="489"/>
      <c r="W57" s="489"/>
      <c r="X57" s="489"/>
      <c r="Y57" s="489"/>
      <c r="Z57" s="489"/>
      <c r="AA57" s="489"/>
      <c r="AB57" s="489"/>
      <c r="AC57" s="489"/>
      <c r="AD57" s="489"/>
      <c r="AE57" s="489"/>
      <c r="AF57" s="489"/>
      <c r="AG57" s="489"/>
      <c r="AH57" s="489"/>
      <c r="AI57" s="489"/>
      <c r="AJ57" s="489"/>
      <c r="AK57" s="489"/>
      <c r="AL57" s="489"/>
      <c r="AM57" s="489"/>
    </row>
    <row r="58" spans="1:39">
      <c r="A58" s="489"/>
      <c r="B58" s="489"/>
      <c r="C58" s="489"/>
      <c r="D58" s="489"/>
      <c r="E58" s="489"/>
      <c r="F58" s="489"/>
      <c r="G58" s="489"/>
      <c r="H58" s="489"/>
      <c r="I58" s="489"/>
      <c r="J58" s="489"/>
      <c r="K58" s="489"/>
      <c r="L58" s="489"/>
      <c r="M58" s="489"/>
      <c r="N58" s="489"/>
      <c r="O58" s="489"/>
      <c r="P58" s="489"/>
      <c r="Q58" s="489"/>
      <c r="R58" s="489"/>
      <c r="S58" s="489"/>
      <c r="T58" s="489"/>
      <c r="U58" s="489"/>
      <c r="V58" s="489"/>
      <c r="W58" s="489"/>
      <c r="X58" s="489"/>
      <c r="Y58" s="489"/>
      <c r="Z58" s="489"/>
      <c r="AA58" s="489"/>
      <c r="AB58" s="489"/>
      <c r="AC58" s="489"/>
      <c r="AD58" s="489"/>
      <c r="AE58" s="489"/>
      <c r="AF58" s="489"/>
      <c r="AG58" s="489"/>
      <c r="AH58" s="489"/>
      <c r="AI58" s="489"/>
      <c r="AJ58" s="489"/>
      <c r="AK58" s="489"/>
      <c r="AL58" s="489"/>
      <c r="AM58" s="489"/>
    </row>
    <row r="59" spans="1:39">
      <c r="A59" s="489"/>
      <c r="B59" s="489"/>
      <c r="C59" s="489"/>
      <c r="D59" s="489"/>
      <c r="E59" s="489"/>
      <c r="F59" s="489"/>
      <c r="G59" s="489"/>
      <c r="H59" s="489"/>
      <c r="I59" s="489"/>
      <c r="J59" s="489"/>
      <c r="K59" s="489"/>
      <c r="L59" s="489"/>
      <c r="M59" s="489"/>
      <c r="N59" s="489"/>
      <c r="O59" s="489"/>
      <c r="P59" s="489"/>
      <c r="Q59" s="489"/>
      <c r="R59" s="489"/>
      <c r="S59" s="489"/>
      <c r="T59" s="489"/>
      <c r="U59" s="489"/>
      <c r="V59" s="489"/>
      <c r="W59" s="489"/>
      <c r="X59" s="489"/>
      <c r="Y59" s="489"/>
      <c r="Z59" s="489"/>
      <c r="AA59" s="489"/>
      <c r="AB59" s="489"/>
      <c r="AC59" s="489"/>
      <c r="AD59" s="489"/>
      <c r="AE59" s="489"/>
      <c r="AF59" s="489"/>
      <c r="AG59" s="489"/>
      <c r="AH59" s="489"/>
      <c r="AI59" s="489"/>
      <c r="AJ59" s="489"/>
      <c r="AK59" s="489"/>
      <c r="AL59" s="489"/>
      <c r="AM59" s="489"/>
    </row>
    <row r="60" spans="1:39">
      <c r="A60" s="489"/>
      <c r="B60" s="489"/>
      <c r="C60" s="489"/>
      <c r="D60" s="489"/>
      <c r="E60" s="489"/>
      <c r="F60" s="489"/>
      <c r="G60" s="489"/>
      <c r="H60" s="489"/>
      <c r="I60" s="489"/>
      <c r="J60" s="489"/>
      <c r="K60" s="489"/>
      <c r="L60" s="489"/>
      <c r="M60" s="489"/>
      <c r="N60" s="489"/>
      <c r="O60" s="489"/>
      <c r="P60" s="489"/>
      <c r="Q60" s="489"/>
      <c r="R60" s="489"/>
      <c r="S60" s="489"/>
      <c r="T60" s="489"/>
      <c r="U60" s="489"/>
      <c r="V60" s="489"/>
      <c r="W60" s="489"/>
      <c r="X60" s="489"/>
      <c r="Y60" s="489"/>
      <c r="Z60" s="489"/>
      <c r="AA60" s="489"/>
      <c r="AB60" s="489"/>
      <c r="AC60" s="489"/>
      <c r="AD60" s="489"/>
      <c r="AE60" s="489"/>
      <c r="AF60" s="489"/>
      <c r="AG60" s="489"/>
      <c r="AH60" s="489"/>
      <c r="AI60" s="489"/>
      <c r="AJ60" s="489"/>
      <c r="AK60" s="489"/>
      <c r="AL60" s="489"/>
      <c r="AM60" s="489"/>
    </row>
    <row r="61" spans="1:39">
      <c r="A61" s="489"/>
      <c r="B61" s="489"/>
      <c r="C61" s="489"/>
      <c r="D61" s="489"/>
      <c r="E61" s="489"/>
      <c r="F61" s="489"/>
      <c r="G61" s="489"/>
      <c r="H61" s="489"/>
      <c r="I61" s="489"/>
      <c r="J61" s="489"/>
      <c r="K61" s="489"/>
      <c r="L61" s="489"/>
      <c r="M61" s="489"/>
      <c r="N61" s="489"/>
      <c r="O61" s="489"/>
      <c r="P61" s="489"/>
      <c r="Q61" s="489"/>
      <c r="R61" s="489"/>
      <c r="S61" s="489"/>
      <c r="T61" s="489"/>
      <c r="U61" s="489"/>
      <c r="V61" s="489"/>
      <c r="W61" s="489"/>
      <c r="X61" s="489"/>
      <c r="Y61" s="489"/>
      <c r="Z61" s="489"/>
      <c r="AA61" s="489"/>
      <c r="AB61" s="489"/>
      <c r="AC61" s="489"/>
      <c r="AD61" s="489"/>
      <c r="AE61" s="489"/>
      <c r="AF61" s="489"/>
      <c r="AG61" s="489"/>
      <c r="AH61" s="489"/>
      <c r="AI61" s="489"/>
      <c r="AJ61" s="489"/>
      <c r="AK61" s="489"/>
      <c r="AL61" s="489"/>
      <c r="AM61" s="489"/>
    </row>
    <row r="62" spans="1:39">
      <c r="A62" s="489"/>
      <c r="B62" s="489"/>
      <c r="C62" s="489"/>
      <c r="D62" s="489"/>
      <c r="E62" s="489"/>
      <c r="F62" s="489"/>
      <c r="G62" s="489"/>
      <c r="H62" s="489"/>
      <c r="I62" s="489"/>
      <c r="J62" s="489"/>
      <c r="K62" s="489"/>
      <c r="L62" s="489"/>
      <c r="M62" s="489"/>
      <c r="N62" s="489"/>
      <c r="O62" s="489"/>
      <c r="P62" s="489"/>
      <c r="Q62" s="489"/>
      <c r="R62" s="489"/>
      <c r="S62" s="489"/>
      <c r="T62" s="489"/>
      <c r="U62" s="489"/>
      <c r="V62" s="489"/>
      <c r="W62" s="489"/>
      <c r="X62" s="489"/>
      <c r="Y62" s="489"/>
      <c r="Z62" s="489"/>
      <c r="AA62" s="489"/>
      <c r="AB62" s="489"/>
      <c r="AC62" s="489"/>
      <c r="AD62" s="489"/>
      <c r="AE62" s="489"/>
      <c r="AF62" s="489"/>
      <c r="AG62" s="489"/>
      <c r="AH62" s="489"/>
      <c r="AI62" s="489"/>
      <c r="AJ62" s="489"/>
      <c r="AK62" s="489"/>
      <c r="AL62" s="489"/>
      <c r="AM62" s="489"/>
    </row>
    <row r="63" spans="1:39">
      <c r="A63" s="489"/>
      <c r="B63" s="489"/>
      <c r="C63" s="489"/>
      <c r="D63" s="489"/>
      <c r="E63" s="489"/>
      <c r="F63" s="489"/>
      <c r="G63" s="489"/>
      <c r="H63" s="489"/>
      <c r="I63" s="489"/>
      <c r="J63" s="489"/>
      <c r="K63" s="489"/>
      <c r="L63" s="489"/>
      <c r="M63" s="489"/>
      <c r="N63" s="489"/>
      <c r="O63" s="489"/>
      <c r="P63" s="489"/>
      <c r="Q63" s="489"/>
      <c r="R63" s="489"/>
      <c r="S63" s="489"/>
      <c r="T63" s="489"/>
      <c r="U63" s="489"/>
      <c r="V63" s="489"/>
      <c r="W63" s="489"/>
      <c r="X63" s="489"/>
      <c r="Y63" s="489"/>
      <c r="Z63" s="489"/>
      <c r="AA63" s="489"/>
      <c r="AB63" s="489"/>
      <c r="AC63" s="489"/>
      <c r="AD63" s="489"/>
      <c r="AE63" s="489"/>
      <c r="AF63" s="489"/>
      <c r="AG63" s="489"/>
      <c r="AH63" s="489"/>
      <c r="AI63" s="489"/>
      <c r="AJ63" s="489"/>
      <c r="AK63" s="489"/>
      <c r="AL63" s="489"/>
      <c r="AM63" s="489"/>
    </row>
    <row r="64" spans="1:39">
      <c r="A64" s="489"/>
      <c r="B64" s="489"/>
      <c r="C64" s="489"/>
      <c r="D64" s="489"/>
      <c r="E64" s="489"/>
      <c r="F64" s="489"/>
      <c r="G64" s="489"/>
      <c r="H64" s="489"/>
      <c r="I64" s="489"/>
      <c r="J64" s="489"/>
      <c r="K64" s="489"/>
      <c r="L64" s="489"/>
      <c r="M64" s="489"/>
      <c r="N64" s="489"/>
      <c r="O64" s="489"/>
      <c r="P64" s="489"/>
      <c r="Q64" s="489"/>
      <c r="R64" s="489"/>
      <c r="S64" s="489"/>
      <c r="T64" s="489"/>
      <c r="U64" s="489"/>
      <c r="V64" s="489"/>
      <c r="W64" s="489"/>
      <c r="X64" s="489"/>
      <c r="Y64" s="489"/>
      <c r="Z64" s="489"/>
      <c r="AA64" s="489"/>
      <c r="AB64" s="489"/>
      <c r="AC64" s="489"/>
      <c r="AD64" s="489"/>
      <c r="AE64" s="489"/>
      <c r="AF64" s="489"/>
      <c r="AG64" s="489"/>
      <c r="AH64" s="489"/>
      <c r="AI64" s="489"/>
      <c r="AJ64" s="489"/>
      <c r="AK64" s="489"/>
      <c r="AL64" s="489"/>
      <c r="AM64" s="489"/>
    </row>
    <row r="65" spans="1:39">
      <c r="A65" s="489"/>
      <c r="B65" s="489"/>
      <c r="C65" s="489"/>
      <c r="D65" s="489"/>
      <c r="E65" s="489"/>
      <c r="F65" s="489"/>
      <c r="G65" s="489"/>
      <c r="H65" s="489"/>
      <c r="I65" s="489"/>
      <c r="J65" s="489"/>
      <c r="K65" s="489"/>
      <c r="L65" s="489"/>
      <c r="M65" s="489"/>
      <c r="N65" s="489"/>
      <c r="O65" s="489"/>
      <c r="P65" s="489"/>
      <c r="Q65" s="489"/>
      <c r="R65" s="489"/>
      <c r="S65" s="489"/>
      <c r="T65" s="489"/>
      <c r="U65" s="489"/>
      <c r="V65" s="489"/>
      <c r="W65" s="489"/>
      <c r="X65" s="489"/>
      <c r="Y65" s="489"/>
      <c r="Z65" s="489"/>
      <c r="AA65" s="489"/>
      <c r="AB65" s="489"/>
      <c r="AC65" s="489"/>
      <c r="AD65" s="489"/>
      <c r="AE65" s="489"/>
      <c r="AF65" s="489"/>
      <c r="AG65" s="489"/>
      <c r="AH65" s="489"/>
      <c r="AI65" s="489"/>
      <c r="AJ65" s="489"/>
      <c r="AK65" s="489"/>
      <c r="AL65" s="489"/>
      <c r="AM65" s="489"/>
    </row>
    <row r="66" spans="1:39">
      <c r="A66" s="489"/>
      <c r="B66" s="489"/>
      <c r="C66" s="489"/>
      <c r="D66" s="489"/>
      <c r="E66" s="489"/>
      <c r="F66" s="489"/>
      <c r="G66" s="489"/>
      <c r="H66" s="489"/>
      <c r="I66" s="489"/>
      <c r="J66" s="489"/>
      <c r="K66" s="489"/>
      <c r="L66" s="489"/>
      <c r="M66" s="489"/>
      <c r="N66" s="489"/>
      <c r="O66" s="489"/>
      <c r="P66" s="489"/>
      <c r="Q66" s="489"/>
      <c r="R66" s="489"/>
      <c r="S66" s="489"/>
      <c r="T66" s="489"/>
      <c r="U66" s="489"/>
      <c r="V66" s="489"/>
      <c r="W66" s="489"/>
      <c r="X66" s="489"/>
      <c r="Y66" s="489"/>
      <c r="Z66" s="489"/>
      <c r="AA66" s="489"/>
      <c r="AB66" s="489"/>
      <c r="AC66" s="489"/>
      <c r="AD66" s="489"/>
      <c r="AE66" s="489"/>
      <c r="AF66" s="489"/>
      <c r="AG66" s="489"/>
      <c r="AH66" s="489"/>
      <c r="AI66" s="489"/>
      <c r="AJ66" s="489"/>
      <c r="AK66" s="489"/>
      <c r="AL66" s="489"/>
      <c r="AM66" s="489"/>
    </row>
    <row r="67" spans="1:39">
      <c r="A67" s="489"/>
      <c r="B67" s="489"/>
      <c r="C67" s="489"/>
      <c r="D67" s="489"/>
      <c r="E67" s="489"/>
      <c r="F67" s="489"/>
      <c r="G67" s="489"/>
      <c r="H67" s="489"/>
      <c r="I67" s="489"/>
      <c r="J67" s="489"/>
      <c r="K67" s="489"/>
      <c r="L67" s="489"/>
      <c r="M67" s="489"/>
      <c r="N67" s="489"/>
      <c r="O67" s="489"/>
      <c r="P67" s="489"/>
      <c r="Q67" s="489"/>
      <c r="R67" s="489"/>
      <c r="S67" s="489"/>
      <c r="T67" s="489"/>
      <c r="U67" s="489"/>
      <c r="V67" s="489"/>
      <c r="W67" s="489"/>
      <c r="X67" s="489"/>
      <c r="Y67" s="489"/>
      <c r="Z67" s="489"/>
      <c r="AA67" s="489"/>
      <c r="AB67" s="489"/>
      <c r="AC67" s="489"/>
      <c r="AD67" s="489"/>
      <c r="AE67" s="489"/>
      <c r="AF67" s="489"/>
      <c r="AG67" s="489"/>
      <c r="AH67" s="489"/>
      <c r="AI67" s="489"/>
      <c r="AJ67" s="489"/>
      <c r="AK67" s="489"/>
      <c r="AL67" s="489"/>
      <c r="AM67" s="489"/>
    </row>
    <row r="68" spans="1:39">
      <c r="A68" s="489"/>
      <c r="B68" s="489"/>
      <c r="C68" s="489"/>
      <c r="D68" s="489"/>
      <c r="E68" s="489"/>
      <c r="F68" s="489"/>
      <c r="G68" s="489"/>
      <c r="H68" s="489"/>
      <c r="I68" s="489"/>
      <c r="J68" s="489"/>
      <c r="K68" s="489"/>
      <c r="L68" s="489"/>
      <c r="M68" s="489"/>
      <c r="N68" s="489"/>
      <c r="O68" s="489"/>
      <c r="P68" s="489"/>
      <c r="Q68" s="489"/>
      <c r="R68" s="489"/>
      <c r="S68" s="489"/>
      <c r="T68" s="489"/>
      <c r="U68" s="489"/>
      <c r="V68" s="489"/>
      <c r="W68" s="489"/>
      <c r="X68" s="489"/>
      <c r="Y68" s="489"/>
      <c r="Z68" s="489"/>
      <c r="AA68" s="489"/>
      <c r="AB68" s="489"/>
      <c r="AC68" s="489"/>
      <c r="AD68" s="489"/>
      <c r="AE68" s="489"/>
      <c r="AF68" s="489"/>
      <c r="AG68" s="489"/>
      <c r="AH68" s="489"/>
      <c r="AI68" s="489"/>
      <c r="AJ68" s="489"/>
      <c r="AK68" s="489"/>
      <c r="AL68" s="489"/>
      <c r="AM68" s="489"/>
    </row>
    <row r="69" spans="1:39">
      <c r="A69" s="489"/>
      <c r="B69" s="489"/>
      <c r="C69" s="489"/>
      <c r="D69" s="489"/>
      <c r="E69" s="489"/>
      <c r="F69" s="489"/>
      <c r="G69" s="489"/>
      <c r="H69" s="489"/>
      <c r="I69" s="489"/>
      <c r="J69" s="489"/>
      <c r="K69" s="489"/>
      <c r="L69" s="489"/>
      <c r="M69" s="489"/>
      <c r="N69" s="489"/>
      <c r="O69" s="489"/>
      <c r="P69" s="489"/>
      <c r="Q69" s="489"/>
      <c r="R69" s="489"/>
      <c r="S69" s="489"/>
      <c r="T69" s="489"/>
      <c r="U69" s="489"/>
      <c r="V69" s="489"/>
      <c r="W69" s="489"/>
      <c r="X69" s="489"/>
      <c r="Y69" s="489"/>
      <c r="Z69" s="489"/>
      <c r="AA69" s="489"/>
      <c r="AB69" s="489"/>
      <c r="AC69" s="489"/>
      <c r="AD69" s="489"/>
      <c r="AE69" s="489"/>
      <c r="AF69" s="489"/>
      <c r="AG69" s="489"/>
      <c r="AH69" s="489"/>
      <c r="AI69" s="489"/>
      <c r="AJ69" s="489"/>
      <c r="AK69" s="489"/>
      <c r="AL69" s="489"/>
      <c r="AM69" s="489"/>
    </row>
    <row r="70" spans="1:39">
      <c r="A70" s="489"/>
      <c r="B70" s="489"/>
      <c r="C70" s="489"/>
      <c r="D70" s="489"/>
      <c r="E70" s="489"/>
      <c r="F70" s="489"/>
      <c r="G70" s="489"/>
      <c r="H70" s="489"/>
      <c r="I70" s="489"/>
      <c r="J70" s="489"/>
      <c r="K70" s="489"/>
      <c r="L70" s="489"/>
      <c r="M70" s="489"/>
      <c r="N70" s="489"/>
      <c r="O70" s="489"/>
      <c r="P70" s="489"/>
      <c r="Q70" s="489"/>
      <c r="R70" s="489"/>
      <c r="S70" s="489"/>
      <c r="T70" s="489"/>
      <c r="U70" s="489"/>
      <c r="V70" s="489"/>
      <c r="W70" s="489"/>
      <c r="X70" s="489"/>
      <c r="Y70" s="489"/>
      <c r="Z70" s="489"/>
      <c r="AA70" s="489"/>
      <c r="AB70" s="489"/>
      <c r="AC70" s="489"/>
      <c r="AD70" s="489"/>
      <c r="AE70" s="489"/>
      <c r="AF70" s="489"/>
      <c r="AG70" s="489"/>
      <c r="AH70" s="489"/>
      <c r="AI70" s="489"/>
      <c r="AJ70" s="489"/>
      <c r="AK70" s="489"/>
      <c r="AL70" s="489"/>
      <c r="AM70" s="489"/>
    </row>
    <row r="71" spans="1:39">
      <c r="A71" s="489"/>
      <c r="B71" s="489"/>
      <c r="C71" s="489"/>
      <c r="D71" s="489"/>
      <c r="E71" s="489"/>
      <c r="F71" s="489"/>
      <c r="G71" s="489"/>
      <c r="H71" s="489"/>
      <c r="I71" s="489"/>
      <c r="J71" s="489"/>
      <c r="K71" s="489"/>
      <c r="L71" s="489"/>
      <c r="M71" s="489"/>
      <c r="N71" s="489"/>
      <c r="O71" s="489"/>
      <c r="P71" s="489"/>
      <c r="Q71" s="489"/>
      <c r="R71" s="489"/>
      <c r="S71" s="489"/>
      <c r="T71" s="489"/>
      <c r="U71" s="489"/>
      <c r="V71" s="489"/>
      <c r="W71" s="489"/>
      <c r="X71" s="489"/>
      <c r="Y71" s="489"/>
      <c r="Z71" s="489"/>
      <c r="AA71" s="489"/>
      <c r="AB71" s="489"/>
      <c r="AC71" s="489"/>
      <c r="AD71" s="489"/>
      <c r="AE71" s="489"/>
      <c r="AF71" s="489"/>
      <c r="AG71" s="489"/>
      <c r="AH71" s="489"/>
      <c r="AI71" s="489"/>
      <c r="AJ71" s="489"/>
      <c r="AK71" s="489"/>
      <c r="AL71" s="489"/>
      <c r="AM71" s="489"/>
    </row>
    <row r="72" spans="1:39">
      <c r="A72" s="489"/>
      <c r="B72" s="489"/>
      <c r="C72" s="489"/>
      <c r="D72" s="489"/>
      <c r="E72" s="489"/>
      <c r="F72" s="489"/>
      <c r="G72" s="489"/>
      <c r="H72" s="489"/>
      <c r="I72" s="489"/>
      <c r="J72" s="489"/>
      <c r="K72" s="489"/>
      <c r="L72" s="489"/>
      <c r="M72" s="489"/>
      <c r="N72" s="489"/>
      <c r="O72" s="489"/>
      <c r="P72" s="489"/>
      <c r="Q72" s="489"/>
      <c r="R72" s="489"/>
      <c r="S72" s="489"/>
      <c r="T72" s="489"/>
      <c r="U72" s="489"/>
      <c r="V72" s="489"/>
      <c r="W72" s="489"/>
      <c r="X72" s="489"/>
      <c r="Y72" s="489"/>
      <c r="Z72" s="489"/>
      <c r="AA72" s="489"/>
      <c r="AB72" s="489"/>
      <c r="AC72" s="489"/>
      <c r="AD72" s="489"/>
      <c r="AE72" s="489"/>
      <c r="AF72" s="489"/>
      <c r="AG72" s="489"/>
      <c r="AH72" s="489"/>
      <c r="AI72" s="489"/>
      <c r="AJ72" s="489"/>
      <c r="AK72" s="489"/>
      <c r="AL72" s="489"/>
      <c r="AM72" s="489"/>
    </row>
    <row r="73" spans="1:39">
      <c r="A73" s="489"/>
      <c r="B73" s="489"/>
      <c r="C73" s="489"/>
      <c r="D73" s="489"/>
      <c r="E73" s="489"/>
      <c r="F73" s="489"/>
      <c r="G73" s="489"/>
      <c r="H73" s="489"/>
      <c r="I73" s="489"/>
      <c r="J73" s="489"/>
      <c r="K73" s="489"/>
      <c r="L73" s="489"/>
      <c r="M73" s="489"/>
      <c r="N73" s="489"/>
      <c r="O73" s="489"/>
      <c r="P73" s="489"/>
      <c r="Q73" s="489"/>
      <c r="R73" s="489"/>
      <c r="S73" s="489"/>
      <c r="T73" s="489"/>
      <c r="U73" s="489"/>
      <c r="V73" s="489"/>
      <c r="W73" s="489"/>
      <c r="X73" s="489"/>
      <c r="Y73" s="489"/>
      <c r="Z73" s="489"/>
      <c r="AA73" s="489"/>
      <c r="AB73" s="489"/>
      <c r="AC73" s="489"/>
      <c r="AD73" s="489"/>
      <c r="AE73" s="489"/>
      <c r="AF73" s="489"/>
      <c r="AG73" s="489"/>
      <c r="AH73" s="489"/>
      <c r="AI73" s="489"/>
      <c r="AJ73" s="489"/>
      <c r="AK73" s="489"/>
      <c r="AL73" s="489"/>
      <c r="AM73" s="489"/>
    </row>
    <row r="74" spans="1:39">
      <c r="A74" s="489"/>
      <c r="B74" s="489"/>
      <c r="C74" s="489"/>
      <c r="D74" s="489"/>
      <c r="E74" s="489"/>
      <c r="F74" s="489"/>
      <c r="G74" s="489"/>
      <c r="H74" s="489"/>
      <c r="I74" s="489"/>
      <c r="J74" s="489"/>
      <c r="K74" s="489"/>
      <c r="L74" s="489"/>
      <c r="M74" s="489"/>
      <c r="N74" s="489"/>
      <c r="O74" s="489"/>
      <c r="P74" s="489"/>
      <c r="Q74" s="489"/>
      <c r="R74" s="489"/>
      <c r="S74" s="489"/>
      <c r="T74" s="489"/>
      <c r="U74" s="489"/>
      <c r="V74" s="489"/>
      <c r="W74" s="489"/>
      <c r="X74" s="489"/>
      <c r="Y74" s="489"/>
      <c r="Z74" s="489"/>
      <c r="AA74" s="489"/>
      <c r="AB74" s="489"/>
      <c r="AC74" s="489"/>
      <c r="AD74" s="489"/>
      <c r="AE74" s="489"/>
      <c r="AF74" s="489"/>
      <c r="AG74" s="489"/>
      <c r="AH74" s="489"/>
      <c r="AI74" s="489"/>
      <c r="AJ74" s="489"/>
      <c r="AK74" s="489"/>
      <c r="AL74" s="489"/>
      <c r="AM74" s="489"/>
    </row>
    <row r="75" spans="1:39">
      <c r="A75" s="489"/>
      <c r="B75" s="489"/>
      <c r="C75" s="489"/>
      <c r="D75" s="489"/>
      <c r="E75" s="489"/>
      <c r="F75" s="489"/>
      <c r="G75" s="489"/>
      <c r="H75" s="489"/>
      <c r="I75" s="489"/>
      <c r="J75" s="489"/>
      <c r="K75" s="489"/>
      <c r="L75" s="489"/>
      <c r="M75" s="489"/>
      <c r="N75" s="489"/>
      <c r="O75" s="489"/>
      <c r="P75" s="489"/>
      <c r="Q75" s="489"/>
      <c r="R75" s="489"/>
      <c r="S75" s="489"/>
      <c r="T75" s="489"/>
      <c r="U75" s="489"/>
      <c r="V75" s="489"/>
      <c r="W75" s="489"/>
      <c r="X75" s="489"/>
      <c r="Y75" s="489"/>
      <c r="Z75" s="489"/>
      <c r="AA75" s="489"/>
      <c r="AB75" s="489"/>
      <c r="AC75" s="489"/>
      <c r="AD75" s="489"/>
      <c r="AE75" s="489"/>
      <c r="AF75" s="489"/>
      <c r="AG75" s="489"/>
      <c r="AH75" s="489"/>
      <c r="AI75" s="489"/>
      <c r="AJ75" s="489"/>
      <c r="AK75" s="489"/>
      <c r="AL75" s="489"/>
      <c r="AM75" s="489"/>
    </row>
    <row r="76" spans="1:39">
      <c r="A76" s="489"/>
      <c r="B76" s="489"/>
      <c r="C76" s="489"/>
      <c r="D76" s="489"/>
      <c r="E76" s="489"/>
      <c r="F76" s="489"/>
      <c r="G76" s="489"/>
      <c r="H76" s="489"/>
      <c r="I76" s="489"/>
      <c r="J76" s="489"/>
      <c r="K76" s="489"/>
      <c r="L76" s="489"/>
      <c r="M76" s="489"/>
      <c r="N76" s="489"/>
      <c r="O76" s="489"/>
      <c r="P76" s="489"/>
      <c r="Q76" s="489"/>
      <c r="R76" s="489"/>
      <c r="S76" s="489"/>
      <c r="T76" s="489"/>
      <c r="U76" s="489"/>
      <c r="V76" s="489"/>
      <c r="W76" s="489"/>
      <c r="X76" s="489"/>
      <c r="Y76" s="489"/>
      <c r="Z76" s="489"/>
      <c r="AA76" s="489"/>
      <c r="AB76" s="489"/>
      <c r="AC76" s="489"/>
      <c r="AD76" s="489"/>
      <c r="AE76" s="489"/>
      <c r="AF76" s="489"/>
      <c r="AG76" s="489"/>
      <c r="AH76" s="489"/>
      <c r="AI76" s="489"/>
      <c r="AJ76" s="489"/>
      <c r="AK76" s="489"/>
      <c r="AL76" s="489"/>
      <c r="AM76" s="489"/>
    </row>
    <row r="77" spans="1:39">
      <c r="A77" s="489"/>
      <c r="B77" s="489"/>
      <c r="C77" s="489"/>
      <c r="D77" s="489"/>
      <c r="E77" s="489"/>
      <c r="F77" s="489"/>
      <c r="G77" s="489"/>
      <c r="H77" s="489"/>
      <c r="I77" s="489"/>
      <c r="J77" s="489"/>
      <c r="K77" s="489"/>
      <c r="L77" s="489"/>
      <c r="M77" s="489"/>
      <c r="N77" s="489"/>
      <c r="O77" s="489"/>
      <c r="P77" s="489"/>
      <c r="Q77" s="489"/>
      <c r="R77" s="489"/>
      <c r="S77" s="489"/>
      <c r="T77" s="489"/>
      <c r="U77" s="489"/>
      <c r="V77" s="489"/>
      <c r="W77" s="489"/>
      <c r="X77" s="489"/>
      <c r="Y77" s="489"/>
      <c r="Z77" s="489"/>
      <c r="AA77" s="489"/>
      <c r="AB77" s="489"/>
      <c r="AC77" s="489"/>
      <c r="AD77" s="489"/>
      <c r="AE77" s="489"/>
      <c r="AF77" s="489"/>
      <c r="AG77" s="489"/>
      <c r="AH77" s="489"/>
      <c r="AI77" s="489"/>
      <c r="AJ77" s="489"/>
      <c r="AK77" s="489"/>
      <c r="AL77" s="489"/>
      <c r="AM77" s="489"/>
    </row>
    <row r="78" spans="1:39">
      <c r="A78" s="489"/>
      <c r="B78" s="489"/>
      <c r="C78" s="489"/>
      <c r="D78" s="489"/>
      <c r="E78" s="489"/>
      <c r="F78" s="489"/>
      <c r="G78" s="489"/>
      <c r="H78" s="489"/>
      <c r="I78" s="489"/>
      <c r="J78" s="489"/>
      <c r="K78" s="489"/>
      <c r="L78" s="489"/>
      <c r="M78" s="489"/>
      <c r="N78" s="489"/>
      <c r="O78" s="489"/>
      <c r="P78" s="489"/>
      <c r="Q78" s="489"/>
      <c r="R78" s="489"/>
      <c r="S78" s="489"/>
      <c r="T78" s="489"/>
      <c r="U78" s="489"/>
      <c r="V78" s="489"/>
      <c r="W78" s="489"/>
      <c r="X78" s="489"/>
      <c r="Y78" s="489"/>
      <c r="Z78" s="489"/>
      <c r="AA78" s="489"/>
      <c r="AB78" s="489"/>
      <c r="AC78" s="489"/>
      <c r="AD78" s="489"/>
      <c r="AE78" s="489"/>
      <c r="AF78" s="489"/>
      <c r="AG78" s="489"/>
      <c r="AH78" s="489"/>
      <c r="AI78" s="489"/>
      <c r="AJ78" s="489"/>
      <c r="AK78" s="489"/>
      <c r="AL78" s="489"/>
      <c r="AM78" s="489"/>
    </row>
    <row r="79" spans="1:39">
      <c r="A79" s="489"/>
      <c r="B79" s="489"/>
      <c r="C79" s="489"/>
      <c r="D79" s="489"/>
      <c r="E79" s="489"/>
      <c r="F79" s="489"/>
      <c r="G79" s="489"/>
      <c r="H79" s="489"/>
      <c r="I79" s="489"/>
      <c r="J79" s="489"/>
      <c r="K79" s="489"/>
      <c r="L79" s="489"/>
      <c r="M79" s="489"/>
      <c r="N79" s="489"/>
      <c r="O79" s="489"/>
      <c r="P79" s="489"/>
      <c r="Q79" s="489"/>
      <c r="R79" s="489"/>
      <c r="S79" s="489"/>
      <c r="T79" s="489"/>
    </row>
  </sheetData>
  <mergeCells count="4">
    <mergeCell ref="C6:T6"/>
    <mergeCell ref="C8:D8"/>
    <mergeCell ref="C16:D16"/>
    <mergeCell ref="C25:D25"/>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4">
    <pageSetUpPr fitToPage="1"/>
  </sheetPr>
  <dimension ref="A1:S53"/>
  <sheetViews>
    <sheetView zoomScaleNormal="100" zoomScaleSheetLayoutView="70" workbookViewId="0">
      <selection activeCell="A48" sqref="A48:XFD53"/>
    </sheetView>
  </sheetViews>
  <sheetFormatPr defaultRowHeight="12"/>
  <cols>
    <col min="1" max="1" width="25.875" customWidth="1"/>
    <col min="7" max="8" width="10.25" customWidth="1"/>
    <col min="15" max="15" width="27" customWidth="1"/>
  </cols>
  <sheetData>
    <row r="1" spans="1:19" ht="20.100000000000001" customHeight="1">
      <c r="A1" s="25" t="s">
        <v>675</v>
      </c>
      <c r="E1" s="982" t="s">
        <v>723</v>
      </c>
    </row>
    <row r="2" spans="1:19" ht="15.75" customHeight="1">
      <c r="A2" s="1457">
        <f>Name</f>
        <v>0</v>
      </c>
      <c r="B2" s="1457"/>
      <c r="C2" s="1457"/>
      <c r="E2" s="1477">
        <f>Notes</f>
        <v>0</v>
      </c>
      <c r="F2" s="1478"/>
      <c r="G2" s="1478"/>
      <c r="H2" s="1478"/>
      <c r="I2" s="1478"/>
      <c r="J2" s="1479"/>
    </row>
    <row r="3" spans="1:19" ht="15.75" customHeight="1">
      <c r="A3" s="4" t="str">
        <f>ID</f>
        <v/>
      </c>
      <c r="E3" s="1480"/>
      <c r="F3" s="1481"/>
      <c r="G3" s="1481"/>
      <c r="H3" s="1481"/>
      <c r="I3" s="1481"/>
      <c r="J3" s="1482"/>
    </row>
    <row r="4" spans="1:19" ht="15.75" customHeight="1">
      <c r="A4" s="4" t="str">
        <f>Date</f>
        <v/>
      </c>
      <c r="E4" s="1480"/>
      <c r="F4" s="1481"/>
      <c r="G4" s="1481"/>
      <c r="H4" s="1481"/>
      <c r="I4" s="1481"/>
      <c r="J4" s="1482"/>
    </row>
    <row r="5" spans="1:19" ht="15.75" customHeight="1">
      <c r="A5" s="4"/>
      <c r="E5" s="1480"/>
      <c r="F5" s="1481"/>
      <c r="G5" s="1481"/>
      <c r="H5" s="1481"/>
      <c r="I5" s="1481"/>
      <c r="J5" s="1482"/>
    </row>
    <row r="6" spans="1:19" ht="15.75" customHeight="1">
      <c r="E6" s="1483"/>
      <c r="F6" s="1484"/>
      <c r="G6" s="1484"/>
      <c r="H6" s="1484"/>
      <c r="I6" s="1484"/>
      <c r="J6" s="1485"/>
    </row>
    <row r="7" spans="1:19" ht="15.75" customHeight="1" thickBot="1"/>
    <row r="8" spans="1:19" ht="20.100000000000001" customHeight="1">
      <c r="A8" s="1467" t="s">
        <v>271</v>
      </c>
      <c r="B8" s="728" t="s">
        <v>31</v>
      </c>
      <c r="C8" s="728" t="s">
        <v>132</v>
      </c>
      <c r="D8" s="728" t="s">
        <v>32</v>
      </c>
      <c r="E8" s="1469" t="s">
        <v>123</v>
      </c>
      <c r="F8" s="1471" t="s">
        <v>122</v>
      </c>
      <c r="G8" s="1473" t="s">
        <v>625</v>
      </c>
      <c r="H8" s="1474"/>
      <c r="I8" s="1461" t="s">
        <v>677</v>
      </c>
      <c r="J8" s="1462"/>
      <c r="K8" s="1462"/>
      <c r="L8" s="1463"/>
      <c r="M8" s="725"/>
      <c r="N8" s="726"/>
      <c r="O8" s="726"/>
      <c r="P8" s="723"/>
      <c r="Q8" s="725"/>
      <c r="R8" s="723"/>
      <c r="S8" s="726"/>
    </row>
    <row r="9" spans="1:19" ht="20.100000000000001" customHeight="1">
      <c r="A9" s="1468"/>
      <c r="B9" s="727" t="s">
        <v>37</v>
      </c>
      <c r="C9" s="727" t="s">
        <v>127</v>
      </c>
      <c r="D9" s="727" t="s">
        <v>38</v>
      </c>
      <c r="E9" s="1470"/>
      <c r="F9" s="1472"/>
      <c r="G9" s="1475"/>
      <c r="H9" s="1476"/>
      <c r="I9" s="1464" t="s">
        <v>676</v>
      </c>
      <c r="J9" s="1465"/>
      <c r="K9" s="1465"/>
      <c r="L9" s="1466"/>
      <c r="M9" s="721"/>
      <c r="N9" s="720"/>
      <c r="O9" s="721"/>
      <c r="P9" s="723"/>
      <c r="Q9" s="721"/>
      <c r="R9" s="722"/>
      <c r="S9" s="721"/>
    </row>
    <row r="10" spans="1:19" ht="20.100000000000001" customHeight="1">
      <c r="A10" s="740" t="str">
        <f>LivestockForageBalance!H15</f>
        <v>Cow/Calf Pairs Herd 1</v>
      </c>
      <c r="B10" s="729">
        <f>LivestockForageBalance!I15</f>
        <v>0</v>
      </c>
      <c r="C10" s="743">
        <f>LivestockForageBalance!J15</f>
        <v>0</v>
      </c>
      <c r="D10" s="1096">
        <f>LivestockForageBalance!K15</f>
        <v>0</v>
      </c>
      <c r="E10" s="1083">
        <f>LivestockForageBalance!L15</f>
        <v>0</v>
      </c>
      <c r="F10" s="729">
        <f>LivestockForageBalance!M15</f>
        <v>0</v>
      </c>
      <c r="G10" s="748" t="str">
        <f>IF(CC1Past=TRUE,"Grazing System Year Round",IF(CC1AltPast=TRUE,"Alternative Pasture Utilized",IF(CC1DryLot=TRUE,"Dry Lot Utilized")))</f>
        <v>Grazing System Year Round</v>
      </c>
      <c r="H10" s="746"/>
      <c r="I10" s="731" t="str">
        <f>LivestockForageBalance!J16</f>
        <v/>
      </c>
      <c r="J10" s="730" t="str">
        <f>LivestockForageBalance!K16</f>
        <v/>
      </c>
      <c r="K10" s="730"/>
      <c r="L10" s="732"/>
    </row>
    <row r="11" spans="1:19" ht="20.100000000000001" hidden="1" customHeight="1">
      <c r="A11" s="741" t="str">
        <f>LivestockForageBalance!H17</f>
        <v>Cow/Calf Pairs Herd 2</v>
      </c>
      <c r="B11" s="729">
        <f>LivestockForageBalance!I17</f>
        <v>0</v>
      </c>
      <c r="C11" s="744">
        <f>LivestockForageBalance!J17</f>
        <v>0</v>
      </c>
      <c r="D11" s="1096">
        <f>LivestockForageBalance!K17</f>
        <v>0</v>
      </c>
      <c r="E11" s="1084">
        <f>LivestockForageBalance!L17</f>
        <v>0</v>
      </c>
      <c r="F11" s="729">
        <f>LivestockForageBalance!M17</f>
        <v>0</v>
      </c>
      <c r="G11" s="749" t="str">
        <f>IF(CC2Past=TRUE,"Grazing System Year Round",IF(CC2AltPast=TRUE,"Alternative Pasture Utilized",IF(CC2DryLot=TRUE,"Dry Lot Utilized")))</f>
        <v>Grazing System Year Round</v>
      </c>
      <c r="H11" s="747"/>
      <c r="I11" s="731" t="str">
        <f>LivestockForageBalance!J18</f>
        <v/>
      </c>
      <c r="J11" s="730" t="str">
        <f>LivestockForageBalance!K18</f>
        <v/>
      </c>
      <c r="K11" s="730"/>
      <c r="L11" s="732"/>
    </row>
    <row r="12" spans="1:19" ht="20.100000000000001" hidden="1" customHeight="1">
      <c r="A12" s="741" t="str">
        <f>LivestockForageBalance!H19</f>
        <v>Cow/Calf Pairs Herd 3</v>
      </c>
      <c r="B12" s="729">
        <f>LivestockForageBalance!I19</f>
        <v>0</v>
      </c>
      <c r="C12" s="744">
        <f>LivestockForageBalance!J19</f>
        <v>0</v>
      </c>
      <c r="D12" s="1096">
        <f>LivestockForageBalance!K19</f>
        <v>0</v>
      </c>
      <c r="E12" s="1084">
        <f>LivestockForageBalance!L19</f>
        <v>0</v>
      </c>
      <c r="F12" s="729">
        <f>LivestockForageBalance!M19</f>
        <v>0</v>
      </c>
      <c r="G12" s="749" t="str">
        <f>IF(CC3Past=TRUE,"Grazing System Year Round",IF(CC3AltPast=TRUE,"Alternative Pasture Utilized",IF(CC3DryLot=TRUE,"Dry Lot Utilized")))</f>
        <v>Grazing System Year Round</v>
      </c>
      <c r="H12" s="747"/>
      <c r="I12" s="731" t="str">
        <f>LivestockForageBalance!J20</f>
        <v/>
      </c>
      <c r="J12" s="730" t="str">
        <f>LivestockForageBalance!K20</f>
        <v/>
      </c>
      <c r="K12" s="730"/>
      <c r="L12" s="732"/>
    </row>
    <row r="13" spans="1:19" ht="20.100000000000001" hidden="1" customHeight="1">
      <c r="A13" s="741" t="str">
        <f>LivestockForageBalance!H21</f>
        <v>Stockers Herd 1</v>
      </c>
      <c r="B13" s="729">
        <f>LivestockForageBalance!I21</f>
        <v>0</v>
      </c>
      <c r="C13" s="744" t="b">
        <f>LivestockForageBalance!J21</f>
        <v>0</v>
      </c>
      <c r="D13" s="1096">
        <f>LivestockForageBalance!K21</f>
        <v>0</v>
      </c>
      <c r="E13" s="1084">
        <f>LivestockForageBalance!L21</f>
        <v>0</v>
      </c>
      <c r="F13" s="729">
        <f>LivestockForageBalance!M21</f>
        <v>0</v>
      </c>
      <c r="G13" s="749"/>
      <c r="H13" s="747"/>
      <c r="I13" s="731"/>
      <c r="J13" s="730"/>
      <c r="K13" s="730"/>
      <c r="L13" s="732"/>
    </row>
    <row r="14" spans="1:19" ht="20.100000000000001" hidden="1" customHeight="1">
      <c r="A14" s="741" t="str">
        <f>LivestockForageBalance!H23</f>
        <v>Stockers Herd 2</v>
      </c>
      <c r="B14" s="729">
        <f>LivestockForageBalance!I23</f>
        <v>0</v>
      </c>
      <c r="C14" s="744" t="b">
        <f>LivestockForageBalance!J23</f>
        <v>0</v>
      </c>
      <c r="D14" s="1096">
        <f>LivestockForageBalance!K23</f>
        <v>0</v>
      </c>
      <c r="E14" s="1084">
        <f>LivestockForageBalance!L23</f>
        <v>0</v>
      </c>
      <c r="F14" s="729">
        <f>LivestockForageBalance!M23</f>
        <v>0</v>
      </c>
      <c r="G14" s="750"/>
      <c r="H14" s="747"/>
      <c r="I14" s="731"/>
      <c r="J14" s="730"/>
      <c r="K14" s="730"/>
      <c r="L14" s="732"/>
    </row>
    <row r="15" spans="1:19" ht="20.100000000000001" hidden="1" customHeight="1">
      <c r="A15" s="741" t="str">
        <f>LivestockForageBalance!H25</f>
        <v>Dairy, Seasonal</v>
      </c>
      <c r="B15" s="729">
        <f>LivestockForageBalance!I25</f>
        <v>0</v>
      </c>
      <c r="C15" s="744">
        <f>LivestockForageBalance!J25</f>
        <v>0</v>
      </c>
      <c r="D15" s="734"/>
      <c r="E15" s="745"/>
      <c r="F15" s="729">
        <f>LivestockForageBalance!M25</f>
        <v>0</v>
      </c>
      <c r="G15" s="749" t="str">
        <f>IF(SeasonalDairyPast=TRUE,"Grazing System Year Round",IF(SeasonalDairyAltPast=TRUE,"Alternative Pasture Utilized",IF(SeasonalDairyDryLot=TRUE,"Dry Lot Utilized")))</f>
        <v>Grazing System Year Round</v>
      </c>
      <c r="H15" s="747"/>
      <c r="I15" s="731" t="str">
        <f>LivestockForageBalance!J28</f>
        <v/>
      </c>
      <c r="J15" s="730" t="str">
        <f>LivestockForageBalance!K28</f>
        <v/>
      </c>
      <c r="K15" s="730"/>
      <c r="L15" s="732"/>
    </row>
    <row r="16" spans="1:19" ht="20.100000000000001" hidden="1" customHeight="1">
      <c r="A16" s="742" t="str">
        <f>LivestockForageBalance!H26</f>
        <v>Intake Rate Lactating Months</v>
      </c>
      <c r="B16" s="734"/>
      <c r="C16" s="745"/>
      <c r="D16" s="1096">
        <f>LivestockForageBalance!K26</f>
        <v>0</v>
      </c>
      <c r="E16" s="1084">
        <f>LivestockForageBalance!L26</f>
        <v>0</v>
      </c>
      <c r="F16" s="734"/>
      <c r="G16" s="749"/>
      <c r="H16" s="747"/>
      <c r="I16" s="731"/>
      <c r="J16" s="730"/>
      <c r="K16" s="730"/>
      <c r="L16" s="732"/>
    </row>
    <row r="17" spans="1:13" ht="20.100000000000001" hidden="1" customHeight="1">
      <c r="A17" s="742" t="str">
        <f>LivestockForageBalance!H27</f>
        <v>Intake Rate Dry Months</v>
      </c>
      <c r="B17" s="734"/>
      <c r="C17" s="745"/>
      <c r="D17" s="1096">
        <f>LivestockForageBalance!K27</f>
        <v>0</v>
      </c>
      <c r="E17" s="1084">
        <f>LivestockForageBalance!L27</f>
        <v>0</v>
      </c>
      <c r="F17" s="734"/>
      <c r="G17" s="750"/>
      <c r="H17" s="747"/>
      <c r="I17" s="731"/>
      <c r="J17" s="730"/>
      <c r="K17" s="730"/>
      <c r="L17" s="732"/>
    </row>
    <row r="18" spans="1:13" ht="20.100000000000001" hidden="1" customHeight="1">
      <c r="A18" s="741" t="str">
        <f>LivestockForageBalance!H29</f>
        <v>Lactating Dairy Herd</v>
      </c>
      <c r="B18" s="729">
        <f>LivestockForageBalance!I29</f>
        <v>0</v>
      </c>
      <c r="C18" s="744">
        <f>LivestockForageBalance!J29</f>
        <v>0</v>
      </c>
      <c r="D18" s="1096">
        <f>LivestockForageBalance!K29</f>
        <v>0</v>
      </c>
      <c r="E18" s="1084">
        <f>LivestockForageBalance!L29</f>
        <v>0</v>
      </c>
      <c r="F18" s="729">
        <f>LivestockForageBalance!M29</f>
        <v>0</v>
      </c>
      <c r="G18" s="749" t="str">
        <f>IF(LactatingDairyPast=TRUE,"Grazing System Year Round",IF(LactatingDairyAltPast=TRUE,"Alternative Pasture Utilized",IF(LactatingDairyDryLot=TRUE,"Dry Lot Utilized")))</f>
        <v>Grazing System Year Round</v>
      </c>
      <c r="H18" s="747"/>
      <c r="I18" s="731" t="str">
        <f>LivestockForageBalance!J30</f>
        <v/>
      </c>
      <c r="J18" s="730" t="str">
        <f>LivestockForageBalance!K30</f>
        <v/>
      </c>
      <c r="K18" s="730"/>
      <c r="L18" s="732"/>
    </row>
    <row r="19" spans="1:13" ht="20.100000000000001" hidden="1" customHeight="1">
      <c r="A19" s="741" t="str">
        <f>LivestockForageBalance!H31</f>
        <v xml:space="preserve">Dry Dairy Herd </v>
      </c>
      <c r="B19" s="729">
        <f>LivestockForageBalance!I31</f>
        <v>0</v>
      </c>
      <c r="C19" s="744">
        <f>LivestockForageBalance!J31</f>
        <v>0</v>
      </c>
      <c r="D19" s="1096">
        <f>LivestockForageBalance!K31</f>
        <v>0</v>
      </c>
      <c r="E19" s="1084">
        <f>LivestockForageBalance!L31</f>
        <v>0</v>
      </c>
      <c r="F19" s="729">
        <f>LivestockForageBalance!M31</f>
        <v>0</v>
      </c>
      <c r="G19" s="749" t="b">
        <f>IF(DryDairyPast=TRUE,"Alternative Pasture Utilized",IF(DryDairyDryLot=TRUE,"Dry Lot Utilized"))</f>
        <v>0</v>
      </c>
      <c r="H19" s="747"/>
      <c r="I19" s="731"/>
      <c r="J19" s="730"/>
      <c r="K19" s="730"/>
      <c r="L19" s="732"/>
    </row>
    <row r="20" spans="1:13" ht="20.100000000000001" hidden="1" customHeight="1">
      <c r="A20" s="741" t="str">
        <f>LivestockForageBalance!H33</f>
        <v>Bulls</v>
      </c>
      <c r="B20" s="729">
        <f>LivestockForageBalance!I33</f>
        <v>0</v>
      </c>
      <c r="C20" s="744">
        <f>LivestockForageBalance!J33</f>
        <v>0</v>
      </c>
      <c r="D20" s="1096">
        <f>LivestockForageBalance!K33</f>
        <v>0</v>
      </c>
      <c r="E20" s="1084">
        <f>LivestockForageBalance!L33</f>
        <v>0</v>
      </c>
      <c r="F20" s="729">
        <f>LivestockForageBalance!M33</f>
        <v>0</v>
      </c>
      <c r="G20" s="749" t="str">
        <f>IF(BullsPast=TRUE,"Grazing System Year Round",IF(OR(BullsAltPast1=TRUE,BullsAltPast2=TRUE),"Alternative Pasture Utilized",IF(OR(BullsDryLot1=TRUE,BullsDryLot2=TRUE),"Dry Lot Utilized")))</f>
        <v>Grazing System Year Round</v>
      </c>
      <c r="H20" s="747"/>
      <c r="I20" s="731" t="str">
        <f>LivestockForageBalance!J34</f>
        <v/>
      </c>
      <c r="J20" s="730" t="b">
        <f>LivestockForageBalance!K34</f>
        <v>0</v>
      </c>
      <c r="K20" s="731" t="str">
        <f>LivestockForageBalance!M34</f>
        <v/>
      </c>
      <c r="L20" s="732" t="str">
        <f>LivestockForageBalance!N34</f>
        <v/>
      </c>
    </row>
    <row r="21" spans="1:13" ht="20.100000000000001" hidden="1" customHeight="1">
      <c r="A21" s="741" t="str">
        <f>LivestockForageBalance!H35</f>
        <v>Horses</v>
      </c>
      <c r="B21" s="729">
        <f>LivestockForageBalance!I35</f>
        <v>0</v>
      </c>
      <c r="C21" s="744">
        <f>LivestockForageBalance!J35</f>
        <v>0</v>
      </c>
      <c r="D21" s="1096">
        <f>LivestockForageBalance!K35</f>
        <v>0</v>
      </c>
      <c r="E21" s="1084">
        <f>LivestockForageBalance!L35</f>
        <v>0</v>
      </c>
      <c r="F21" s="729">
        <f>LivestockForageBalance!M35</f>
        <v>0</v>
      </c>
      <c r="G21" s="749" t="str">
        <f>IF(HorsesPast=TRUE,"Grazing System Year Round",IF(HorsesAltPast=TRUE,"Alternative Pasture Utilized",IF(HorsesDryLot=TRUE,"Dry Lot Utilized")))</f>
        <v>Grazing System Year Round</v>
      </c>
      <c r="H21" s="747"/>
      <c r="I21" s="731" t="str">
        <f>LivestockForageBalance!J36</f>
        <v/>
      </c>
      <c r="J21" s="730" t="str">
        <f>LivestockForageBalance!K36</f>
        <v/>
      </c>
      <c r="K21" s="730"/>
      <c r="L21" s="732"/>
    </row>
    <row r="22" spans="1:13" ht="20.100000000000001" hidden="1" customHeight="1">
      <c r="A22" s="741" t="str">
        <f>LivestockForageBalance!H37</f>
        <v>Sheep</v>
      </c>
      <c r="B22" s="729">
        <f>LivestockForageBalance!I37</f>
        <v>0</v>
      </c>
      <c r="C22" s="744">
        <f>LivestockForageBalance!J37</f>
        <v>0</v>
      </c>
      <c r="D22" s="1096">
        <f>LivestockForageBalance!K37</f>
        <v>0</v>
      </c>
      <c r="E22" s="1084">
        <f>LivestockForageBalance!L37</f>
        <v>0</v>
      </c>
      <c r="F22" s="729">
        <f>LivestockForageBalance!M37</f>
        <v>0</v>
      </c>
      <c r="G22" s="750"/>
      <c r="H22" s="747"/>
      <c r="I22" s="730"/>
      <c r="J22" s="730"/>
      <c r="K22" s="730"/>
      <c r="L22" s="732"/>
    </row>
    <row r="23" spans="1:13" ht="20.100000000000001" hidden="1" customHeight="1">
      <c r="A23" s="741" t="str">
        <f>LivestockForageBalance!H39</f>
        <v>Goats</v>
      </c>
      <c r="B23" s="729">
        <f>LivestockForageBalance!I39</f>
        <v>0</v>
      </c>
      <c r="C23" s="744">
        <f>LivestockForageBalance!J39</f>
        <v>0</v>
      </c>
      <c r="D23" s="1096">
        <f>LivestockForageBalance!K39</f>
        <v>0</v>
      </c>
      <c r="E23" s="1084">
        <f>LivestockForageBalance!L39</f>
        <v>0</v>
      </c>
      <c r="F23" s="729">
        <f>LivestockForageBalance!M39</f>
        <v>0</v>
      </c>
      <c r="G23" s="750"/>
      <c r="H23" s="747"/>
      <c r="I23" s="730"/>
      <c r="J23" s="730"/>
      <c r="K23" s="730"/>
      <c r="L23" s="732"/>
    </row>
    <row r="24" spans="1:13" ht="20.100000000000001" customHeight="1">
      <c r="A24" s="981"/>
      <c r="B24" s="757"/>
      <c r="C24" s="758"/>
      <c r="D24" s="757"/>
      <c r="E24" s="758"/>
      <c r="F24" s="757"/>
      <c r="G24" s="759"/>
      <c r="H24" s="760"/>
      <c r="I24" s="761"/>
      <c r="J24" s="761"/>
      <c r="K24" s="761"/>
      <c r="L24" s="762"/>
    </row>
    <row r="25" spans="1:13" ht="20.100000000000001" customHeight="1" thickBot="1">
      <c r="A25" s="751" t="s">
        <v>340</v>
      </c>
      <c r="B25" s="752">
        <f>LivestockForageBalance!I41</f>
        <v>0</v>
      </c>
      <c r="C25" s="753"/>
      <c r="D25" s="752"/>
      <c r="E25" s="753">
        <f>LivestockForageBalance!L41</f>
        <v>0</v>
      </c>
      <c r="F25" s="752">
        <f>LivestockForageBalance!M41</f>
        <v>0</v>
      </c>
      <c r="G25" s="754"/>
      <c r="H25" s="755"/>
      <c r="I25" s="756"/>
      <c r="J25" s="756"/>
      <c r="K25" s="756"/>
      <c r="L25" s="733"/>
    </row>
    <row r="26" spans="1:13" ht="12.75" thickBot="1"/>
    <row r="27" spans="1:13" ht="20.100000000000001" customHeight="1">
      <c r="A27" s="736"/>
      <c r="B27" s="1458" t="s">
        <v>329</v>
      </c>
      <c r="C27" s="1459"/>
      <c r="D27" s="1459"/>
      <c r="E27" s="1459"/>
      <c r="F27" s="1459"/>
      <c r="G27" s="1459"/>
      <c r="H27" s="1459"/>
      <c r="I27" s="1459"/>
      <c r="J27" s="1459"/>
      <c r="K27" s="1459"/>
      <c r="L27" s="1459"/>
      <c r="M27" s="1460"/>
    </row>
    <row r="28" spans="1:13" ht="20.100000000000001" customHeight="1">
      <c r="A28" s="737" t="s">
        <v>271</v>
      </c>
      <c r="B28" s="735" t="s">
        <v>91</v>
      </c>
      <c r="C28" s="735" t="s">
        <v>40</v>
      </c>
      <c r="D28" s="735" t="s">
        <v>41</v>
      </c>
      <c r="E28" s="735" t="s">
        <v>42</v>
      </c>
      <c r="F28" s="735" t="s">
        <v>94</v>
      </c>
      <c r="G28" s="735" t="s">
        <v>330</v>
      </c>
      <c r="H28" s="735" t="s">
        <v>96</v>
      </c>
      <c r="I28" s="735" t="s">
        <v>97</v>
      </c>
      <c r="J28" s="735" t="s">
        <v>98</v>
      </c>
      <c r="K28" s="735" t="s">
        <v>331</v>
      </c>
      <c r="L28" s="735" t="s">
        <v>332</v>
      </c>
      <c r="M28" s="738" t="s">
        <v>90</v>
      </c>
    </row>
    <row r="29" spans="1:13" ht="20.100000000000001" customHeight="1">
      <c r="A29" s="739" t="str">
        <f t="shared" ref="A29:A34" si="0">A10</f>
        <v>Cow/Calf Pairs Herd 1</v>
      </c>
      <c r="B29" s="784">
        <f>LivestockForageBalance!N15</f>
        <v>0</v>
      </c>
      <c r="C29" s="763">
        <f>LivestockForageBalance!O15</f>
        <v>0</v>
      </c>
      <c r="D29" s="784">
        <f>LivestockForageBalance!P15</f>
        <v>0</v>
      </c>
      <c r="E29" s="763">
        <f>LivestockForageBalance!Q15</f>
        <v>0</v>
      </c>
      <c r="F29" s="784">
        <f>LivestockForageBalance!R15</f>
        <v>0</v>
      </c>
      <c r="G29" s="763">
        <f>LivestockForageBalance!S15</f>
        <v>0</v>
      </c>
      <c r="H29" s="784">
        <f>LivestockForageBalance!T15</f>
        <v>0</v>
      </c>
      <c r="I29" s="763">
        <f>LivestockForageBalance!U15</f>
        <v>0</v>
      </c>
      <c r="J29" s="784">
        <f>LivestockForageBalance!V15</f>
        <v>0</v>
      </c>
      <c r="K29" s="763">
        <f>LivestockForageBalance!W15</f>
        <v>0</v>
      </c>
      <c r="L29" s="784">
        <f>LivestockForageBalance!X15</f>
        <v>0</v>
      </c>
      <c r="M29" s="764">
        <f>LivestockForageBalance!Y15</f>
        <v>0</v>
      </c>
    </row>
    <row r="30" spans="1:13" ht="20.100000000000001" hidden="1" customHeight="1">
      <c r="A30" s="739" t="str">
        <f t="shared" si="0"/>
        <v>Cow/Calf Pairs Herd 2</v>
      </c>
      <c r="B30" s="785">
        <f>LivestockForageBalance!N17</f>
        <v>0</v>
      </c>
      <c r="C30" s="763">
        <f>LivestockForageBalance!O17</f>
        <v>0</v>
      </c>
      <c r="D30" s="785">
        <f>LivestockForageBalance!P17</f>
        <v>0</v>
      </c>
      <c r="E30" s="763">
        <f>LivestockForageBalance!Q17</f>
        <v>0</v>
      </c>
      <c r="F30" s="785">
        <f>LivestockForageBalance!R17</f>
        <v>0</v>
      </c>
      <c r="G30" s="763">
        <f>LivestockForageBalance!S17</f>
        <v>0</v>
      </c>
      <c r="H30" s="785">
        <f>LivestockForageBalance!T17</f>
        <v>0</v>
      </c>
      <c r="I30" s="763">
        <f>LivestockForageBalance!U17</f>
        <v>0</v>
      </c>
      <c r="J30" s="785">
        <f>LivestockForageBalance!V17</f>
        <v>0</v>
      </c>
      <c r="K30" s="763">
        <f>LivestockForageBalance!W17</f>
        <v>0</v>
      </c>
      <c r="L30" s="785">
        <f>LivestockForageBalance!X17</f>
        <v>0</v>
      </c>
      <c r="M30" s="764">
        <f>LivestockForageBalance!Y17</f>
        <v>0</v>
      </c>
    </row>
    <row r="31" spans="1:13" ht="20.100000000000001" hidden="1" customHeight="1">
      <c r="A31" s="739" t="str">
        <f t="shared" si="0"/>
        <v>Cow/Calf Pairs Herd 3</v>
      </c>
      <c r="B31" s="785">
        <f>LivestockForageBalance!N19</f>
        <v>0</v>
      </c>
      <c r="C31" s="763">
        <f>LivestockForageBalance!O19</f>
        <v>0</v>
      </c>
      <c r="D31" s="785">
        <f>LivestockForageBalance!P19</f>
        <v>0</v>
      </c>
      <c r="E31" s="763">
        <f>LivestockForageBalance!Q19</f>
        <v>0</v>
      </c>
      <c r="F31" s="785">
        <f>LivestockForageBalance!R19</f>
        <v>0</v>
      </c>
      <c r="G31" s="763">
        <f>LivestockForageBalance!S19</f>
        <v>0</v>
      </c>
      <c r="H31" s="785">
        <f>LivestockForageBalance!T19</f>
        <v>0</v>
      </c>
      <c r="I31" s="763">
        <f>LivestockForageBalance!U19</f>
        <v>0</v>
      </c>
      <c r="J31" s="785">
        <f>LivestockForageBalance!V19</f>
        <v>0</v>
      </c>
      <c r="K31" s="763">
        <f>LivestockForageBalance!W19</f>
        <v>0</v>
      </c>
      <c r="L31" s="785">
        <f>LivestockForageBalance!X19</f>
        <v>0</v>
      </c>
      <c r="M31" s="764">
        <f>LivestockForageBalance!Y19</f>
        <v>0</v>
      </c>
    </row>
    <row r="32" spans="1:13" ht="20.100000000000001" hidden="1" customHeight="1">
      <c r="A32" s="739" t="str">
        <f t="shared" si="0"/>
        <v>Stockers Herd 1</v>
      </c>
      <c r="B32" s="785">
        <f>LivestockForageBalance!N21</f>
        <v>0</v>
      </c>
      <c r="C32" s="763">
        <f>LivestockForageBalance!O21</f>
        <v>0</v>
      </c>
      <c r="D32" s="785">
        <f>LivestockForageBalance!P21</f>
        <v>0</v>
      </c>
      <c r="E32" s="763">
        <f>LivestockForageBalance!Q21</f>
        <v>0</v>
      </c>
      <c r="F32" s="785">
        <f>LivestockForageBalance!R21</f>
        <v>0</v>
      </c>
      <c r="G32" s="763">
        <f>LivestockForageBalance!S21</f>
        <v>0</v>
      </c>
      <c r="H32" s="785">
        <f>LivestockForageBalance!T21</f>
        <v>0</v>
      </c>
      <c r="I32" s="763">
        <f>LivestockForageBalance!U21</f>
        <v>0</v>
      </c>
      <c r="J32" s="785">
        <f>LivestockForageBalance!V21</f>
        <v>0</v>
      </c>
      <c r="K32" s="763">
        <f>LivestockForageBalance!W21</f>
        <v>0</v>
      </c>
      <c r="L32" s="785">
        <f>LivestockForageBalance!X21</f>
        <v>0</v>
      </c>
      <c r="M32" s="764">
        <f>LivestockForageBalance!Y21</f>
        <v>0</v>
      </c>
    </row>
    <row r="33" spans="1:13" ht="20.100000000000001" hidden="1" customHeight="1">
      <c r="A33" s="739" t="str">
        <f t="shared" si="0"/>
        <v>Stockers Herd 2</v>
      </c>
      <c r="B33" s="785">
        <f>LivestockForageBalance!N23</f>
        <v>0</v>
      </c>
      <c r="C33" s="763">
        <f>LivestockForageBalance!O23</f>
        <v>0</v>
      </c>
      <c r="D33" s="785">
        <f>LivestockForageBalance!P23</f>
        <v>0</v>
      </c>
      <c r="E33" s="763">
        <f>LivestockForageBalance!Q23</f>
        <v>0</v>
      </c>
      <c r="F33" s="785">
        <f>LivestockForageBalance!R23</f>
        <v>0</v>
      </c>
      <c r="G33" s="763">
        <f>LivestockForageBalance!S23</f>
        <v>0</v>
      </c>
      <c r="H33" s="785">
        <f>LivestockForageBalance!T23</f>
        <v>0</v>
      </c>
      <c r="I33" s="763">
        <f>LivestockForageBalance!U23</f>
        <v>0</v>
      </c>
      <c r="J33" s="785">
        <f>LivestockForageBalance!V23</f>
        <v>0</v>
      </c>
      <c r="K33" s="763">
        <f>LivestockForageBalance!W23</f>
        <v>0</v>
      </c>
      <c r="L33" s="785">
        <f>LivestockForageBalance!X23</f>
        <v>0</v>
      </c>
      <c r="M33" s="764">
        <f>LivestockForageBalance!Y23</f>
        <v>0</v>
      </c>
    </row>
    <row r="34" spans="1:13" ht="20.100000000000001" hidden="1" customHeight="1">
      <c r="A34" s="739" t="str">
        <f t="shared" si="0"/>
        <v>Dairy, Seasonal</v>
      </c>
      <c r="B34" s="785">
        <f>LivestockForageBalance!N25</f>
        <v>0</v>
      </c>
      <c r="C34" s="763">
        <f>LivestockForageBalance!O25</f>
        <v>0</v>
      </c>
      <c r="D34" s="785">
        <f>LivestockForageBalance!P25</f>
        <v>0</v>
      </c>
      <c r="E34" s="763">
        <f>LivestockForageBalance!Q25</f>
        <v>0</v>
      </c>
      <c r="F34" s="785">
        <f>LivestockForageBalance!R25</f>
        <v>0</v>
      </c>
      <c r="G34" s="763">
        <f>LivestockForageBalance!S25</f>
        <v>0</v>
      </c>
      <c r="H34" s="785">
        <f>LivestockForageBalance!T25</f>
        <v>0</v>
      </c>
      <c r="I34" s="763">
        <f>LivestockForageBalance!U25</f>
        <v>0</v>
      </c>
      <c r="J34" s="785">
        <f>LivestockForageBalance!V25</f>
        <v>0</v>
      </c>
      <c r="K34" s="763">
        <f>LivestockForageBalance!W25</f>
        <v>0</v>
      </c>
      <c r="L34" s="785">
        <f>LivestockForageBalance!X25</f>
        <v>0</v>
      </c>
      <c r="M34" s="764">
        <f>LivestockForageBalance!Y25</f>
        <v>0</v>
      </c>
    </row>
    <row r="35" spans="1:13" ht="20.100000000000001" hidden="1" customHeight="1">
      <c r="A35" s="739" t="str">
        <f t="shared" ref="A35:A40" si="1">A18</f>
        <v>Lactating Dairy Herd</v>
      </c>
      <c r="B35" s="785">
        <f>LivestockForageBalance!N29</f>
        <v>0</v>
      </c>
      <c r="C35" s="763">
        <f>LivestockForageBalance!O29</f>
        <v>0</v>
      </c>
      <c r="D35" s="785">
        <f>LivestockForageBalance!P29</f>
        <v>0</v>
      </c>
      <c r="E35" s="763">
        <f>LivestockForageBalance!Q29</f>
        <v>0</v>
      </c>
      <c r="F35" s="785">
        <f>LivestockForageBalance!R29</f>
        <v>0</v>
      </c>
      <c r="G35" s="763">
        <f>LivestockForageBalance!S29</f>
        <v>0</v>
      </c>
      <c r="H35" s="785">
        <f>LivestockForageBalance!T29</f>
        <v>0</v>
      </c>
      <c r="I35" s="763">
        <f>LivestockForageBalance!U29</f>
        <v>0</v>
      </c>
      <c r="J35" s="785">
        <f>LivestockForageBalance!V29</f>
        <v>0</v>
      </c>
      <c r="K35" s="763">
        <f>LivestockForageBalance!W29</f>
        <v>0</v>
      </c>
      <c r="L35" s="785">
        <f>LivestockForageBalance!X29</f>
        <v>0</v>
      </c>
      <c r="M35" s="764">
        <f>LivestockForageBalance!Y29</f>
        <v>0</v>
      </c>
    </row>
    <row r="36" spans="1:13" ht="20.100000000000001" hidden="1" customHeight="1">
      <c r="A36" s="739" t="str">
        <f t="shared" si="1"/>
        <v xml:space="preserve">Dry Dairy Herd </v>
      </c>
      <c r="B36" s="785">
        <f>LivestockForageBalance!N31</f>
        <v>0</v>
      </c>
      <c r="C36" s="763">
        <f>LivestockForageBalance!O31</f>
        <v>0</v>
      </c>
      <c r="D36" s="785">
        <f>LivestockForageBalance!P31</f>
        <v>0</v>
      </c>
      <c r="E36" s="763">
        <f>LivestockForageBalance!Q31</f>
        <v>0</v>
      </c>
      <c r="F36" s="785">
        <f>LivestockForageBalance!R31</f>
        <v>0</v>
      </c>
      <c r="G36" s="763">
        <f>LivestockForageBalance!S31</f>
        <v>0</v>
      </c>
      <c r="H36" s="785">
        <f>LivestockForageBalance!T31</f>
        <v>0</v>
      </c>
      <c r="I36" s="763">
        <f>LivestockForageBalance!U31</f>
        <v>0</v>
      </c>
      <c r="J36" s="785">
        <f>LivestockForageBalance!V31</f>
        <v>0</v>
      </c>
      <c r="K36" s="763">
        <f>LivestockForageBalance!W31</f>
        <v>0</v>
      </c>
      <c r="L36" s="785">
        <f>LivestockForageBalance!X31</f>
        <v>0</v>
      </c>
      <c r="M36" s="764">
        <f>LivestockForageBalance!Y31</f>
        <v>0</v>
      </c>
    </row>
    <row r="37" spans="1:13" ht="20.100000000000001" hidden="1" customHeight="1">
      <c r="A37" s="739" t="str">
        <f t="shared" si="1"/>
        <v>Bulls</v>
      </c>
      <c r="B37" s="785">
        <f>LivestockForageBalance!N33</f>
        <v>0</v>
      </c>
      <c r="C37" s="763">
        <f>LivestockForageBalance!O33</f>
        <v>0</v>
      </c>
      <c r="D37" s="785">
        <f>LivestockForageBalance!P33</f>
        <v>0</v>
      </c>
      <c r="E37" s="763">
        <f>LivestockForageBalance!Q33</f>
        <v>0</v>
      </c>
      <c r="F37" s="785">
        <f>LivestockForageBalance!R33</f>
        <v>0</v>
      </c>
      <c r="G37" s="763">
        <f>LivestockForageBalance!S33</f>
        <v>0</v>
      </c>
      <c r="H37" s="785">
        <f>LivestockForageBalance!T33</f>
        <v>0</v>
      </c>
      <c r="I37" s="763">
        <f>LivestockForageBalance!U33</f>
        <v>0</v>
      </c>
      <c r="J37" s="785">
        <f>LivestockForageBalance!V33</f>
        <v>0</v>
      </c>
      <c r="K37" s="763">
        <f>LivestockForageBalance!W33</f>
        <v>0</v>
      </c>
      <c r="L37" s="785">
        <f>LivestockForageBalance!X33</f>
        <v>0</v>
      </c>
      <c r="M37" s="764">
        <f>LivestockForageBalance!Y33</f>
        <v>0</v>
      </c>
    </row>
    <row r="38" spans="1:13" ht="20.100000000000001" hidden="1" customHeight="1">
      <c r="A38" s="739" t="str">
        <f t="shared" si="1"/>
        <v>Horses</v>
      </c>
      <c r="B38" s="785">
        <f>LivestockForageBalance!N35</f>
        <v>0</v>
      </c>
      <c r="C38" s="763">
        <f>LivestockForageBalance!O35</f>
        <v>0</v>
      </c>
      <c r="D38" s="785">
        <f>LivestockForageBalance!P35</f>
        <v>0</v>
      </c>
      <c r="E38" s="763">
        <f>LivestockForageBalance!Q35</f>
        <v>0</v>
      </c>
      <c r="F38" s="785">
        <f>LivestockForageBalance!R35</f>
        <v>0</v>
      </c>
      <c r="G38" s="763">
        <f>LivestockForageBalance!S35</f>
        <v>0</v>
      </c>
      <c r="H38" s="785">
        <f>LivestockForageBalance!T35</f>
        <v>0</v>
      </c>
      <c r="I38" s="763">
        <f>LivestockForageBalance!U35</f>
        <v>0</v>
      </c>
      <c r="J38" s="785">
        <f>LivestockForageBalance!V35</f>
        <v>0</v>
      </c>
      <c r="K38" s="763">
        <f>LivestockForageBalance!W35</f>
        <v>0</v>
      </c>
      <c r="L38" s="785">
        <f>LivestockForageBalance!X35</f>
        <v>0</v>
      </c>
      <c r="M38" s="764">
        <f>LivestockForageBalance!Y35</f>
        <v>0</v>
      </c>
    </row>
    <row r="39" spans="1:13" ht="20.100000000000001" hidden="1" customHeight="1">
      <c r="A39" s="739" t="str">
        <f t="shared" si="1"/>
        <v>Sheep</v>
      </c>
      <c r="B39" s="785">
        <f>LivestockForageBalance!N37</f>
        <v>0</v>
      </c>
      <c r="C39" s="763">
        <f>LivestockForageBalance!O37</f>
        <v>0</v>
      </c>
      <c r="D39" s="785">
        <f>LivestockForageBalance!P37</f>
        <v>0</v>
      </c>
      <c r="E39" s="763">
        <f>LivestockForageBalance!Q37</f>
        <v>0</v>
      </c>
      <c r="F39" s="785">
        <f>LivestockForageBalance!R37</f>
        <v>0</v>
      </c>
      <c r="G39" s="763">
        <f>LivestockForageBalance!S37</f>
        <v>0</v>
      </c>
      <c r="H39" s="785">
        <f>LivestockForageBalance!T37</f>
        <v>0</v>
      </c>
      <c r="I39" s="763">
        <f>LivestockForageBalance!U37</f>
        <v>0</v>
      </c>
      <c r="J39" s="785">
        <f>LivestockForageBalance!V37</f>
        <v>0</v>
      </c>
      <c r="K39" s="763">
        <f>LivestockForageBalance!W37</f>
        <v>0</v>
      </c>
      <c r="L39" s="785">
        <f>LivestockForageBalance!X37</f>
        <v>0</v>
      </c>
      <c r="M39" s="764">
        <f>LivestockForageBalance!Y37</f>
        <v>0</v>
      </c>
    </row>
    <row r="40" spans="1:13" ht="20.100000000000001" hidden="1" customHeight="1">
      <c r="A40" s="739" t="str">
        <f t="shared" si="1"/>
        <v>Goats</v>
      </c>
      <c r="B40" s="785">
        <f>LivestockForageBalance!N39</f>
        <v>0</v>
      </c>
      <c r="C40" s="763">
        <f>LivestockForageBalance!O39</f>
        <v>0</v>
      </c>
      <c r="D40" s="785">
        <f>LivestockForageBalance!P39</f>
        <v>0</v>
      </c>
      <c r="E40" s="763">
        <f>LivestockForageBalance!Q39</f>
        <v>0</v>
      </c>
      <c r="F40" s="785">
        <f>LivestockForageBalance!R39</f>
        <v>0</v>
      </c>
      <c r="G40" s="763">
        <f>LivestockForageBalance!S39</f>
        <v>0</v>
      </c>
      <c r="H40" s="785">
        <f>LivestockForageBalance!T39</f>
        <v>0</v>
      </c>
      <c r="I40" s="763">
        <f>LivestockForageBalance!U39</f>
        <v>0</v>
      </c>
      <c r="J40" s="785">
        <f>LivestockForageBalance!V39</f>
        <v>0</v>
      </c>
      <c r="K40" s="763">
        <f>LivestockForageBalance!W39</f>
        <v>0</v>
      </c>
      <c r="L40" s="785">
        <f>LivestockForageBalance!X39</f>
        <v>0</v>
      </c>
      <c r="M40" s="764">
        <f>LivestockForageBalance!Y39</f>
        <v>0</v>
      </c>
    </row>
    <row r="41" spans="1:13" ht="20.100000000000001" customHeight="1">
      <c r="A41" s="771"/>
      <c r="B41" s="786"/>
      <c r="C41" s="772"/>
      <c r="D41" s="786"/>
      <c r="E41" s="772"/>
      <c r="F41" s="786"/>
      <c r="G41" s="772"/>
      <c r="H41" s="786"/>
      <c r="I41" s="772"/>
      <c r="J41" s="786"/>
      <c r="K41" s="772"/>
      <c r="L41" s="786"/>
      <c r="M41" s="773"/>
    </row>
    <row r="42" spans="1:13" ht="20.100000000000001" customHeight="1">
      <c r="A42" s="765" t="s">
        <v>346</v>
      </c>
      <c r="B42" s="787">
        <f>LivestockForageBalance!N41</f>
        <v>0</v>
      </c>
      <c r="C42" s="766">
        <f>LivestockForageBalance!O41</f>
        <v>0</v>
      </c>
      <c r="D42" s="787">
        <f>LivestockForageBalance!P41</f>
        <v>0</v>
      </c>
      <c r="E42" s="766">
        <f>LivestockForageBalance!Q41</f>
        <v>0</v>
      </c>
      <c r="F42" s="787">
        <f>LivestockForageBalance!R41</f>
        <v>0</v>
      </c>
      <c r="G42" s="766">
        <f>LivestockForageBalance!S41</f>
        <v>0</v>
      </c>
      <c r="H42" s="787">
        <f>LivestockForageBalance!T41</f>
        <v>0</v>
      </c>
      <c r="I42" s="766">
        <f>LivestockForageBalance!U41</f>
        <v>0</v>
      </c>
      <c r="J42" s="787">
        <f>LivestockForageBalance!V41</f>
        <v>0</v>
      </c>
      <c r="K42" s="766">
        <f>LivestockForageBalance!W41</f>
        <v>0</v>
      </c>
      <c r="L42" s="787">
        <f>LivestockForageBalance!X41</f>
        <v>0</v>
      </c>
      <c r="M42" s="767">
        <f>LivestockForageBalance!Y41</f>
        <v>0</v>
      </c>
    </row>
    <row r="43" spans="1:13" ht="20.100000000000001" customHeight="1">
      <c r="A43" s="739"/>
      <c r="B43" s="785"/>
      <c r="C43" s="763"/>
      <c r="D43" s="785"/>
      <c r="E43" s="763"/>
      <c r="F43" s="785"/>
      <c r="G43" s="763"/>
      <c r="H43" s="785"/>
      <c r="I43" s="763"/>
      <c r="J43" s="785"/>
      <c r="K43" s="763"/>
      <c r="L43" s="785"/>
      <c r="M43" s="764"/>
    </row>
    <row r="44" spans="1:13" ht="20.100000000000001" customHeight="1">
      <c r="A44" s="765" t="s">
        <v>678</v>
      </c>
      <c r="B44" s="787">
        <f>LivestockForageBalance!N91</f>
        <v>0</v>
      </c>
      <c r="C44" s="766">
        <f>LivestockForageBalance!O91</f>
        <v>0</v>
      </c>
      <c r="D44" s="787">
        <f>LivestockForageBalance!P91</f>
        <v>0</v>
      </c>
      <c r="E44" s="766">
        <f>LivestockForageBalance!Q91</f>
        <v>0</v>
      </c>
      <c r="F44" s="787">
        <f>LivestockForageBalance!R91</f>
        <v>0</v>
      </c>
      <c r="G44" s="766">
        <f>LivestockForageBalance!S91</f>
        <v>0</v>
      </c>
      <c r="H44" s="787">
        <f>LivestockForageBalance!T91</f>
        <v>0</v>
      </c>
      <c r="I44" s="766">
        <f>LivestockForageBalance!U91</f>
        <v>0</v>
      </c>
      <c r="J44" s="787">
        <f>LivestockForageBalance!V91</f>
        <v>0</v>
      </c>
      <c r="K44" s="766">
        <f>LivestockForageBalance!W91</f>
        <v>0</v>
      </c>
      <c r="L44" s="787">
        <f>LivestockForageBalance!X91</f>
        <v>0</v>
      </c>
      <c r="M44" s="767">
        <f>LivestockForageBalance!Y91</f>
        <v>0</v>
      </c>
    </row>
    <row r="45" spans="1:13" ht="20.100000000000001" customHeight="1">
      <c r="A45" s="765" t="s">
        <v>679</v>
      </c>
      <c r="B45" s="787">
        <f>LivestockForageBalance!N92</f>
        <v>0</v>
      </c>
      <c r="C45" s="766">
        <f>LivestockForageBalance!O92</f>
        <v>0</v>
      </c>
      <c r="D45" s="787">
        <f>LivestockForageBalance!P92</f>
        <v>0</v>
      </c>
      <c r="E45" s="766">
        <f>LivestockForageBalance!Q92</f>
        <v>0</v>
      </c>
      <c r="F45" s="787">
        <f>LivestockForageBalance!R92</f>
        <v>0</v>
      </c>
      <c r="G45" s="766">
        <f>LivestockForageBalance!S92</f>
        <v>0</v>
      </c>
      <c r="H45" s="787">
        <f>LivestockForageBalance!T92</f>
        <v>0</v>
      </c>
      <c r="I45" s="766">
        <f>LivestockForageBalance!U92</f>
        <v>0</v>
      </c>
      <c r="J45" s="787">
        <f>LivestockForageBalance!V92</f>
        <v>0</v>
      </c>
      <c r="K45" s="766">
        <f>LivestockForageBalance!W92</f>
        <v>0</v>
      </c>
      <c r="L45" s="787">
        <f>LivestockForageBalance!X92</f>
        <v>0</v>
      </c>
      <c r="M45" s="767">
        <f>LivestockForageBalance!Y92</f>
        <v>0</v>
      </c>
    </row>
    <row r="46" spans="1:13" ht="20.100000000000001" customHeight="1" thickBot="1">
      <c r="A46" s="768" t="s">
        <v>680</v>
      </c>
      <c r="B46" s="788">
        <f>LivestockForageBalance!N93</f>
        <v>0</v>
      </c>
      <c r="C46" s="769">
        <f>LivestockForageBalance!O93</f>
        <v>0</v>
      </c>
      <c r="D46" s="788">
        <f>LivestockForageBalance!P93</f>
        <v>0</v>
      </c>
      <c r="E46" s="769">
        <f>LivestockForageBalance!Q93</f>
        <v>0</v>
      </c>
      <c r="F46" s="788">
        <f>LivestockForageBalance!R93</f>
        <v>0</v>
      </c>
      <c r="G46" s="769">
        <f>LivestockForageBalance!S93</f>
        <v>0</v>
      </c>
      <c r="H46" s="788">
        <f>LivestockForageBalance!T93</f>
        <v>0</v>
      </c>
      <c r="I46" s="769">
        <f>LivestockForageBalance!U93</f>
        <v>0</v>
      </c>
      <c r="J46" s="788">
        <f>LivestockForageBalance!V93</f>
        <v>0</v>
      </c>
      <c r="K46" s="769">
        <f>LivestockForageBalance!W93</f>
        <v>0</v>
      </c>
      <c r="L46" s="788">
        <f>LivestockForageBalance!X93</f>
        <v>0</v>
      </c>
      <c r="M46" s="770">
        <f>LivestockForageBalance!Y93</f>
        <v>0</v>
      </c>
    </row>
    <row r="47" spans="1:13" ht="12.75" thickBot="1"/>
    <row r="48" spans="1:13" ht="20.100000000000001" customHeight="1">
      <c r="A48" s="776" t="s">
        <v>681</v>
      </c>
      <c r="B48" s="777" t="s">
        <v>122</v>
      </c>
    </row>
    <row r="49" spans="1:2" ht="20.100000000000001" customHeight="1">
      <c r="A49" s="774" t="s">
        <v>682</v>
      </c>
      <c r="B49" s="778">
        <f>SUM(B44:M44)</f>
        <v>0</v>
      </c>
    </row>
    <row r="50" spans="1:2" ht="20.100000000000001" customHeight="1">
      <c r="A50" s="774" t="s">
        <v>683</v>
      </c>
      <c r="B50" s="778">
        <f>SUM(B45:M45)</f>
        <v>0</v>
      </c>
    </row>
    <row r="51" spans="1:2" ht="20.100000000000001" customHeight="1">
      <c r="A51" s="774" t="s">
        <v>629</v>
      </c>
      <c r="B51" s="778">
        <f>SUM(B46:M46)</f>
        <v>0</v>
      </c>
    </row>
    <row r="52" spans="1:2" ht="20.100000000000001" customHeight="1">
      <c r="A52" s="780"/>
      <c r="B52" s="781"/>
    </row>
    <row r="53" spans="1:2" ht="20.100000000000001" customHeight="1" thickBot="1">
      <c r="A53" s="775" t="s">
        <v>346</v>
      </c>
      <c r="B53" s="779">
        <f>F25</f>
        <v>0</v>
      </c>
    </row>
  </sheetData>
  <mergeCells count="9">
    <mergeCell ref="A2:C2"/>
    <mergeCell ref="B27:M27"/>
    <mergeCell ref="I8:L8"/>
    <mergeCell ref="I9:L9"/>
    <mergeCell ref="A8:A9"/>
    <mergeCell ref="E8:E9"/>
    <mergeCell ref="F8:F9"/>
    <mergeCell ref="G8:H9"/>
    <mergeCell ref="E2:J6"/>
  </mergeCells>
  <printOptions horizontalCentered="1"/>
  <pageMargins left="0.2" right="0.2" top="0.5" bottom="0.5" header="0.3" footer="0.3"/>
  <pageSetup scale="91" orientation="landscape" r:id="rId1"/>
  <colBreaks count="1" manualBreakCount="1">
    <brk id="1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1"/>
  <dimension ref="A1:M89"/>
  <sheetViews>
    <sheetView topLeftCell="A10" workbookViewId="0">
      <selection activeCell="B95" sqref="B95"/>
    </sheetView>
  </sheetViews>
  <sheetFormatPr defaultRowHeight="12"/>
  <cols>
    <col min="1" max="1" width="9.75" customWidth="1"/>
    <col min="2" max="2" width="9" customWidth="1"/>
  </cols>
  <sheetData>
    <row r="1" spans="1:11" ht="20.100000000000001" customHeight="1">
      <c r="A1" s="25" t="s">
        <v>684</v>
      </c>
    </row>
    <row r="2" spans="1:11" ht="20.100000000000001" customHeight="1">
      <c r="A2" s="1457">
        <f>Name</f>
        <v>0</v>
      </c>
      <c r="B2" s="1457"/>
      <c r="C2" s="1457"/>
    </row>
    <row r="3" spans="1:11" ht="20.100000000000001" customHeight="1">
      <c r="A3" s="4" t="str">
        <f>ID</f>
        <v/>
      </c>
    </row>
    <row r="4" spans="1:11" ht="20.100000000000001" customHeight="1">
      <c r="A4" s="4" t="str">
        <f>Date</f>
        <v/>
      </c>
    </row>
    <row r="5" spans="1:11" ht="15.75" thickBot="1">
      <c r="A5" s="4"/>
    </row>
    <row r="6" spans="1:11" ht="20.100000000000001" customHeight="1" thickBot="1">
      <c r="A6" s="1509" t="s">
        <v>487</v>
      </c>
      <c r="B6" s="1510"/>
      <c r="C6" s="1510"/>
      <c r="D6" s="1510"/>
      <c r="E6" s="1510"/>
      <c r="F6" s="1510"/>
      <c r="G6" s="1510"/>
      <c r="H6" s="1510"/>
      <c r="I6" s="1510"/>
      <c r="J6" s="1510"/>
      <c r="K6" s="1511"/>
    </row>
    <row r="7" spans="1:11" ht="20.100000000000001" customHeight="1">
      <c r="A7" s="795" t="s">
        <v>342</v>
      </c>
      <c r="B7" s="1458" t="s">
        <v>81</v>
      </c>
      <c r="C7" s="1459"/>
      <c r="D7" s="1494"/>
      <c r="E7" s="801"/>
      <c r="F7" s="1486" t="s">
        <v>685</v>
      </c>
      <c r="G7" s="802" t="s">
        <v>78</v>
      </c>
      <c r="H7" s="803" t="s">
        <v>88</v>
      </c>
      <c r="I7" s="800"/>
      <c r="J7" s="804" t="s">
        <v>687</v>
      </c>
      <c r="K7" s="805" t="s">
        <v>691</v>
      </c>
    </row>
    <row r="8" spans="1:11" ht="20.100000000000001" customHeight="1">
      <c r="A8" s="796" t="s">
        <v>359</v>
      </c>
      <c r="B8" s="1495"/>
      <c r="C8" s="1496"/>
      <c r="D8" s="1497"/>
      <c r="E8" s="806" t="s">
        <v>65</v>
      </c>
      <c r="F8" s="1487"/>
      <c r="G8" s="806" t="s">
        <v>66</v>
      </c>
      <c r="H8" s="807" t="s">
        <v>79</v>
      </c>
      <c r="I8" s="808" t="s">
        <v>80</v>
      </c>
      <c r="J8" s="809" t="s">
        <v>688</v>
      </c>
      <c r="K8" s="810" t="s">
        <v>503</v>
      </c>
    </row>
    <row r="9" spans="1:11" ht="20.100000000000001" customHeight="1">
      <c r="A9" s="797" t="s">
        <v>37</v>
      </c>
      <c r="B9" s="1498"/>
      <c r="C9" s="1499"/>
      <c r="D9" s="1500"/>
      <c r="E9" s="811" t="s">
        <v>82</v>
      </c>
      <c r="F9" s="812" t="s">
        <v>338</v>
      </c>
      <c r="G9" s="811" t="s">
        <v>83</v>
      </c>
      <c r="H9" s="812" t="s">
        <v>84</v>
      </c>
      <c r="I9" s="813" t="s">
        <v>83</v>
      </c>
      <c r="J9" s="814" t="s">
        <v>689</v>
      </c>
      <c r="K9" s="815" t="s">
        <v>690</v>
      </c>
    </row>
    <row r="10" spans="1:11" ht="20.100000000000001" customHeight="1">
      <c r="A10" s="816">
        <f>Field1</f>
        <v>0</v>
      </c>
      <c r="B10" s="1501">
        <f>Kind1</f>
        <v>0</v>
      </c>
      <c r="C10" s="1502"/>
      <c r="D10" s="1502"/>
      <c r="E10" s="817">
        <f>Acres1</f>
        <v>0</v>
      </c>
      <c r="F10" s="743">
        <f>Yield1</f>
        <v>0</v>
      </c>
      <c r="G10" s="729">
        <f>LivestockForageBalance!K103</f>
        <v>0</v>
      </c>
      <c r="H10" s="743">
        <f>Efficiency1</f>
        <v>0</v>
      </c>
      <c r="I10" s="729">
        <f>LivestockForageBalance!M103</f>
        <v>0</v>
      </c>
      <c r="J10" s="817" t="str">
        <f>IF(HayMonth1&gt;0,"Yes","No")</f>
        <v>No</v>
      </c>
      <c r="K10" s="818" t="str">
        <f>IF(J10="Yes", LivestockForageBalance!J104,"")</f>
        <v/>
      </c>
    </row>
    <row r="11" spans="1:11" ht="20.100000000000001" customHeight="1">
      <c r="A11" s="816">
        <f>Field2</f>
        <v>0</v>
      </c>
      <c r="B11" s="1503">
        <f>Kind2</f>
        <v>0</v>
      </c>
      <c r="C11" s="1504"/>
      <c r="D11" s="1504"/>
      <c r="E11" s="819">
        <f>Acres2</f>
        <v>0</v>
      </c>
      <c r="F11" s="744">
        <f>Yield2</f>
        <v>0</v>
      </c>
      <c r="G11" s="729">
        <f>LivestockForageBalance!K105</f>
        <v>0</v>
      </c>
      <c r="H11" s="744">
        <f>Efficiency2</f>
        <v>0</v>
      </c>
      <c r="I11" s="729">
        <f>LivestockForageBalance!M105</f>
        <v>0</v>
      </c>
      <c r="J11" s="819" t="str">
        <f>IF(HayMonth2&gt;0,"Yes","No")</f>
        <v>No</v>
      </c>
      <c r="K11" s="818" t="str">
        <f>IF(J11="Yes", LivestockForageBalance!J106,"")</f>
        <v/>
      </c>
    </row>
    <row r="12" spans="1:11" ht="20.100000000000001" hidden="1" customHeight="1">
      <c r="A12" s="816">
        <f>Field3</f>
        <v>0</v>
      </c>
      <c r="B12" s="1503">
        <f>Kind3</f>
        <v>0</v>
      </c>
      <c r="C12" s="1504"/>
      <c r="D12" s="1504"/>
      <c r="E12" s="819">
        <f>Acres3</f>
        <v>0</v>
      </c>
      <c r="F12" s="744">
        <f>Yield3</f>
        <v>0</v>
      </c>
      <c r="G12" s="729">
        <f>LivestockForageBalance!K107</f>
        <v>0</v>
      </c>
      <c r="H12" s="744" t="str">
        <f>Efficiency3</f>
        <v/>
      </c>
      <c r="I12" s="729">
        <f>LivestockForageBalance!M107</f>
        <v>0</v>
      </c>
      <c r="J12" s="819" t="str">
        <f>IF(HayMonth3&gt;0,"Yes","No")</f>
        <v>No</v>
      </c>
      <c r="K12" s="818" t="str">
        <f>IF(J12="Yes", LivestockForageBalance!J108,"")</f>
        <v/>
      </c>
    </row>
    <row r="13" spans="1:11" ht="20.100000000000001" hidden="1" customHeight="1">
      <c r="A13" s="816">
        <f>Field4</f>
        <v>0</v>
      </c>
      <c r="B13" s="1503">
        <f>Kind4</f>
        <v>0</v>
      </c>
      <c r="C13" s="1504"/>
      <c r="D13" s="1504"/>
      <c r="E13" s="819">
        <f>Acres4</f>
        <v>0</v>
      </c>
      <c r="F13" s="744">
        <f>Yield4</f>
        <v>0</v>
      </c>
      <c r="G13" s="729">
        <f>LivestockForageBalance!K109</f>
        <v>0</v>
      </c>
      <c r="H13" s="744" t="str">
        <f>Efficiency4</f>
        <v/>
      </c>
      <c r="I13" s="729">
        <f>LivestockForageBalance!M109</f>
        <v>0</v>
      </c>
      <c r="J13" s="819" t="str">
        <f>IF(HayMonth4&gt;0,"Yes","No")</f>
        <v>No</v>
      </c>
      <c r="K13" s="818" t="str">
        <f>IF(J13="Yes", LivestockForageBalance!J110,"")</f>
        <v/>
      </c>
    </row>
    <row r="14" spans="1:11" ht="20.100000000000001" hidden="1" customHeight="1">
      <c r="A14" s="816">
        <f>Field5</f>
        <v>0</v>
      </c>
      <c r="B14" s="1503">
        <f>Kind5</f>
        <v>0</v>
      </c>
      <c r="C14" s="1504"/>
      <c r="D14" s="1504"/>
      <c r="E14" s="819">
        <f>Acres5</f>
        <v>0</v>
      </c>
      <c r="F14" s="744">
        <f>Yield5</f>
        <v>0</v>
      </c>
      <c r="G14" s="729">
        <f>LivestockForageBalance!K111</f>
        <v>0</v>
      </c>
      <c r="H14" s="744" t="str">
        <f>Efficiency5</f>
        <v/>
      </c>
      <c r="I14" s="729">
        <f>LivestockForageBalance!M111</f>
        <v>0</v>
      </c>
      <c r="J14" s="819" t="str">
        <f>IF(HayMonth5&gt;0,"Yes","No")</f>
        <v>No</v>
      </c>
      <c r="K14" s="818" t="str">
        <f>IF(J14="Yes", LivestockForageBalance!J112,"")</f>
        <v/>
      </c>
    </row>
    <row r="15" spans="1:11" ht="20.100000000000001" hidden="1" customHeight="1">
      <c r="A15" s="816">
        <f>Field6</f>
        <v>0</v>
      </c>
      <c r="B15" s="1503">
        <f>Kind6</f>
        <v>0</v>
      </c>
      <c r="C15" s="1504"/>
      <c r="D15" s="1504"/>
      <c r="E15" s="819">
        <f>Acres6</f>
        <v>0</v>
      </c>
      <c r="F15" s="744">
        <f>Yield6</f>
        <v>0</v>
      </c>
      <c r="G15" s="729">
        <f>LivestockForageBalance!K113</f>
        <v>0</v>
      </c>
      <c r="H15" s="744" t="str">
        <f>Efficiency6</f>
        <v/>
      </c>
      <c r="I15" s="729">
        <f>LivestockForageBalance!M113</f>
        <v>0</v>
      </c>
      <c r="J15" s="819" t="str">
        <f>IF(HayMonth6&gt;0,"Yes","No")</f>
        <v>No</v>
      </c>
      <c r="K15" s="818" t="str">
        <f>IF(J15="Yes", LivestockForageBalance!J114,"")</f>
        <v/>
      </c>
    </row>
    <row r="16" spans="1:11" ht="20.100000000000001" hidden="1" customHeight="1">
      <c r="A16" s="816">
        <f>Field7</f>
        <v>0</v>
      </c>
      <c r="B16" s="1503">
        <f>Kind7</f>
        <v>0</v>
      </c>
      <c r="C16" s="1504"/>
      <c r="D16" s="1504"/>
      <c r="E16" s="819">
        <f>Acres7</f>
        <v>0</v>
      </c>
      <c r="F16" s="744">
        <f>Yield7</f>
        <v>0</v>
      </c>
      <c r="G16" s="729">
        <f>LivestockForageBalance!K115</f>
        <v>0</v>
      </c>
      <c r="H16" s="744" t="str">
        <f>Efficiency7</f>
        <v/>
      </c>
      <c r="I16" s="729">
        <f>LivestockForageBalance!M115</f>
        <v>0</v>
      </c>
      <c r="J16" s="819" t="str">
        <f>IF(HayMonth7&gt;0,"Yes","No")</f>
        <v>No</v>
      </c>
      <c r="K16" s="818" t="str">
        <f>IF(J16="Yes", LivestockForageBalance!J116,"")</f>
        <v/>
      </c>
    </row>
    <row r="17" spans="1:11" ht="20.100000000000001" hidden="1" customHeight="1">
      <c r="A17" s="816">
        <f>Field8</f>
        <v>0</v>
      </c>
      <c r="B17" s="1503">
        <f>Kind8</f>
        <v>0</v>
      </c>
      <c r="C17" s="1504"/>
      <c r="D17" s="1504"/>
      <c r="E17" s="819">
        <f>Acres8</f>
        <v>0</v>
      </c>
      <c r="F17" s="744">
        <f>Yield8</f>
        <v>0</v>
      </c>
      <c r="G17" s="729">
        <f>LivestockForageBalance!K117</f>
        <v>0</v>
      </c>
      <c r="H17" s="744" t="str">
        <f>Efficiency8</f>
        <v/>
      </c>
      <c r="I17" s="729">
        <f>LivestockForageBalance!M117</f>
        <v>0</v>
      </c>
      <c r="J17" s="819" t="str">
        <f>IF(HayMonth8&gt;0,"Yes","No")</f>
        <v>No</v>
      </c>
      <c r="K17" s="818" t="str">
        <f>IF(J17="Yes", LivestockForageBalance!J118,"")</f>
        <v/>
      </c>
    </row>
    <row r="18" spans="1:11" ht="20.100000000000001" hidden="1" customHeight="1">
      <c r="A18" s="816">
        <f>Field9</f>
        <v>0</v>
      </c>
      <c r="B18" s="1503">
        <f>Kind9</f>
        <v>0</v>
      </c>
      <c r="C18" s="1504"/>
      <c r="D18" s="1504"/>
      <c r="E18" s="819">
        <f>Acres9</f>
        <v>0</v>
      </c>
      <c r="F18" s="744">
        <f>Yield9</f>
        <v>0</v>
      </c>
      <c r="G18" s="729">
        <f>LivestockForageBalance!K119</f>
        <v>0</v>
      </c>
      <c r="H18" s="744" t="str">
        <f>Efficiency9</f>
        <v/>
      </c>
      <c r="I18" s="729">
        <f>LivestockForageBalance!M119</f>
        <v>0</v>
      </c>
      <c r="J18" s="819" t="str">
        <f>IF(HayMonth9&gt;0,"Yes","No")</f>
        <v>No</v>
      </c>
      <c r="K18" s="818" t="str">
        <f>IF(J18="Yes", LivestockForageBalance!J120,"")</f>
        <v/>
      </c>
    </row>
    <row r="19" spans="1:11" ht="20.100000000000001" hidden="1" customHeight="1">
      <c r="A19" s="816">
        <f>Field10</f>
        <v>0</v>
      </c>
      <c r="B19" s="1503">
        <f>Kind10</f>
        <v>0</v>
      </c>
      <c r="C19" s="1504"/>
      <c r="D19" s="1504"/>
      <c r="E19" s="819">
        <f>Acres10</f>
        <v>0</v>
      </c>
      <c r="F19" s="744">
        <f>Yield10</f>
        <v>0</v>
      </c>
      <c r="G19" s="729">
        <f>LivestockForageBalance!K121</f>
        <v>0</v>
      </c>
      <c r="H19" s="744" t="str">
        <f>Efficiency10</f>
        <v/>
      </c>
      <c r="I19" s="729">
        <f>LivestockForageBalance!M121</f>
        <v>0</v>
      </c>
      <c r="J19" s="819" t="str">
        <f>IF(HayMonth10&gt;0,"Yes","No")</f>
        <v>No</v>
      </c>
      <c r="K19" s="818" t="str">
        <f>IF(J19="Yes", LivestockForageBalance!J122,"")</f>
        <v/>
      </c>
    </row>
    <row r="20" spans="1:11" ht="20.100000000000001" hidden="1" customHeight="1">
      <c r="A20" s="816">
        <f>Field11</f>
        <v>0</v>
      </c>
      <c r="B20" s="1503">
        <f>Kind11</f>
        <v>0</v>
      </c>
      <c r="C20" s="1504"/>
      <c r="D20" s="1504"/>
      <c r="E20" s="819">
        <f>Acres11</f>
        <v>0</v>
      </c>
      <c r="F20" s="744">
        <f>Yield11</f>
        <v>0</v>
      </c>
      <c r="G20" s="729">
        <f>LivestockForageBalance!K123</f>
        <v>0</v>
      </c>
      <c r="H20" s="744" t="str">
        <f>Efficiency11</f>
        <v/>
      </c>
      <c r="I20" s="729">
        <f>LivestockForageBalance!M123</f>
        <v>0</v>
      </c>
      <c r="J20" s="819" t="str">
        <f>IF(HayMonth11&gt;0,"Yes","No")</f>
        <v>No</v>
      </c>
      <c r="K20" s="818" t="str">
        <f>IF(J20="Yes", LivestockForageBalance!J124,"")</f>
        <v/>
      </c>
    </row>
    <row r="21" spans="1:11" ht="20.100000000000001" hidden="1" customHeight="1">
      <c r="A21" s="816">
        <f>Field12</f>
        <v>0</v>
      </c>
      <c r="B21" s="1503">
        <f>Kind12</f>
        <v>0</v>
      </c>
      <c r="C21" s="1504"/>
      <c r="D21" s="1504"/>
      <c r="E21" s="819">
        <f>Acres12</f>
        <v>0</v>
      </c>
      <c r="F21" s="744">
        <f>Yield12</f>
        <v>0</v>
      </c>
      <c r="G21" s="729">
        <f>LivestockForageBalance!K125</f>
        <v>0</v>
      </c>
      <c r="H21" s="744" t="str">
        <f>Efficiency12</f>
        <v/>
      </c>
      <c r="I21" s="729">
        <f>LivestockForageBalance!M125</f>
        <v>0</v>
      </c>
      <c r="J21" s="819" t="str">
        <f>IF(HayMonth12&gt;0,"Yes","No")</f>
        <v>No</v>
      </c>
      <c r="K21" s="818" t="str">
        <f>IF(J21="Yes", LivestockForageBalance!J126,"")</f>
        <v/>
      </c>
    </row>
    <row r="22" spans="1:11" ht="20.100000000000001" hidden="1" customHeight="1">
      <c r="A22" s="816">
        <f>Field13</f>
        <v>0</v>
      </c>
      <c r="B22" s="1503">
        <f>Kind13</f>
        <v>0</v>
      </c>
      <c r="C22" s="1504"/>
      <c r="D22" s="1504"/>
      <c r="E22" s="819">
        <f>Acres13</f>
        <v>0</v>
      </c>
      <c r="F22" s="744">
        <f>Yield13</f>
        <v>0</v>
      </c>
      <c r="G22" s="729">
        <f>LivestockForageBalance!K127</f>
        <v>0</v>
      </c>
      <c r="H22" s="744" t="str">
        <f>Efficiency13</f>
        <v/>
      </c>
      <c r="I22" s="729">
        <f>LivestockForageBalance!M127</f>
        <v>0</v>
      </c>
      <c r="J22" s="819" t="str">
        <f>IF(HayMonth13&gt;0,"Yes","No")</f>
        <v>No</v>
      </c>
      <c r="K22" s="818" t="str">
        <f>IF(J22="Yes", LivestockForageBalance!J128,"")</f>
        <v/>
      </c>
    </row>
    <row r="23" spans="1:11" ht="20.100000000000001" hidden="1" customHeight="1">
      <c r="A23" s="816">
        <f>Field14</f>
        <v>0</v>
      </c>
      <c r="B23" s="1503">
        <f>Kind14</f>
        <v>0</v>
      </c>
      <c r="C23" s="1504"/>
      <c r="D23" s="1504"/>
      <c r="E23" s="819">
        <f>Acres14</f>
        <v>0</v>
      </c>
      <c r="F23" s="744">
        <f>Yield14</f>
        <v>0</v>
      </c>
      <c r="G23" s="729">
        <f>LivestockForageBalance!K129</f>
        <v>0</v>
      </c>
      <c r="H23" s="744" t="str">
        <f>Efficiency14</f>
        <v/>
      </c>
      <c r="I23" s="729">
        <f>LivestockForageBalance!M129</f>
        <v>0</v>
      </c>
      <c r="J23" s="819" t="str">
        <f>IF(HayMonth14&gt;0,"Yes","No")</f>
        <v>No</v>
      </c>
      <c r="K23" s="818" t="str">
        <f>IF(J23="Yes", LivestockForageBalance!J130,"")</f>
        <v/>
      </c>
    </row>
    <row r="24" spans="1:11" ht="20.100000000000001" hidden="1" customHeight="1">
      <c r="A24" s="816">
        <f>Field15</f>
        <v>0</v>
      </c>
      <c r="B24" s="1503">
        <f>Kind15</f>
        <v>0</v>
      </c>
      <c r="C24" s="1504"/>
      <c r="D24" s="1504"/>
      <c r="E24" s="819">
        <f>Acres15</f>
        <v>0</v>
      </c>
      <c r="F24" s="744">
        <f>Yield15</f>
        <v>0</v>
      </c>
      <c r="G24" s="729">
        <f>LivestockForageBalance!K131</f>
        <v>0</v>
      </c>
      <c r="H24" s="744" t="str">
        <f>Efficiency15</f>
        <v/>
      </c>
      <c r="I24" s="729">
        <f>LivestockForageBalance!M131</f>
        <v>0</v>
      </c>
      <c r="J24" s="819" t="str">
        <f>IF(HayMonth15&gt;0,"Yes","No")</f>
        <v>No</v>
      </c>
      <c r="K24" s="818" t="str">
        <f>IF(J24="Yes", LivestockForageBalance!J132,"")</f>
        <v/>
      </c>
    </row>
    <row r="25" spans="1:11" ht="20.100000000000001" hidden="1" customHeight="1">
      <c r="A25" s="816">
        <f>Field16</f>
        <v>0</v>
      </c>
      <c r="B25" s="1503">
        <f>Kind16</f>
        <v>0</v>
      </c>
      <c r="C25" s="1504"/>
      <c r="D25" s="1504"/>
      <c r="E25" s="819">
        <f>Acres16</f>
        <v>0</v>
      </c>
      <c r="F25" s="744">
        <f>Yield16</f>
        <v>0</v>
      </c>
      <c r="G25" s="729">
        <f>LivestockForageBalance!K133</f>
        <v>0</v>
      </c>
      <c r="H25" s="744" t="str">
        <f>Efficiency16</f>
        <v/>
      </c>
      <c r="I25" s="729">
        <f>LivestockForageBalance!M133</f>
        <v>0</v>
      </c>
      <c r="J25" s="819" t="str">
        <f>IF(HayMonth16&gt;0,"Yes","No")</f>
        <v>No</v>
      </c>
      <c r="K25" s="818" t="str">
        <f>IF(J25="Yes", LivestockForageBalance!J134,"")</f>
        <v/>
      </c>
    </row>
    <row r="26" spans="1:11" ht="20.100000000000001" hidden="1" customHeight="1">
      <c r="A26" s="816">
        <f>Field17</f>
        <v>0</v>
      </c>
      <c r="B26" s="1503">
        <f>Kind17</f>
        <v>0</v>
      </c>
      <c r="C26" s="1504"/>
      <c r="D26" s="1504"/>
      <c r="E26" s="819">
        <f>Acres17</f>
        <v>0</v>
      </c>
      <c r="F26" s="744">
        <f>Yield17</f>
        <v>0</v>
      </c>
      <c r="G26" s="729">
        <f>LivestockForageBalance!K135</f>
        <v>0</v>
      </c>
      <c r="H26" s="744" t="str">
        <f>Efficiency17</f>
        <v/>
      </c>
      <c r="I26" s="729">
        <f>LivestockForageBalance!M135</f>
        <v>0</v>
      </c>
      <c r="J26" s="819" t="str">
        <f>IF(HayMonth17&gt;0,"Yes","No")</f>
        <v>No</v>
      </c>
      <c r="K26" s="818" t="str">
        <f>IF(J26="Yes", LivestockForageBalance!J136,"")</f>
        <v/>
      </c>
    </row>
    <row r="27" spans="1:11" ht="20.100000000000001" hidden="1" customHeight="1">
      <c r="A27" s="816">
        <f>Field18</f>
        <v>0</v>
      </c>
      <c r="B27" s="1503">
        <f>Kind18</f>
        <v>0</v>
      </c>
      <c r="C27" s="1504"/>
      <c r="D27" s="1504"/>
      <c r="E27" s="819">
        <f>Acres18</f>
        <v>0</v>
      </c>
      <c r="F27" s="744">
        <f>Yield18</f>
        <v>0</v>
      </c>
      <c r="G27" s="729">
        <f>LivestockForageBalance!K137</f>
        <v>0</v>
      </c>
      <c r="H27" s="744" t="str">
        <f>Efficiency18</f>
        <v/>
      </c>
      <c r="I27" s="729">
        <f>LivestockForageBalance!M137</f>
        <v>0</v>
      </c>
      <c r="J27" s="819" t="str">
        <f>IF(HayMonth18&gt;0,"Yes","No")</f>
        <v>No</v>
      </c>
      <c r="K27" s="818" t="str">
        <f>IF(J27="Yes", LivestockForageBalance!J138,"")</f>
        <v/>
      </c>
    </row>
    <row r="28" spans="1:11" ht="20.100000000000001" hidden="1" customHeight="1">
      <c r="A28" s="816">
        <f>Field19</f>
        <v>0</v>
      </c>
      <c r="B28" s="1503">
        <f>Kind19</f>
        <v>0</v>
      </c>
      <c r="C28" s="1504"/>
      <c r="D28" s="1504"/>
      <c r="E28" s="819">
        <f>Acres19</f>
        <v>0</v>
      </c>
      <c r="F28" s="744">
        <f>Yield19</f>
        <v>0</v>
      </c>
      <c r="G28" s="729">
        <f>LivestockForageBalance!K139</f>
        <v>0</v>
      </c>
      <c r="H28" s="744" t="str">
        <f>Efficiency19</f>
        <v/>
      </c>
      <c r="I28" s="729">
        <f>LivestockForageBalance!M139</f>
        <v>0</v>
      </c>
      <c r="J28" s="819" t="str">
        <f>IF(HayMonth19&gt;0,"Yes","No")</f>
        <v>No</v>
      </c>
      <c r="K28" s="818" t="str">
        <f>IF(J28="Yes", LivestockForageBalance!J140,"")</f>
        <v/>
      </c>
    </row>
    <row r="29" spans="1:11" ht="20.100000000000001" hidden="1" customHeight="1">
      <c r="A29" s="816">
        <f>Field20</f>
        <v>0</v>
      </c>
      <c r="B29" s="1503">
        <f>Kind20</f>
        <v>0</v>
      </c>
      <c r="C29" s="1504"/>
      <c r="D29" s="1504"/>
      <c r="E29" s="819">
        <f>Acres20</f>
        <v>0</v>
      </c>
      <c r="F29" s="744">
        <f>Yield20</f>
        <v>0</v>
      </c>
      <c r="G29" s="729">
        <f>LivestockForageBalance!K141</f>
        <v>0</v>
      </c>
      <c r="H29" s="744" t="str">
        <f>Efficiency20</f>
        <v/>
      </c>
      <c r="I29" s="729">
        <f>LivestockForageBalance!M141</f>
        <v>0</v>
      </c>
      <c r="J29" s="819" t="str">
        <f>IF(HayMonth20&gt;0,"Yes","No")</f>
        <v>No</v>
      </c>
      <c r="K29" s="818" t="str">
        <f>IF(J29="Yes", LivestockForageBalance!J142,"")</f>
        <v/>
      </c>
    </row>
    <row r="30" spans="1:11" ht="20.100000000000001" hidden="1" customHeight="1">
      <c r="A30" s="816">
        <f>Field21</f>
        <v>0</v>
      </c>
      <c r="B30" s="1503">
        <f>Kind21</f>
        <v>0</v>
      </c>
      <c r="C30" s="1504"/>
      <c r="D30" s="1504"/>
      <c r="E30" s="819">
        <f>Acres21</f>
        <v>0</v>
      </c>
      <c r="F30" s="744">
        <f>Yield21</f>
        <v>0</v>
      </c>
      <c r="G30" s="729">
        <f>LivestockForageBalance!K143</f>
        <v>0</v>
      </c>
      <c r="H30" s="744" t="str">
        <f>Efficiency21</f>
        <v/>
      </c>
      <c r="I30" s="729">
        <f>LivestockForageBalance!M143</f>
        <v>0</v>
      </c>
      <c r="J30" s="819" t="str">
        <f>IF(HayMonth21&gt;0,"Yes","No")</f>
        <v>No</v>
      </c>
      <c r="K30" s="818" t="str">
        <f>IF(J30="Yes", LivestockForageBalance!J144,"")</f>
        <v/>
      </c>
    </row>
    <row r="31" spans="1:11" ht="20.100000000000001" hidden="1" customHeight="1">
      <c r="A31" s="816">
        <f>Field22</f>
        <v>0</v>
      </c>
      <c r="B31" s="1503">
        <f>Kind22</f>
        <v>0</v>
      </c>
      <c r="C31" s="1504"/>
      <c r="D31" s="1504"/>
      <c r="E31" s="819">
        <f>Acres22</f>
        <v>0</v>
      </c>
      <c r="F31" s="744">
        <f>Yield22</f>
        <v>0</v>
      </c>
      <c r="G31" s="729">
        <f>LivestockForageBalance!K145</f>
        <v>0</v>
      </c>
      <c r="H31" s="744" t="str">
        <f>Efficiency22</f>
        <v/>
      </c>
      <c r="I31" s="729">
        <f>LivestockForageBalance!M145</f>
        <v>0</v>
      </c>
      <c r="J31" s="819" t="str">
        <f>IF(HayMonth22&gt;0,"Yes","No")</f>
        <v>No</v>
      </c>
      <c r="K31" s="818" t="str">
        <f>IF(J31="Yes", LivestockForageBalance!J146,"")</f>
        <v/>
      </c>
    </row>
    <row r="32" spans="1:11" ht="20.100000000000001" hidden="1" customHeight="1">
      <c r="A32" s="816">
        <f>Field23</f>
        <v>0</v>
      </c>
      <c r="B32" s="1503">
        <f>Kind23</f>
        <v>0</v>
      </c>
      <c r="C32" s="1504"/>
      <c r="D32" s="1504"/>
      <c r="E32" s="819">
        <f>Acres23</f>
        <v>0</v>
      </c>
      <c r="F32" s="744">
        <f>Yield23</f>
        <v>0</v>
      </c>
      <c r="G32" s="729">
        <f>LivestockForageBalance!K147</f>
        <v>0</v>
      </c>
      <c r="H32" s="744" t="str">
        <f>Efficiency23</f>
        <v/>
      </c>
      <c r="I32" s="729">
        <f>LivestockForageBalance!M147</f>
        <v>0</v>
      </c>
      <c r="J32" s="819" t="str">
        <f>IF(HayMonth23&gt;0,"Yes","No")</f>
        <v>No</v>
      </c>
      <c r="K32" s="818" t="str">
        <f>IF(J32="Yes", LivestockForageBalance!J148,"")</f>
        <v/>
      </c>
    </row>
    <row r="33" spans="1:13" ht="20.100000000000001" hidden="1" customHeight="1">
      <c r="A33" s="824">
        <f>Field24</f>
        <v>0</v>
      </c>
      <c r="B33" s="1525">
        <f>Kind24</f>
        <v>0</v>
      </c>
      <c r="C33" s="1526"/>
      <c r="D33" s="1526"/>
      <c r="E33" s="831">
        <f>Acres24</f>
        <v>0</v>
      </c>
      <c r="F33" s="758">
        <f>Yield24</f>
        <v>0</v>
      </c>
      <c r="G33" s="757">
        <f>LivestockForageBalance!K149</f>
        <v>0</v>
      </c>
      <c r="H33" s="758" t="str">
        <f>Efficiency24</f>
        <v/>
      </c>
      <c r="I33" s="757">
        <f>LivestockForageBalance!M149</f>
        <v>0</v>
      </c>
      <c r="J33" s="831" t="str">
        <f>IF(HayMonth24&gt;0,"Yes","No")</f>
        <v>No</v>
      </c>
      <c r="K33" s="832" t="str">
        <f>IF(J33="Yes", LivestockForageBalance!J150,"")</f>
        <v/>
      </c>
    </row>
    <row r="34" spans="1:13" ht="20.100000000000001" customHeight="1">
      <c r="A34" s="1522" t="s">
        <v>340</v>
      </c>
      <c r="B34" s="1523"/>
      <c r="C34" s="1523"/>
      <c r="D34" s="1524"/>
      <c r="E34" s="1088">
        <f>SUM(E10:E33)</f>
        <v>0</v>
      </c>
      <c r="F34" s="1089"/>
      <c r="G34" s="1088">
        <f>SUM(G10:G33)</f>
        <v>0</v>
      </c>
      <c r="H34" s="1089"/>
      <c r="I34" s="1088">
        <f>SUM(I10:I33)</f>
        <v>0</v>
      </c>
      <c r="J34" s="1090"/>
      <c r="K34" s="1091"/>
    </row>
    <row r="35" spans="1:13" ht="20.100000000000001" customHeight="1" thickBot="1">
      <c r="A35" s="1085" t="s">
        <v>729</v>
      </c>
      <c r="B35" s="1086"/>
      <c r="C35" s="1086"/>
      <c r="D35" s="1086"/>
      <c r="E35" s="1092">
        <f>SUBTOTAL(101,E10:E33)</f>
        <v>0</v>
      </c>
      <c r="F35" s="1092">
        <f t="shared" ref="F35:I35" si="0">SUBTOTAL(101,F10:F33)</f>
        <v>0</v>
      </c>
      <c r="G35" s="1092">
        <f t="shared" si="0"/>
        <v>0</v>
      </c>
      <c r="H35" s="1092">
        <f t="shared" si="0"/>
        <v>0</v>
      </c>
      <c r="I35" s="1092">
        <f t="shared" si="0"/>
        <v>0</v>
      </c>
      <c r="J35" s="1093"/>
      <c r="K35" s="1087"/>
    </row>
    <row r="36" spans="1:13" ht="20.100000000000001" customHeight="1">
      <c r="A36" s="1512" t="s">
        <v>686</v>
      </c>
      <c r="B36" s="1512"/>
      <c r="C36" s="1512"/>
      <c r="D36" s="1512"/>
      <c r="E36" s="1512"/>
      <c r="F36" s="1512"/>
      <c r="G36" s="1512"/>
      <c r="H36" s="1512"/>
      <c r="I36" s="1512"/>
      <c r="J36" s="1512"/>
    </row>
    <row r="37" spans="1:13" ht="20.100000000000001" customHeight="1">
      <c r="A37" s="1512"/>
      <c r="B37" s="1512"/>
      <c r="C37" s="1512"/>
      <c r="D37" s="1512"/>
      <c r="E37" s="1512"/>
      <c r="F37" s="1512"/>
      <c r="G37" s="1512"/>
      <c r="H37" s="1512"/>
      <c r="I37" s="1512"/>
      <c r="J37" s="1512"/>
    </row>
    <row r="38" spans="1:13" ht="12.75" thickBot="1"/>
    <row r="39" spans="1:13" ht="20.100000000000001" customHeight="1">
      <c r="A39" s="795" t="s">
        <v>342</v>
      </c>
      <c r="B39" s="1488" t="s">
        <v>437</v>
      </c>
      <c r="C39" s="1489"/>
      <c r="D39" s="1489"/>
      <c r="E39" s="1489"/>
      <c r="F39" s="1489"/>
      <c r="G39" s="1489"/>
      <c r="H39" s="1489"/>
      <c r="I39" s="1489"/>
      <c r="J39" s="1489"/>
      <c r="K39" s="1489"/>
      <c r="L39" s="1489"/>
      <c r="M39" s="1490"/>
    </row>
    <row r="40" spans="1:13" ht="20.100000000000001" customHeight="1">
      <c r="A40" s="796" t="s">
        <v>359</v>
      </c>
      <c r="B40" s="1491"/>
      <c r="C40" s="1492"/>
      <c r="D40" s="1492"/>
      <c r="E40" s="1492"/>
      <c r="F40" s="1492"/>
      <c r="G40" s="1492"/>
      <c r="H40" s="1492"/>
      <c r="I40" s="1492"/>
      <c r="J40" s="1492"/>
      <c r="K40" s="1492"/>
      <c r="L40" s="1492"/>
      <c r="M40" s="1493"/>
    </row>
    <row r="41" spans="1:13" ht="20.100000000000001" customHeight="1">
      <c r="A41" s="797" t="s">
        <v>37</v>
      </c>
      <c r="B41" s="792" t="s">
        <v>91</v>
      </c>
      <c r="C41" s="793" t="s">
        <v>40</v>
      </c>
      <c r="D41" s="793" t="s">
        <v>41</v>
      </c>
      <c r="E41" s="793" t="s">
        <v>42</v>
      </c>
      <c r="F41" s="793" t="s">
        <v>94</v>
      </c>
      <c r="G41" s="793" t="s">
        <v>330</v>
      </c>
      <c r="H41" s="793" t="s">
        <v>96</v>
      </c>
      <c r="I41" s="793" t="s">
        <v>97</v>
      </c>
      <c r="J41" s="793" t="s">
        <v>98</v>
      </c>
      <c r="K41" s="793" t="s">
        <v>331</v>
      </c>
      <c r="L41" s="793" t="s">
        <v>332</v>
      </c>
      <c r="M41" s="794" t="s">
        <v>90</v>
      </c>
    </row>
    <row r="42" spans="1:13" ht="20.100000000000001" customHeight="1">
      <c r="A42" s="816">
        <f>Field1</f>
        <v>0</v>
      </c>
      <c r="B42" s="820" t="str">
        <f>LivestockForageBalance!N103</f>
        <v/>
      </c>
      <c r="C42" s="821" t="str">
        <f>LivestockForageBalance!O103</f>
        <v/>
      </c>
      <c r="D42" s="821" t="str">
        <f>LivestockForageBalance!P103</f>
        <v/>
      </c>
      <c r="E42" s="821" t="str">
        <f>LivestockForageBalance!Q103</f>
        <v/>
      </c>
      <c r="F42" s="821" t="str">
        <f>LivestockForageBalance!R103</f>
        <v/>
      </c>
      <c r="G42" s="821" t="str">
        <f>LivestockForageBalance!S103</f>
        <v/>
      </c>
      <c r="H42" s="821" t="str">
        <f>LivestockForageBalance!T103</f>
        <v/>
      </c>
      <c r="I42" s="821" t="str">
        <f>LivestockForageBalance!U103</f>
        <v/>
      </c>
      <c r="J42" s="821" t="str">
        <f>LivestockForageBalance!V103</f>
        <v/>
      </c>
      <c r="K42" s="821" t="str">
        <f>LivestockForageBalance!W103</f>
        <v/>
      </c>
      <c r="L42" s="821" t="str">
        <f>LivestockForageBalance!X103</f>
        <v/>
      </c>
      <c r="M42" s="822" t="str">
        <f>LivestockForageBalance!Y103</f>
        <v/>
      </c>
    </row>
    <row r="43" spans="1:13" ht="20.100000000000001" customHeight="1">
      <c r="A43" s="816">
        <f>Field2</f>
        <v>0</v>
      </c>
      <c r="B43" s="820" t="str">
        <f>LivestockForageBalance!N105</f>
        <v/>
      </c>
      <c r="C43" s="820" t="str">
        <f>LivestockForageBalance!O105</f>
        <v/>
      </c>
      <c r="D43" s="820" t="str">
        <f>LivestockForageBalance!P105</f>
        <v/>
      </c>
      <c r="E43" s="820" t="str">
        <f>LivestockForageBalance!Q105</f>
        <v/>
      </c>
      <c r="F43" s="820" t="str">
        <f>LivestockForageBalance!R105</f>
        <v/>
      </c>
      <c r="G43" s="820" t="str">
        <f>LivestockForageBalance!S105</f>
        <v/>
      </c>
      <c r="H43" s="820" t="str">
        <f>LivestockForageBalance!T105</f>
        <v/>
      </c>
      <c r="I43" s="820" t="str">
        <f>LivestockForageBalance!U105</f>
        <v/>
      </c>
      <c r="J43" s="820" t="str">
        <f>LivestockForageBalance!V105</f>
        <v/>
      </c>
      <c r="K43" s="820" t="str">
        <f>LivestockForageBalance!W105</f>
        <v/>
      </c>
      <c r="L43" s="820" t="str">
        <f>LivestockForageBalance!X105</f>
        <v/>
      </c>
      <c r="M43" s="823" t="str">
        <f>LivestockForageBalance!Y105</f>
        <v/>
      </c>
    </row>
    <row r="44" spans="1:13" ht="20.100000000000001" hidden="1" customHeight="1">
      <c r="A44" s="816">
        <f>Field3</f>
        <v>0</v>
      </c>
      <c r="B44" s="820" t="str">
        <f>LivestockForageBalance!N107</f>
        <v/>
      </c>
      <c r="C44" s="820" t="str">
        <f>LivestockForageBalance!O107</f>
        <v/>
      </c>
      <c r="D44" s="820" t="str">
        <f>LivestockForageBalance!P107</f>
        <v/>
      </c>
      <c r="E44" s="820" t="str">
        <f>LivestockForageBalance!Q107</f>
        <v/>
      </c>
      <c r="F44" s="820" t="str">
        <f>LivestockForageBalance!R107</f>
        <v/>
      </c>
      <c r="G44" s="820" t="str">
        <f>LivestockForageBalance!S107</f>
        <v/>
      </c>
      <c r="H44" s="820" t="str">
        <f>LivestockForageBalance!T107</f>
        <v/>
      </c>
      <c r="I44" s="820" t="str">
        <f>LivestockForageBalance!U107</f>
        <v/>
      </c>
      <c r="J44" s="820" t="str">
        <f>LivestockForageBalance!V107</f>
        <v/>
      </c>
      <c r="K44" s="820" t="str">
        <f>LivestockForageBalance!W107</f>
        <v/>
      </c>
      <c r="L44" s="820" t="str">
        <f>LivestockForageBalance!X107</f>
        <v/>
      </c>
      <c r="M44" s="823" t="str">
        <f>LivestockForageBalance!Y107</f>
        <v/>
      </c>
    </row>
    <row r="45" spans="1:13" ht="20.100000000000001" hidden="1" customHeight="1">
      <c r="A45" s="816">
        <f>Field4</f>
        <v>0</v>
      </c>
      <c r="B45" s="820" t="str">
        <f>LivestockForageBalance!N109</f>
        <v/>
      </c>
      <c r="C45" s="820" t="str">
        <f>LivestockForageBalance!O109</f>
        <v/>
      </c>
      <c r="D45" s="820" t="str">
        <f>LivestockForageBalance!P109</f>
        <v/>
      </c>
      <c r="E45" s="820" t="str">
        <f>LivestockForageBalance!Q109</f>
        <v/>
      </c>
      <c r="F45" s="820" t="str">
        <f>LivestockForageBalance!R109</f>
        <v/>
      </c>
      <c r="G45" s="820" t="str">
        <f>LivestockForageBalance!S109</f>
        <v/>
      </c>
      <c r="H45" s="820" t="str">
        <f>LivestockForageBalance!T109</f>
        <v/>
      </c>
      <c r="I45" s="820" t="str">
        <f>LivestockForageBalance!U109</f>
        <v/>
      </c>
      <c r="J45" s="820" t="str">
        <f>LivestockForageBalance!V109</f>
        <v/>
      </c>
      <c r="K45" s="820" t="str">
        <f>LivestockForageBalance!W109</f>
        <v/>
      </c>
      <c r="L45" s="820" t="str">
        <f>LivestockForageBalance!X109</f>
        <v/>
      </c>
      <c r="M45" s="823" t="str">
        <f>LivestockForageBalance!Y109</f>
        <v/>
      </c>
    </row>
    <row r="46" spans="1:13" ht="20.100000000000001" hidden="1" customHeight="1">
      <c r="A46" s="816">
        <f>Field5</f>
        <v>0</v>
      </c>
      <c r="B46" s="820" t="str">
        <f>LivestockForageBalance!N111</f>
        <v/>
      </c>
      <c r="C46" s="820" t="str">
        <f>LivestockForageBalance!O111</f>
        <v/>
      </c>
      <c r="D46" s="820" t="str">
        <f>LivestockForageBalance!P111</f>
        <v/>
      </c>
      <c r="E46" s="820" t="str">
        <f>LivestockForageBalance!Q111</f>
        <v/>
      </c>
      <c r="F46" s="820" t="str">
        <f>LivestockForageBalance!R111</f>
        <v/>
      </c>
      <c r="G46" s="820" t="str">
        <f>LivestockForageBalance!S111</f>
        <v/>
      </c>
      <c r="H46" s="820" t="str">
        <f>LivestockForageBalance!T111</f>
        <v/>
      </c>
      <c r="I46" s="820" t="str">
        <f>LivestockForageBalance!U111</f>
        <v/>
      </c>
      <c r="J46" s="820" t="str">
        <f>LivestockForageBalance!V111</f>
        <v/>
      </c>
      <c r="K46" s="820" t="str">
        <f>LivestockForageBalance!W111</f>
        <v/>
      </c>
      <c r="L46" s="820" t="str">
        <f>LivestockForageBalance!X111</f>
        <v/>
      </c>
      <c r="M46" s="823" t="str">
        <f>LivestockForageBalance!Y111</f>
        <v/>
      </c>
    </row>
    <row r="47" spans="1:13" ht="20.100000000000001" hidden="1" customHeight="1">
      <c r="A47" s="816">
        <f>Field6</f>
        <v>0</v>
      </c>
      <c r="B47" s="820" t="str">
        <f>LivestockForageBalance!N113</f>
        <v/>
      </c>
      <c r="C47" s="820" t="str">
        <f>LivestockForageBalance!O113</f>
        <v/>
      </c>
      <c r="D47" s="820" t="str">
        <f>LivestockForageBalance!P113</f>
        <v/>
      </c>
      <c r="E47" s="820" t="str">
        <f>LivestockForageBalance!Q113</f>
        <v/>
      </c>
      <c r="F47" s="820" t="str">
        <f>LivestockForageBalance!R113</f>
        <v/>
      </c>
      <c r="G47" s="820" t="str">
        <f>LivestockForageBalance!S113</f>
        <v/>
      </c>
      <c r="H47" s="820" t="str">
        <f>LivestockForageBalance!T113</f>
        <v/>
      </c>
      <c r="I47" s="820" t="str">
        <f>LivestockForageBalance!U113</f>
        <v/>
      </c>
      <c r="J47" s="820" t="str">
        <f>LivestockForageBalance!V113</f>
        <v/>
      </c>
      <c r="K47" s="820" t="str">
        <f>LivestockForageBalance!W113</f>
        <v/>
      </c>
      <c r="L47" s="820" t="str">
        <f>LivestockForageBalance!X113</f>
        <v/>
      </c>
      <c r="M47" s="823" t="str">
        <f>LivestockForageBalance!Y113</f>
        <v/>
      </c>
    </row>
    <row r="48" spans="1:13" ht="20.100000000000001" hidden="1" customHeight="1">
      <c r="A48" s="816">
        <f>Field7</f>
        <v>0</v>
      </c>
      <c r="B48" s="820" t="str">
        <f>LivestockForageBalance!N115</f>
        <v/>
      </c>
      <c r="C48" s="820" t="str">
        <f>LivestockForageBalance!O115</f>
        <v/>
      </c>
      <c r="D48" s="820" t="str">
        <f>LivestockForageBalance!P115</f>
        <v/>
      </c>
      <c r="E48" s="820" t="str">
        <f>LivestockForageBalance!Q115</f>
        <v/>
      </c>
      <c r="F48" s="820" t="str">
        <f>LivestockForageBalance!R115</f>
        <v/>
      </c>
      <c r="G48" s="820" t="str">
        <f>LivestockForageBalance!S115</f>
        <v/>
      </c>
      <c r="H48" s="820" t="str">
        <f>LivestockForageBalance!T115</f>
        <v/>
      </c>
      <c r="I48" s="820" t="str">
        <f>LivestockForageBalance!U115</f>
        <v/>
      </c>
      <c r="J48" s="820" t="str">
        <f>LivestockForageBalance!V115</f>
        <v/>
      </c>
      <c r="K48" s="820" t="str">
        <f>LivestockForageBalance!W115</f>
        <v/>
      </c>
      <c r="L48" s="820" t="str">
        <f>LivestockForageBalance!X115</f>
        <v/>
      </c>
      <c r="M48" s="823" t="str">
        <f>LivestockForageBalance!Y115</f>
        <v/>
      </c>
    </row>
    <row r="49" spans="1:13" ht="20.100000000000001" hidden="1" customHeight="1">
      <c r="A49" s="816">
        <f>Field8</f>
        <v>0</v>
      </c>
      <c r="B49" s="820" t="str">
        <f>LivestockForageBalance!N117</f>
        <v/>
      </c>
      <c r="C49" s="820" t="str">
        <f>LivestockForageBalance!O117</f>
        <v/>
      </c>
      <c r="D49" s="820" t="str">
        <f>LivestockForageBalance!P117</f>
        <v/>
      </c>
      <c r="E49" s="820" t="str">
        <f>LivestockForageBalance!Q117</f>
        <v/>
      </c>
      <c r="F49" s="820" t="str">
        <f>LivestockForageBalance!R117</f>
        <v/>
      </c>
      <c r="G49" s="820" t="str">
        <f>LivestockForageBalance!S117</f>
        <v/>
      </c>
      <c r="H49" s="820" t="str">
        <f>LivestockForageBalance!T117</f>
        <v/>
      </c>
      <c r="I49" s="820" t="str">
        <f>LivestockForageBalance!U117</f>
        <v/>
      </c>
      <c r="J49" s="820" t="str">
        <f>LivestockForageBalance!V117</f>
        <v/>
      </c>
      <c r="K49" s="820" t="str">
        <f>LivestockForageBalance!W117</f>
        <v/>
      </c>
      <c r="L49" s="820" t="str">
        <f>LivestockForageBalance!X117</f>
        <v/>
      </c>
      <c r="M49" s="823" t="str">
        <f>LivestockForageBalance!Y117</f>
        <v/>
      </c>
    </row>
    <row r="50" spans="1:13" ht="20.100000000000001" hidden="1" customHeight="1">
      <c r="A50" s="816">
        <f>Field9</f>
        <v>0</v>
      </c>
      <c r="B50" s="820" t="str">
        <f>LivestockForageBalance!N119</f>
        <v/>
      </c>
      <c r="C50" s="820" t="str">
        <f>LivestockForageBalance!O119</f>
        <v/>
      </c>
      <c r="D50" s="820" t="str">
        <f>LivestockForageBalance!P119</f>
        <v/>
      </c>
      <c r="E50" s="820" t="str">
        <f>LivestockForageBalance!Q119</f>
        <v/>
      </c>
      <c r="F50" s="820" t="str">
        <f>LivestockForageBalance!R119</f>
        <v/>
      </c>
      <c r="G50" s="820" t="str">
        <f>LivestockForageBalance!S119</f>
        <v/>
      </c>
      <c r="H50" s="820" t="str">
        <f>LivestockForageBalance!T119</f>
        <v/>
      </c>
      <c r="I50" s="820" t="str">
        <f>LivestockForageBalance!U119</f>
        <v/>
      </c>
      <c r="J50" s="820" t="str">
        <f>LivestockForageBalance!V119</f>
        <v/>
      </c>
      <c r="K50" s="820" t="str">
        <f>LivestockForageBalance!W119</f>
        <v/>
      </c>
      <c r="L50" s="820" t="str">
        <f>LivestockForageBalance!X119</f>
        <v/>
      </c>
      <c r="M50" s="823" t="str">
        <f>LivestockForageBalance!Y119</f>
        <v/>
      </c>
    </row>
    <row r="51" spans="1:13" ht="20.100000000000001" hidden="1" customHeight="1">
      <c r="A51" s="816">
        <f>Field10</f>
        <v>0</v>
      </c>
      <c r="B51" s="820" t="str">
        <f>LivestockForageBalance!N121</f>
        <v/>
      </c>
      <c r="C51" s="820" t="str">
        <f>LivestockForageBalance!O121</f>
        <v/>
      </c>
      <c r="D51" s="820" t="str">
        <f>LivestockForageBalance!P121</f>
        <v/>
      </c>
      <c r="E51" s="820" t="str">
        <f>LivestockForageBalance!Q121</f>
        <v/>
      </c>
      <c r="F51" s="820" t="str">
        <f>LivestockForageBalance!R121</f>
        <v/>
      </c>
      <c r="G51" s="820" t="str">
        <f>LivestockForageBalance!S121</f>
        <v/>
      </c>
      <c r="H51" s="820" t="str">
        <f>LivestockForageBalance!T121</f>
        <v/>
      </c>
      <c r="I51" s="820" t="str">
        <f>LivestockForageBalance!U121</f>
        <v/>
      </c>
      <c r="J51" s="820" t="str">
        <f>LivestockForageBalance!V121</f>
        <v/>
      </c>
      <c r="K51" s="820" t="str">
        <f>LivestockForageBalance!W121</f>
        <v/>
      </c>
      <c r="L51" s="820" t="str">
        <f>LivestockForageBalance!X121</f>
        <v/>
      </c>
      <c r="M51" s="823" t="str">
        <f>LivestockForageBalance!Y121</f>
        <v/>
      </c>
    </row>
    <row r="52" spans="1:13" ht="20.100000000000001" hidden="1" customHeight="1">
      <c r="A52" s="816">
        <f>Field11</f>
        <v>0</v>
      </c>
      <c r="B52" s="820" t="str">
        <f>LivestockForageBalance!N123</f>
        <v/>
      </c>
      <c r="C52" s="820" t="str">
        <f>LivestockForageBalance!O123</f>
        <v/>
      </c>
      <c r="D52" s="820" t="str">
        <f>LivestockForageBalance!P123</f>
        <v/>
      </c>
      <c r="E52" s="820" t="str">
        <f>LivestockForageBalance!Q123</f>
        <v/>
      </c>
      <c r="F52" s="820" t="str">
        <f>LivestockForageBalance!R123</f>
        <v/>
      </c>
      <c r="G52" s="820" t="str">
        <f>LivestockForageBalance!S123</f>
        <v/>
      </c>
      <c r="H52" s="820" t="str">
        <f>LivestockForageBalance!T123</f>
        <v/>
      </c>
      <c r="I52" s="820" t="str">
        <f>LivestockForageBalance!U123</f>
        <v/>
      </c>
      <c r="J52" s="820" t="str">
        <f>LivestockForageBalance!V123</f>
        <v/>
      </c>
      <c r="K52" s="820" t="str">
        <f>LivestockForageBalance!W123</f>
        <v/>
      </c>
      <c r="L52" s="820" t="str">
        <f>LivestockForageBalance!X123</f>
        <v/>
      </c>
      <c r="M52" s="823" t="str">
        <f>LivestockForageBalance!Y123</f>
        <v/>
      </c>
    </row>
    <row r="53" spans="1:13" ht="20.100000000000001" hidden="1" customHeight="1">
      <c r="A53" s="816">
        <f>Field12</f>
        <v>0</v>
      </c>
      <c r="B53" s="820" t="str">
        <f>LivestockForageBalance!N125</f>
        <v/>
      </c>
      <c r="C53" s="820" t="str">
        <f>LivestockForageBalance!O125</f>
        <v/>
      </c>
      <c r="D53" s="820" t="str">
        <f>LivestockForageBalance!P125</f>
        <v/>
      </c>
      <c r="E53" s="820" t="str">
        <f>LivestockForageBalance!Q125</f>
        <v/>
      </c>
      <c r="F53" s="820" t="str">
        <f>LivestockForageBalance!R125</f>
        <v/>
      </c>
      <c r="G53" s="820" t="str">
        <f>LivestockForageBalance!S125</f>
        <v/>
      </c>
      <c r="H53" s="820" t="str">
        <f>LivestockForageBalance!T125</f>
        <v/>
      </c>
      <c r="I53" s="820" t="str">
        <f>LivestockForageBalance!U125</f>
        <v/>
      </c>
      <c r="J53" s="820" t="str">
        <f>LivestockForageBalance!V125</f>
        <v/>
      </c>
      <c r="K53" s="820" t="str">
        <f>LivestockForageBalance!W125</f>
        <v/>
      </c>
      <c r="L53" s="820" t="str">
        <f>LivestockForageBalance!X125</f>
        <v/>
      </c>
      <c r="M53" s="823" t="str">
        <f>LivestockForageBalance!Y125</f>
        <v/>
      </c>
    </row>
    <row r="54" spans="1:13" ht="20.100000000000001" hidden="1" customHeight="1">
      <c r="A54" s="816">
        <f>Field13</f>
        <v>0</v>
      </c>
      <c r="B54" s="820" t="str">
        <f>LivestockForageBalance!N127</f>
        <v/>
      </c>
      <c r="C54" s="820" t="str">
        <f>LivestockForageBalance!O127</f>
        <v/>
      </c>
      <c r="D54" s="820" t="str">
        <f>LivestockForageBalance!P127</f>
        <v/>
      </c>
      <c r="E54" s="820" t="str">
        <f>LivestockForageBalance!Q127</f>
        <v/>
      </c>
      <c r="F54" s="820" t="str">
        <f>LivestockForageBalance!R127</f>
        <v/>
      </c>
      <c r="G54" s="820" t="str">
        <f>LivestockForageBalance!S127</f>
        <v/>
      </c>
      <c r="H54" s="820" t="str">
        <f>LivestockForageBalance!T127</f>
        <v/>
      </c>
      <c r="I54" s="820" t="str">
        <f>LivestockForageBalance!U127</f>
        <v/>
      </c>
      <c r="J54" s="820" t="str">
        <f>LivestockForageBalance!V127</f>
        <v/>
      </c>
      <c r="K54" s="820" t="str">
        <f>LivestockForageBalance!W127</f>
        <v/>
      </c>
      <c r="L54" s="820" t="str">
        <f>LivestockForageBalance!X127</f>
        <v/>
      </c>
      <c r="M54" s="823" t="str">
        <f>LivestockForageBalance!Y127</f>
        <v/>
      </c>
    </row>
    <row r="55" spans="1:13" ht="20.100000000000001" hidden="1" customHeight="1">
      <c r="A55" s="816">
        <f>Field14</f>
        <v>0</v>
      </c>
      <c r="B55" s="820" t="str">
        <f>LivestockForageBalance!N129</f>
        <v/>
      </c>
      <c r="C55" s="820" t="str">
        <f>LivestockForageBalance!O129</f>
        <v/>
      </c>
      <c r="D55" s="820" t="str">
        <f>LivestockForageBalance!P129</f>
        <v/>
      </c>
      <c r="E55" s="820" t="str">
        <f>LivestockForageBalance!Q129</f>
        <v/>
      </c>
      <c r="F55" s="820" t="str">
        <f>LivestockForageBalance!R129</f>
        <v/>
      </c>
      <c r="G55" s="820" t="str">
        <f>LivestockForageBalance!S129</f>
        <v/>
      </c>
      <c r="H55" s="820" t="str">
        <f>LivestockForageBalance!T129</f>
        <v/>
      </c>
      <c r="I55" s="820" t="str">
        <f>LivestockForageBalance!U129</f>
        <v/>
      </c>
      <c r="J55" s="820" t="str">
        <f>LivestockForageBalance!V129</f>
        <v/>
      </c>
      <c r="K55" s="820" t="str">
        <f>LivestockForageBalance!W129</f>
        <v/>
      </c>
      <c r="L55" s="820" t="str">
        <f>LivestockForageBalance!X129</f>
        <v/>
      </c>
      <c r="M55" s="823" t="str">
        <f>LivestockForageBalance!Y129</f>
        <v/>
      </c>
    </row>
    <row r="56" spans="1:13" ht="20.100000000000001" hidden="1" customHeight="1">
      <c r="A56" s="816">
        <f>Field15</f>
        <v>0</v>
      </c>
      <c r="B56" s="820" t="str">
        <f>LivestockForageBalance!N131</f>
        <v/>
      </c>
      <c r="C56" s="820" t="str">
        <f>LivestockForageBalance!O131</f>
        <v/>
      </c>
      <c r="D56" s="820" t="str">
        <f>LivestockForageBalance!P131</f>
        <v/>
      </c>
      <c r="E56" s="820" t="str">
        <f>LivestockForageBalance!Q131</f>
        <v/>
      </c>
      <c r="F56" s="820" t="str">
        <f>LivestockForageBalance!R131</f>
        <v/>
      </c>
      <c r="G56" s="820" t="str">
        <f>LivestockForageBalance!S131</f>
        <v/>
      </c>
      <c r="H56" s="820" t="str">
        <f>LivestockForageBalance!T131</f>
        <v/>
      </c>
      <c r="I56" s="820" t="str">
        <f>LivestockForageBalance!U131</f>
        <v/>
      </c>
      <c r="J56" s="820" t="str">
        <f>LivestockForageBalance!V131</f>
        <v/>
      </c>
      <c r="K56" s="820" t="str">
        <f>LivestockForageBalance!W131</f>
        <v/>
      </c>
      <c r="L56" s="820" t="str">
        <f>LivestockForageBalance!X131</f>
        <v/>
      </c>
      <c r="M56" s="823" t="str">
        <f>LivestockForageBalance!Y131</f>
        <v/>
      </c>
    </row>
    <row r="57" spans="1:13" ht="20.100000000000001" hidden="1" customHeight="1">
      <c r="A57" s="816">
        <f>Field16</f>
        <v>0</v>
      </c>
      <c r="B57" s="820" t="str">
        <f>LivestockForageBalance!N133</f>
        <v/>
      </c>
      <c r="C57" s="820" t="str">
        <f>LivestockForageBalance!O133</f>
        <v/>
      </c>
      <c r="D57" s="820" t="str">
        <f>LivestockForageBalance!P133</f>
        <v/>
      </c>
      <c r="E57" s="820" t="str">
        <f>LivestockForageBalance!Q133</f>
        <v/>
      </c>
      <c r="F57" s="820" t="str">
        <f>LivestockForageBalance!R133</f>
        <v/>
      </c>
      <c r="G57" s="820" t="str">
        <f>LivestockForageBalance!S133</f>
        <v/>
      </c>
      <c r="H57" s="820" t="str">
        <f>LivestockForageBalance!T133</f>
        <v/>
      </c>
      <c r="I57" s="820" t="str">
        <f>LivestockForageBalance!U133</f>
        <v/>
      </c>
      <c r="J57" s="820" t="str">
        <f>LivestockForageBalance!V133</f>
        <v/>
      </c>
      <c r="K57" s="820" t="str">
        <f>LivestockForageBalance!W133</f>
        <v/>
      </c>
      <c r="L57" s="820" t="str">
        <f>LivestockForageBalance!X133</f>
        <v/>
      </c>
      <c r="M57" s="823" t="str">
        <f>LivestockForageBalance!Y133</f>
        <v/>
      </c>
    </row>
    <row r="58" spans="1:13" ht="20.100000000000001" hidden="1" customHeight="1">
      <c r="A58" s="816">
        <f>Field17</f>
        <v>0</v>
      </c>
      <c r="B58" s="820" t="str">
        <f>LivestockForageBalance!N135</f>
        <v/>
      </c>
      <c r="C58" s="820" t="str">
        <f>LivestockForageBalance!O135</f>
        <v/>
      </c>
      <c r="D58" s="820" t="str">
        <f>LivestockForageBalance!P135</f>
        <v/>
      </c>
      <c r="E58" s="820" t="str">
        <f>LivestockForageBalance!Q135</f>
        <v/>
      </c>
      <c r="F58" s="820" t="str">
        <f>LivestockForageBalance!R135</f>
        <v/>
      </c>
      <c r="G58" s="820" t="str">
        <f>LivestockForageBalance!S135</f>
        <v/>
      </c>
      <c r="H58" s="820" t="str">
        <f>LivestockForageBalance!T135</f>
        <v/>
      </c>
      <c r="I58" s="820" t="str">
        <f>LivestockForageBalance!U135</f>
        <v/>
      </c>
      <c r="J58" s="820" t="str">
        <f>LivestockForageBalance!V135</f>
        <v/>
      </c>
      <c r="K58" s="820" t="str">
        <f>LivestockForageBalance!W135</f>
        <v/>
      </c>
      <c r="L58" s="820" t="str">
        <f>LivestockForageBalance!X135</f>
        <v/>
      </c>
      <c r="M58" s="823" t="str">
        <f>LivestockForageBalance!Y135</f>
        <v/>
      </c>
    </row>
    <row r="59" spans="1:13" ht="20.100000000000001" hidden="1" customHeight="1">
      <c r="A59" s="816">
        <f>Field18</f>
        <v>0</v>
      </c>
      <c r="B59" s="820" t="str">
        <f>LivestockForageBalance!N137</f>
        <v/>
      </c>
      <c r="C59" s="820" t="str">
        <f>LivestockForageBalance!O137</f>
        <v/>
      </c>
      <c r="D59" s="820" t="str">
        <f>LivestockForageBalance!P137</f>
        <v/>
      </c>
      <c r="E59" s="820" t="str">
        <f>LivestockForageBalance!Q137</f>
        <v/>
      </c>
      <c r="F59" s="820" t="str">
        <f>LivestockForageBalance!R137</f>
        <v/>
      </c>
      <c r="G59" s="820" t="str">
        <f>LivestockForageBalance!S137</f>
        <v/>
      </c>
      <c r="H59" s="820" t="str">
        <f>LivestockForageBalance!T137</f>
        <v/>
      </c>
      <c r="I59" s="820" t="str">
        <f>LivestockForageBalance!U137</f>
        <v/>
      </c>
      <c r="J59" s="820" t="str">
        <f>LivestockForageBalance!V137</f>
        <v/>
      </c>
      <c r="K59" s="820" t="str">
        <f>LivestockForageBalance!W137</f>
        <v/>
      </c>
      <c r="L59" s="820" t="str">
        <f>LivestockForageBalance!X137</f>
        <v/>
      </c>
      <c r="M59" s="823" t="str">
        <f>LivestockForageBalance!Y137</f>
        <v/>
      </c>
    </row>
    <row r="60" spans="1:13" ht="20.100000000000001" hidden="1" customHeight="1">
      <c r="A60" s="816">
        <f>Field19</f>
        <v>0</v>
      </c>
      <c r="B60" s="820" t="str">
        <f>LivestockForageBalance!N139</f>
        <v/>
      </c>
      <c r="C60" s="820" t="str">
        <f>LivestockForageBalance!O139</f>
        <v/>
      </c>
      <c r="D60" s="820" t="str">
        <f>LivestockForageBalance!P139</f>
        <v/>
      </c>
      <c r="E60" s="820" t="str">
        <f>LivestockForageBalance!Q139</f>
        <v/>
      </c>
      <c r="F60" s="820" t="str">
        <f>LivestockForageBalance!R139</f>
        <v/>
      </c>
      <c r="G60" s="820" t="str">
        <f>LivestockForageBalance!S139</f>
        <v/>
      </c>
      <c r="H60" s="820" t="str">
        <f>LivestockForageBalance!T139</f>
        <v/>
      </c>
      <c r="I60" s="820" t="str">
        <f>LivestockForageBalance!U139</f>
        <v/>
      </c>
      <c r="J60" s="820" t="str">
        <f>LivestockForageBalance!V139</f>
        <v/>
      </c>
      <c r="K60" s="820" t="str">
        <f>LivestockForageBalance!W139</f>
        <v/>
      </c>
      <c r="L60" s="820" t="str">
        <f>LivestockForageBalance!X139</f>
        <v/>
      </c>
      <c r="M60" s="823" t="str">
        <f>LivestockForageBalance!Y139</f>
        <v/>
      </c>
    </row>
    <row r="61" spans="1:13" ht="20.100000000000001" hidden="1" customHeight="1">
      <c r="A61" s="816">
        <f>Field20</f>
        <v>0</v>
      </c>
      <c r="B61" s="820" t="str">
        <f>LivestockForageBalance!N141</f>
        <v/>
      </c>
      <c r="C61" s="820" t="str">
        <f>LivestockForageBalance!O141</f>
        <v/>
      </c>
      <c r="D61" s="820" t="str">
        <f>LivestockForageBalance!P141</f>
        <v/>
      </c>
      <c r="E61" s="820" t="str">
        <f>LivestockForageBalance!Q141</f>
        <v/>
      </c>
      <c r="F61" s="820" t="str">
        <f>LivestockForageBalance!R141</f>
        <v/>
      </c>
      <c r="G61" s="820" t="str">
        <f>LivestockForageBalance!S141</f>
        <v/>
      </c>
      <c r="H61" s="820" t="str">
        <f>LivestockForageBalance!T141</f>
        <v/>
      </c>
      <c r="I61" s="820" t="str">
        <f>LivestockForageBalance!U141</f>
        <v/>
      </c>
      <c r="J61" s="820" t="str">
        <f>LivestockForageBalance!V141</f>
        <v/>
      </c>
      <c r="K61" s="820" t="str">
        <f>LivestockForageBalance!W141</f>
        <v/>
      </c>
      <c r="L61" s="820" t="str">
        <f>LivestockForageBalance!X141</f>
        <v/>
      </c>
      <c r="M61" s="823" t="str">
        <f>LivestockForageBalance!Y141</f>
        <v/>
      </c>
    </row>
    <row r="62" spans="1:13" ht="20.100000000000001" hidden="1" customHeight="1">
      <c r="A62" s="816">
        <f>Field21</f>
        <v>0</v>
      </c>
      <c r="B62" s="820" t="str">
        <f>LivestockForageBalance!N143</f>
        <v/>
      </c>
      <c r="C62" s="820" t="str">
        <f>LivestockForageBalance!O143</f>
        <v/>
      </c>
      <c r="D62" s="820" t="str">
        <f>LivestockForageBalance!P143</f>
        <v/>
      </c>
      <c r="E62" s="820" t="str">
        <f>LivestockForageBalance!Q143</f>
        <v/>
      </c>
      <c r="F62" s="820" t="str">
        <f>LivestockForageBalance!R143</f>
        <v/>
      </c>
      <c r="G62" s="820" t="str">
        <f>LivestockForageBalance!S143</f>
        <v/>
      </c>
      <c r="H62" s="820" t="str">
        <f>LivestockForageBalance!T143</f>
        <v/>
      </c>
      <c r="I62" s="820" t="str">
        <f>LivestockForageBalance!U143</f>
        <v/>
      </c>
      <c r="J62" s="820" t="str">
        <f>LivestockForageBalance!V143</f>
        <v/>
      </c>
      <c r="K62" s="820" t="str">
        <f>LivestockForageBalance!W143</f>
        <v/>
      </c>
      <c r="L62" s="820" t="str">
        <f>LivestockForageBalance!X143</f>
        <v/>
      </c>
      <c r="M62" s="823" t="str">
        <f>LivestockForageBalance!Y143</f>
        <v/>
      </c>
    </row>
    <row r="63" spans="1:13" ht="20.100000000000001" hidden="1" customHeight="1">
      <c r="A63" s="816">
        <f>Field22</f>
        <v>0</v>
      </c>
      <c r="B63" s="820" t="str">
        <f>LivestockForageBalance!N145</f>
        <v/>
      </c>
      <c r="C63" s="820" t="str">
        <f>LivestockForageBalance!O145</f>
        <v/>
      </c>
      <c r="D63" s="820" t="str">
        <f>LivestockForageBalance!P145</f>
        <v/>
      </c>
      <c r="E63" s="820" t="str">
        <f>LivestockForageBalance!Q145</f>
        <v/>
      </c>
      <c r="F63" s="820" t="str">
        <f>LivestockForageBalance!R145</f>
        <v/>
      </c>
      <c r="G63" s="820" t="str">
        <f>LivestockForageBalance!S145</f>
        <v/>
      </c>
      <c r="H63" s="820" t="str">
        <f>LivestockForageBalance!T145</f>
        <v/>
      </c>
      <c r="I63" s="820" t="str">
        <f>LivestockForageBalance!U145</f>
        <v/>
      </c>
      <c r="J63" s="820" t="str">
        <f>LivestockForageBalance!V145</f>
        <v/>
      </c>
      <c r="K63" s="820" t="str">
        <f>LivestockForageBalance!W145</f>
        <v/>
      </c>
      <c r="L63" s="820" t="str">
        <f>LivestockForageBalance!X145</f>
        <v/>
      </c>
      <c r="M63" s="823" t="str">
        <f>LivestockForageBalance!Y145</f>
        <v/>
      </c>
    </row>
    <row r="64" spans="1:13" ht="20.100000000000001" hidden="1" customHeight="1">
      <c r="A64" s="816">
        <f>Field23</f>
        <v>0</v>
      </c>
      <c r="B64" s="820" t="str">
        <f>LivestockForageBalance!N147</f>
        <v/>
      </c>
      <c r="C64" s="820" t="str">
        <f>LivestockForageBalance!O147</f>
        <v/>
      </c>
      <c r="D64" s="820" t="str">
        <f>LivestockForageBalance!P147</f>
        <v/>
      </c>
      <c r="E64" s="820" t="str">
        <f>LivestockForageBalance!Q147</f>
        <v/>
      </c>
      <c r="F64" s="820" t="str">
        <f>LivestockForageBalance!R147</f>
        <v/>
      </c>
      <c r="G64" s="820" t="str">
        <f>LivestockForageBalance!S147</f>
        <v/>
      </c>
      <c r="H64" s="820" t="str">
        <f>LivestockForageBalance!T147</f>
        <v/>
      </c>
      <c r="I64" s="820" t="str">
        <f>LivestockForageBalance!U147</f>
        <v/>
      </c>
      <c r="J64" s="820" t="str">
        <f>LivestockForageBalance!V147</f>
        <v/>
      </c>
      <c r="K64" s="820" t="str">
        <f>LivestockForageBalance!W147</f>
        <v/>
      </c>
      <c r="L64" s="820" t="str">
        <f>LivestockForageBalance!X147</f>
        <v/>
      </c>
      <c r="M64" s="823" t="str">
        <f>LivestockForageBalance!Y147</f>
        <v/>
      </c>
    </row>
    <row r="65" spans="1:13" ht="20.100000000000001" hidden="1" customHeight="1">
      <c r="A65" s="824">
        <f>Field24</f>
        <v>0</v>
      </c>
      <c r="B65" s="825" t="str">
        <f>LivestockForageBalance!N149</f>
        <v/>
      </c>
      <c r="C65" s="825" t="str">
        <f>LivestockForageBalance!O149</f>
        <v/>
      </c>
      <c r="D65" s="825" t="str">
        <f>LivestockForageBalance!P149</f>
        <v/>
      </c>
      <c r="E65" s="825" t="str">
        <f>LivestockForageBalance!Q149</f>
        <v/>
      </c>
      <c r="F65" s="825" t="str">
        <f>LivestockForageBalance!R149</f>
        <v/>
      </c>
      <c r="G65" s="825" t="str">
        <f>LivestockForageBalance!S149</f>
        <v/>
      </c>
      <c r="H65" s="825" t="str">
        <f>LivestockForageBalance!T149</f>
        <v/>
      </c>
      <c r="I65" s="825" t="str">
        <f>LivestockForageBalance!U149</f>
        <v/>
      </c>
      <c r="J65" s="825" t="str">
        <f>LivestockForageBalance!V149</f>
        <v/>
      </c>
      <c r="K65" s="825" t="str">
        <f>LivestockForageBalance!W149</f>
        <v/>
      </c>
      <c r="L65" s="825" t="str">
        <f>LivestockForageBalance!X149</f>
        <v/>
      </c>
      <c r="M65" s="826" t="str">
        <f>LivestockForageBalance!Y149</f>
        <v/>
      </c>
    </row>
    <row r="66" spans="1:13" ht="20.100000000000001" customHeight="1" thickBot="1">
      <c r="A66" s="1094" t="s">
        <v>340</v>
      </c>
      <c r="B66" s="827">
        <f>SUM(B42:B65)</f>
        <v>0</v>
      </c>
      <c r="C66" s="827">
        <f>SUM(C42:C65)</f>
        <v>0</v>
      </c>
      <c r="D66" s="827">
        <f t="shared" ref="D66:M66" si="1">SUM(D42:D65)</f>
        <v>0</v>
      </c>
      <c r="E66" s="827">
        <f t="shared" si="1"/>
        <v>0</v>
      </c>
      <c r="F66" s="827">
        <f t="shared" si="1"/>
        <v>0</v>
      </c>
      <c r="G66" s="827">
        <f t="shared" si="1"/>
        <v>0</v>
      </c>
      <c r="H66" s="827">
        <f t="shared" si="1"/>
        <v>0</v>
      </c>
      <c r="I66" s="827">
        <f t="shared" si="1"/>
        <v>0</v>
      </c>
      <c r="J66" s="827">
        <f t="shared" si="1"/>
        <v>0</v>
      </c>
      <c r="K66" s="827">
        <f t="shared" si="1"/>
        <v>0</v>
      </c>
      <c r="L66" s="827">
        <f t="shared" si="1"/>
        <v>0</v>
      </c>
      <c r="M66" s="847">
        <f t="shared" si="1"/>
        <v>0</v>
      </c>
    </row>
    <row r="67" spans="1:13" ht="12.75" thickBot="1"/>
    <row r="68" spans="1:13" ht="20.100000000000001" customHeight="1" thickBot="1">
      <c r="A68" s="1509" t="s">
        <v>600</v>
      </c>
      <c r="B68" s="1510"/>
      <c r="C68" s="1510"/>
      <c r="D68" s="1510"/>
      <c r="E68" s="1510"/>
      <c r="F68" s="1510"/>
      <c r="G68" s="1510"/>
      <c r="H68" s="1511"/>
      <c r="I68" s="798"/>
      <c r="J68" s="798"/>
    </row>
    <row r="69" spans="1:13" ht="20.100000000000001" customHeight="1">
      <c r="A69" s="795" t="s">
        <v>342</v>
      </c>
      <c r="B69" s="1458" t="s">
        <v>81</v>
      </c>
      <c r="C69" s="1459"/>
      <c r="D69" s="1494"/>
      <c r="E69" s="801"/>
      <c r="F69" s="1486" t="s">
        <v>685</v>
      </c>
      <c r="G69" s="802" t="s">
        <v>78</v>
      </c>
      <c r="H69" s="803" t="s">
        <v>88</v>
      </c>
      <c r="I69" s="828"/>
      <c r="J69" s="799"/>
      <c r="K69" s="799"/>
    </row>
    <row r="70" spans="1:13" ht="20.100000000000001" customHeight="1">
      <c r="A70" s="796" t="s">
        <v>359</v>
      </c>
      <c r="B70" s="1495"/>
      <c r="C70" s="1496"/>
      <c r="D70" s="1497"/>
      <c r="E70" s="806" t="s">
        <v>65</v>
      </c>
      <c r="F70" s="1487"/>
      <c r="G70" s="806" t="s">
        <v>66</v>
      </c>
      <c r="H70" s="807" t="s">
        <v>79</v>
      </c>
      <c r="I70" s="829" t="s">
        <v>80</v>
      </c>
      <c r="J70" s="783"/>
      <c r="K70" s="783"/>
    </row>
    <row r="71" spans="1:13" ht="20.100000000000001" customHeight="1">
      <c r="A71" s="797" t="s">
        <v>37</v>
      </c>
      <c r="B71" s="1498"/>
      <c r="C71" s="1499"/>
      <c r="D71" s="1500"/>
      <c r="E71" s="811" t="s">
        <v>82</v>
      </c>
      <c r="F71" s="812" t="s">
        <v>338</v>
      </c>
      <c r="G71" s="811" t="s">
        <v>83</v>
      </c>
      <c r="H71" s="812" t="s">
        <v>84</v>
      </c>
      <c r="I71" s="830" t="s">
        <v>83</v>
      </c>
      <c r="J71" s="799"/>
      <c r="K71" s="783"/>
    </row>
    <row r="72" spans="1:13" ht="20.100000000000001" customHeight="1">
      <c r="A72" s="835">
        <f>AltField1</f>
        <v>0</v>
      </c>
      <c r="B72" s="1519">
        <f>LivestockForageBalance!H199</f>
        <v>0</v>
      </c>
      <c r="C72" s="1520"/>
      <c r="D72" s="1521"/>
      <c r="E72" s="836">
        <f>AltAcres1</f>
        <v>0</v>
      </c>
      <c r="F72" s="837">
        <f>AltYield1</f>
        <v>0</v>
      </c>
      <c r="G72" s="837">
        <f>LivestockForageBalance!K199</f>
        <v>0</v>
      </c>
      <c r="H72" s="837">
        <f>AltEff1</f>
        <v>0</v>
      </c>
      <c r="I72" s="838">
        <f>LivestockForageBalance!M199</f>
        <v>0</v>
      </c>
      <c r="J72" s="789"/>
      <c r="K72" s="789"/>
    </row>
    <row r="73" spans="1:13" ht="20.100000000000001" hidden="1" customHeight="1">
      <c r="A73" s="839">
        <f>AltField2</f>
        <v>0</v>
      </c>
      <c r="B73" s="1516">
        <f>LivestockForageBalance!H200</f>
        <v>0</v>
      </c>
      <c r="C73" s="1517"/>
      <c r="D73" s="1518"/>
      <c r="E73" s="840">
        <f>AltAcres2</f>
        <v>0</v>
      </c>
      <c r="F73" s="841">
        <f>AltYield2</f>
        <v>0</v>
      </c>
      <c r="G73" s="841">
        <f>LivestockForageBalance!K200</f>
        <v>0</v>
      </c>
      <c r="H73" s="841">
        <f>AltEff2</f>
        <v>0</v>
      </c>
      <c r="I73" s="842">
        <f>LivestockForageBalance!M200</f>
        <v>0</v>
      </c>
      <c r="J73" s="789"/>
      <c r="K73" s="789"/>
    </row>
    <row r="74" spans="1:13" ht="20.100000000000001" hidden="1" customHeight="1">
      <c r="A74" s="839">
        <f>AltField3</f>
        <v>0</v>
      </c>
      <c r="B74" s="1516">
        <f>LivestockForageBalance!H201</f>
        <v>0</v>
      </c>
      <c r="C74" s="1517"/>
      <c r="D74" s="1518"/>
      <c r="E74" s="840">
        <f>AltAcres3</f>
        <v>0</v>
      </c>
      <c r="F74" s="841">
        <f>AltYield3</f>
        <v>0</v>
      </c>
      <c r="G74" s="841">
        <f>LivestockForageBalance!K201</f>
        <v>0</v>
      </c>
      <c r="H74" s="841">
        <f>AltEff3</f>
        <v>0</v>
      </c>
      <c r="I74" s="842">
        <f>LivestockForageBalance!M201</f>
        <v>0</v>
      </c>
      <c r="J74" s="789"/>
      <c r="K74" s="789"/>
    </row>
    <row r="75" spans="1:13" ht="20.100000000000001" hidden="1" customHeight="1">
      <c r="A75" s="839">
        <f>AltField4</f>
        <v>0</v>
      </c>
      <c r="B75" s="1516">
        <f>LivestockForageBalance!H202</f>
        <v>0</v>
      </c>
      <c r="C75" s="1517"/>
      <c r="D75" s="1518"/>
      <c r="E75" s="840">
        <f>AltAcres4</f>
        <v>0</v>
      </c>
      <c r="F75" s="841">
        <f>AltYield4</f>
        <v>0</v>
      </c>
      <c r="G75" s="841">
        <f>LivestockForageBalance!K202</f>
        <v>0</v>
      </c>
      <c r="H75" s="841">
        <f>AltEff4</f>
        <v>0</v>
      </c>
      <c r="I75" s="842">
        <f>LivestockForageBalance!M202</f>
        <v>0</v>
      </c>
      <c r="J75" s="789"/>
      <c r="K75" s="789"/>
    </row>
    <row r="76" spans="1:13" ht="20.100000000000001" hidden="1" customHeight="1">
      <c r="A76" s="839">
        <f>AltField5</f>
        <v>0</v>
      </c>
      <c r="B76" s="1516">
        <f>LivestockForageBalance!H203</f>
        <v>0</v>
      </c>
      <c r="C76" s="1517"/>
      <c r="D76" s="1518"/>
      <c r="E76" s="840">
        <f>AltAcres5</f>
        <v>0</v>
      </c>
      <c r="F76" s="841">
        <f>AltYield5</f>
        <v>0</v>
      </c>
      <c r="G76" s="841">
        <f>LivestockForageBalance!K203</f>
        <v>0</v>
      </c>
      <c r="H76" s="841">
        <f>AltEff5</f>
        <v>0</v>
      </c>
      <c r="I76" s="842">
        <f>LivestockForageBalance!M203</f>
        <v>0</v>
      </c>
      <c r="J76" s="789"/>
      <c r="K76" s="789"/>
    </row>
    <row r="77" spans="1:13" ht="20.100000000000001" hidden="1" customHeight="1">
      <c r="A77" s="843">
        <f>AltField6</f>
        <v>0</v>
      </c>
      <c r="B77" s="1513">
        <f>LivestockForageBalance!H204</f>
        <v>0</v>
      </c>
      <c r="C77" s="1514"/>
      <c r="D77" s="1515"/>
      <c r="E77" s="844">
        <f>AltAcres6</f>
        <v>0</v>
      </c>
      <c r="F77" s="845">
        <f>AltYield6</f>
        <v>0</v>
      </c>
      <c r="G77" s="845">
        <f>LivestockForageBalance!K204</f>
        <v>0</v>
      </c>
      <c r="H77" s="845">
        <f>AltEff6</f>
        <v>0</v>
      </c>
      <c r="I77" s="846">
        <f>LivestockForageBalance!M204</f>
        <v>0</v>
      </c>
      <c r="J77" s="789"/>
      <c r="K77" s="789"/>
    </row>
    <row r="78" spans="1:13" ht="20.100000000000001" customHeight="1" thickBot="1">
      <c r="A78" s="1506" t="s">
        <v>340</v>
      </c>
      <c r="B78" s="1507"/>
      <c r="C78" s="1507"/>
      <c r="D78" s="1508"/>
      <c r="E78" s="833">
        <f>SUM(E72:E77)</f>
        <v>0</v>
      </c>
      <c r="F78" s="833">
        <f>SUM(F72:F77)</f>
        <v>0</v>
      </c>
      <c r="G78" s="833">
        <f>SUM(G72:G77)</f>
        <v>0</v>
      </c>
      <c r="H78" s="848"/>
      <c r="I78" s="834">
        <f>SUM(I72:I77)</f>
        <v>0</v>
      </c>
    </row>
    <row r="79" spans="1:13" ht="12.75" thickBot="1"/>
    <row r="80" spans="1:13" ht="20.100000000000001" customHeight="1">
      <c r="A80" s="849" t="s">
        <v>342</v>
      </c>
      <c r="B80" s="1459" t="s">
        <v>438</v>
      </c>
      <c r="C80" s="1459"/>
      <c r="D80" s="1459"/>
      <c r="E80" s="1459"/>
      <c r="F80" s="1459"/>
      <c r="G80" s="1459"/>
      <c r="H80" s="1459"/>
      <c r="I80" s="1459"/>
      <c r="J80" s="1459"/>
      <c r="K80" s="1459"/>
      <c r="L80" s="1459"/>
      <c r="M80" s="1460"/>
    </row>
    <row r="81" spans="1:13" ht="20.100000000000001" customHeight="1">
      <c r="A81" s="850" t="s">
        <v>359</v>
      </c>
      <c r="B81" s="1496"/>
      <c r="C81" s="1496"/>
      <c r="D81" s="1496"/>
      <c r="E81" s="1496"/>
      <c r="F81" s="1496"/>
      <c r="G81" s="1496"/>
      <c r="H81" s="1496"/>
      <c r="I81" s="1496"/>
      <c r="J81" s="1496"/>
      <c r="K81" s="1496"/>
      <c r="L81" s="1496"/>
      <c r="M81" s="1505"/>
    </row>
    <row r="82" spans="1:13" ht="20.100000000000001" customHeight="1">
      <c r="A82" s="851" t="s">
        <v>37</v>
      </c>
      <c r="B82" s="790" t="s">
        <v>91</v>
      </c>
      <c r="C82" s="790" t="s">
        <v>40</v>
      </c>
      <c r="D82" s="790" t="s">
        <v>41</v>
      </c>
      <c r="E82" s="790" t="s">
        <v>42</v>
      </c>
      <c r="F82" s="790" t="s">
        <v>94</v>
      </c>
      <c r="G82" s="790" t="s">
        <v>330</v>
      </c>
      <c r="H82" s="790" t="s">
        <v>96</v>
      </c>
      <c r="I82" s="790" t="s">
        <v>97</v>
      </c>
      <c r="J82" s="790" t="s">
        <v>98</v>
      </c>
      <c r="K82" s="790" t="s">
        <v>331</v>
      </c>
      <c r="L82" s="790" t="s">
        <v>332</v>
      </c>
      <c r="M82" s="791" t="s">
        <v>90</v>
      </c>
    </row>
    <row r="83" spans="1:13" ht="20.100000000000001" customHeight="1">
      <c r="A83" s="852">
        <f>AltField1</f>
        <v>0</v>
      </c>
      <c r="B83" s="743" t="str">
        <f>LivestockForageBalance!N199</f>
        <v/>
      </c>
      <c r="C83" s="743" t="str">
        <f>LivestockForageBalance!O199</f>
        <v/>
      </c>
      <c r="D83" s="743" t="str">
        <f>LivestockForageBalance!P199</f>
        <v/>
      </c>
      <c r="E83" s="743" t="str">
        <f>LivestockForageBalance!Q199</f>
        <v/>
      </c>
      <c r="F83" s="743" t="str">
        <f>LivestockForageBalance!R199</f>
        <v/>
      </c>
      <c r="G83" s="743" t="str">
        <f>LivestockForageBalance!S199</f>
        <v/>
      </c>
      <c r="H83" s="743" t="str">
        <f>LivestockForageBalance!T199</f>
        <v/>
      </c>
      <c r="I83" s="743" t="str">
        <f>LivestockForageBalance!U199</f>
        <v/>
      </c>
      <c r="J83" s="743" t="str">
        <f>LivestockForageBalance!V199</f>
        <v/>
      </c>
      <c r="K83" s="743" t="str">
        <f>LivestockForageBalance!W199</f>
        <v/>
      </c>
      <c r="L83" s="743" t="str">
        <f>LivestockForageBalance!X199</f>
        <v/>
      </c>
      <c r="M83" s="853" t="str">
        <f>LivestockForageBalance!Y199</f>
        <v/>
      </c>
    </row>
    <row r="84" spans="1:13" ht="20.100000000000001" hidden="1" customHeight="1">
      <c r="A84" s="854">
        <f>AltField2</f>
        <v>0</v>
      </c>
      <c r="B84" s="744" t="str">
        <f>LivestockForageBalance!N200</f>
        <v/>
      </c>
      <c r="C84" s="744" t="str">
        <f>LivestockForageBalance!O200</f>
        <v/>
      </c>
      <c r="D84" s="744" t="str">
        <f>LivestockForageBalance!P200</f>
        <v/>
      </c>
      <c r="E84" s="744" t="str">
        <f>LivestockForageBalance!Q200</f>
        <v/>
      </c>
      <c r="F84" s="744" t="str">
        <f>LivestockForageBalance!R200</f>
        <v/>
      </c>
      <c r="G84" s="744" t="str">
        <f>LivestockForageBalance!S200</f>
        <v/>
      </c>
      <c r="H84" s="744" t="str">
        <f>LivestockForageBalance!T200</f>
        <v/>
      </c>
      <c r="I84" s="744" t="str">
        <f>LivestockForageBalance!U200</f>
        <v/>
      </c>
      <c r="J84" s="744" t="str">
        <f>LivestockForageBalance!V200</f>
        <v/>
      </c>
      <c r="K84" s="744" t="str">
        <f>LivestockForageBalance!W200</f>
        <v/>
      </c>
      <c r="L84" s="744" t="str">
        <f>LivestockForageBalance!X200</f>
        <v/>
      </c>
      <c r="M84" s="853" t="str">
        <f>LivestockForageBalance!Y200</f>
        <v/>
      </c>
    </row>
    <row r="85" spans="1:13" ht="20.100000000000001" hidden="1" customHeight="1">
      <c r="A85" s="854">
        <f>AltField3</f>
        <v>0</v>
      </c>
      <c r="B85" s="744" t="str">
        <f>LivestockForageBalance!N201</f>
        <v/>
      </c>
      <c r="C85" s="744" t="str">
        <f>LivestockForageBalance!O201</f>
        <v/>
      </c>
      <c r="D85" s="744" t="str">
        <f>LivestockForageBalance!P201</f>
        <v/>
      </c>
      <c r="E85" s="744" t="str">
        <f>LivestockForageBalance!Q201</f>
        <v/>
      </c>
      <c r="F85" s="744" t="str">
        <f>LivestockForageBalance!R201</f>
        <v/>
      </c>
      <c r="G85" s="744" t="str">
        <f>LivestockForageBalance!S201</f>
        <v/>
      </c>
      <c r="H85" s="744" t="str">
        <f>LivestockForageBalance!T201</f>
        <v/>
      </c>
      <c r="I85" s="744" t="str">
        <f>LivestockForageBalance!U201</f>
        <v/>
      </c>
      <c r="J85" s="744" t="str">
        <f>LivestockForageBalance!V201</f>
        <v/>
      </c>
      <c r="K85" s="744" t="str">
        <f>LivestockForageBalance!W201</f>
        <v/>
      </c>
      <c r="L85" s="744" t="str">
        <f>LivestockForageBalance!X201</f>
        <v/>
      </c>
      <c r="M85" s="853" t="str">
        <f>LivestockForageBalance!Y201</f>
        <v/>
      </c>
    </row>
    <row r="86" spans="1:13" ht="20.100000000000001" hidden="1" customHeight="1">
      <c r="A86" s="854">
        <f>AltField4</f>
        <v>0</v>
      </c>
      <c r="B86" s="744" t="str">
        <f>LivestockForageBalance!N202</f>
        <v/>
      </c>
      <c r="C86" s="744" t="str">
        <f>LivestockForageBalance!O202</f>
        <v/>
      </c>
      <c r="D86" s="744" t="str">
        <f>LivestockForageBalance!P202</f>
        <v/>
      </c>
      <c r="E86" s="744" t="str">
        <f>LivestockForageBalance!Q202</f>
        <v/>
      </c>
      <c r="F86" s="744" t="str">
        <f>LivestockForageBalance!R202</f>
        <v/>
      </c>
      <c r="G86" s="744" t="str">
        <f>LivestockForageBalance!S202</f>
        <v/>
      </c>
      <c r="H86" s="744" t="str">
        <f>LivestockForageBalance!T202</f>
        <v/>
      </c>
      <c r="I86" s="744" t="str">
        <f>LivestockForageBalance!U202</f>
        <v/>
      </c>
      <c r="J86" s="744" t="str">
        <f>LivestockForageBalance!V202</f>
        <v/>
      </c>
      <c r="K86" s="744" t="str">
        <f>LivestockForageBalance!W202</f>
        <v/>
      </c>
      <c r="L86" s="744" t="str">
        <f>LivestockForageBalance!X202</f>
        <v/>
      </c>
      <c r="M86" s="853" t="str">
        <f>LivestockForageBalance!Y202</f>
        <v/>
      </c>
    </row>
    <row r="87" spans="1:13" ht="20.100000000000001" hidden="1" customHeight="1">
      <c r="A87" s="854">
        <f>AltField5</f>
        <v>0</v>
      </c>
      <c r="B87" s="744" t="str">
        <f>LivestockForageBalance!N203</f>
        <v/>
      </c>
      <c r="C87" s="744" t="str">
        <f>LivestockForageBalance!O203</f>
        <v/>
      </c>
      <c r="D87" s="744" t="str">
        <f>LivestockForageBalance!P203</f>
        <v/>
      </c>
      <c r="E87" s="744" t="str">
        <f>LivestockForageBalance!Q203</f>
        <v/>
      </c>
      <c r="F87" s="744" t="str">
        <f>LivestockForageBalance!R203</f>
        <v/>
      </c>
      <c r="G87" s="744" t="str">
        <f>LivestockForageBalance!S203</f>
        <v/>
      </c>
      <c r="H87" s="744" t="str">
        <f>LivestockForageBalance!T203</f>
        <v/>
      </c>
      <c r="I87" s="744" t="str">
        <f>LivestockForageBalance!U203</f>
        <v/>
      </c>
      <c r="J87" s="744" t="str">
        <f>LivestockForageBalance!V203</f>
        <v/>
      </c>
      <c r="K87" s="744" t="str">
        <f>LivestockForageBalance!W203</f>
        <v/>
      </c>
      <c r="L87" s="744" t="str">
        <f>LivestockForageBalance!X203</f>
        <v/>
      </c>
      <c r="M87" s="853" t="str">
        <f>LivestockForageBalance!Y203</f>
        <v/>
      </c>
    </row>
    <row r="88" spans="1:13" ht="20.100000000000001" hidden="1" customHeight="1">
      <c r="A88" s="855">
        <f>AltField6</f>
        <v>0</v>
      </c>
      <c r="B88" s="758" t="str">
        <f>LivestockForageBalance!N204</f>
        <v/>
      </c>
      <c r="C88" s="758" t="str">
        <f>LivestockForageBalance!O204</f>
        <v/>
      </c>
      <c r="D88" s="758" t="str">
        <f>LivestockForageBalance!P204</f>
        <v/>
      </c>
      <c r="E88" s="758" t="str">
        <f>LivestockForageBalance!Q204</f>
        <v/>
      </c>
      <c r="F88" s="758" t="str">
        <f>LivestockForageBalance!R204</f>
        <v/>
      </c>
      <c r="G88" s="758" t="str">
        <f>LivestockForageBalance!S204</f>
        <v/>
      </c>
      <c r="H88" s="758" t="str">
        <f>LivestockForageBalance!T204</f>
        <v/>
      </c>
      <c r="I88" s="758" t="str">
        <f>LivestockForageBalance!U204</f>
        <v/>
      </c>
      <c r="J88" s="758" t="str">
        <f>LivestockForageBalance!V204</f>
        <v/>
      </c>
      <c r="K88" s="758" t="str">
        <f>LivestockForageBalance!W204</f>
        <v/>
      </c>
      <c r="L88" s="758" t="str">
        <f>LivestockForageBalance!X204</f>
        <v/>
      </c>
      <c r="M88" s="856" t="str">
        <f>LivestockForageBalance!Y204</f>
        <v/>
      </c>
    </row>
    <row r="89" spans="1:13" ht="20.100000000000001" customHeight="1" thickBot="1">
      <c r="A89" s="1095" t="s">
        <v>340</v>
      </c>
      <c r="B89" s="857">
        <f>SUM(B83:B88)</f>
        <v>0</v>
      </c>
      <c r="C89" s="858">
        <f t="shared" ref="C89:M89" si="2">SUM(C83:C88)</f>
        <v>0</v>
      </c>
      <c r="D89" s="857">
        <f t="shared" si="2"/>
        <v>0</v>
      </c>
      <c r="E89" s="857">
        <f t="shared" si="2"/>
        <v>0</v>
      </c>
      <c r="F89" s="857">
        <f t="shared" si="2"/>
        <v>0</v>
      </c>
      <c r="G89" s="857">
        <f t="shared" si="2"/>
        <v>0</v>
      </c>
      <c r="H89" s="857">
        <f t="shared" si="2"/>
        <v>0</v>
      </c>
      <c r="I89" s="857">
        <f t="shared" si="2"/>
        <v>0</v>
      </c>
      <c r="J89" s="857">
        <f t="shared" si="2"/>
        <v>0</v>
      </c>
      <c r="K89" s="857">
        <f t="shared" si="2"/>
        <v>0</v>
      </c>
      <c r="L89" s="857">
        <f t="shared" si="2"/>
        <v>0</v>
      </c>
      <c r="M89" s="859">
        <f t="shared" si="2"/>
        <v>0</v>
      </c>
    </row>
  </sheetData>
  <mergeCells count="42">
    <mergeCell ref="A6:K6"/>
    <mergeCell ref="B69:D71"/>
    <mergeCell ref="B77:D77"/>
    <mergeCell ref="B76:D76"/>
    <mergeCell ref="B75:D75"/>
    <mergeCell ref="B74:D74"/>
    <mergeCell ref="B73:D73"/>
    <mergeCell ref="B72:D72"/>
    <mergeCell ref="A34:D34"/>
    <mergeCell ref="B14:D14"/>
    <mergeCell ref="B13:D13"/>
    <mergeCell ref="B12:D12"/>
    <mergeCell ref="B11:D11"/>
    <mergeCell ref="B33:D33"/>
    <mergeCell ref="B32:D32"/>
    <mergeCell ref="B31:D31"/>
    <mergeCell ref="B30:D30"/>
    <mergeCell ref="B29:D29"/>
    <mergeCell ref="B28:D28"/>
    <mergeCell ref="B27:D27"/>
    <mergeCell ref="B26:D26"/>
    <mergeCell ref="B80:M81"/>
    <mergeCell ref="A78:D78"/>
    <mergeCell ref="F69:F70"/>
    <mergeCell ref="A68:H68"/>
    <mergeCell ref="A36:J37"/>
    <mergeCell ref="F7:F8"/>
    <mergeCell ref="A2:C2"/>
    <mergeCell ref="B39:M40"/>
    <mergeCell ref="B7:D9"/>
    <mergeCell ref="B10:D10"/>
    <mergeCell ref="B21:D21"/>
    <mergeCell ref="B20:D20"/>
    <mergeCell ref="B19:D19"/>
    <mergeCell ref="B18:D18"/>
    <mergeCell ref="B17:D17"/>
    <mergeCell ref="B16:D16"/>
    <mergeCell ref="B15:D15"/>
    <mergeCell ref="B25:D25"/>
    <mergeCell ref="B24:D24"/>
    <mergeCell ref="B23:D23"/>
    <mergeCell ref="B22:D22"/>
  </mergeCells>
  <printOptions horizontalCentered="1"/>
  <pageMargins left="0.2" right="0.2" top="0.5" bottom="0.5" header="0.3" footer="0.3"/>
  <pageSetup orientation="landscape" r:id="rId1"/>
  <rowBreaks count="2" manualBreakCount="2">
    <brk id="37" max="12" man="1"/>
    <brk id="66" max="12"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4">
    <pageSetUpPr fitToPage="1"/>
  </sheetPr>
  <dimension ref="A1:N42"/>
  <sheetViews>
    <sheetView topLeftCell="A4" zoomScaleNormal="100" workbookViewId="0">
      <selection activeCell="K25" sqref="K25"/>
    </sheetView>
  </sheetViews>
  <sheetFormatPr defaultRowHeight="12"/>
  <cols>
    <col min="1" max="1" width="29.875" customWidth="1"/>
  </cols>
  <sheetData>
    <row r="1" spans="1:14" ht="20.100000000000001" customHeight="1">
      <c r="A1" s="25" t="s">
        <v>611</v>
      </c>
    </row>
    <row r="2" spans="1:14" ht="20.100000000000001" customHeight="1">
      <c r="A2" s="4">
        <f>Name</f>
        <v>0</v>
      </c>
    </row>
    <row r="3" spans="1:14" ht="20.100000000000001" customHeight="1">
      <c r="A3" s="4" t="str">
        <f>ID</f>
        <v/>
      </c>
    </row>
    <row r="4" spans="1:14" ht="20.100000000000001" customHeight="1">
      <c r="A4" s="4" t="str">
        <f>Date</f>
        <v/>
      </c>
    </row>
    <row r="5" spans="1:14" ht="12.75" thickBot="1"/>
    <row r="6" spans="1:14" ht="20.100000000000001" customHeight="1">
      <c r="A6" s="860"/>
      <c r="B6" s="861" t="s">
        <v>340</v>
      </c>
      <c r="C6" s="862" t="s">
        <v>39</v>
      </c>
      <c r="D6" s="862" t="s">
        <v>40</v>
      </c>
      <c r="E6" s="862" t="s">
        <v>41</v>
      </c>
      <c r="F6" s="862" t="s">
        <v>42</v>
      </c>
      <c r="G6" s="862" t="s">
        <v>43</v>
      </c>
      <c r="H6" s="862" t="s">
        <v>44</v>
      </c>
      <c r="I6" s="862" t="s">
        <v>45</v>
      </c>
      <c r="J6" s="862" t="s">
        <v>46</v>
      </c>
      <c r="K6" s="862" t="s">
        <v>47</v>
      </c>
      <c r="L6" s="862" t="s">
        <v>48</v>
      </c>
      <c r="M6" s="862" t="s">
        <v>49</v>
      </c>
      <c r="N6" s="863" t="s">
        <v>50</v>
      </c>
    </row>
    <row r="7" spans="1:14" ht="20.100000000000001" customHeight="1">
      <c r="A7" s="864" t="s">
        <v>692</v>
      </c>
      <c r="B7" s="865"/>
      <c r="C7" s="865"/>
      <c r="D7" s="865"/>
      <c r="E7" s="865"/>
      <c r="F7" s="865"/>
      <c r="G7" s="865"/>
      <c r="H7" s="865"/>
      <c r="I7" s="865"/>
      <c r="J7" s="865"/>
      <c r="K7" s="865"/>
      <c r="L7" s="865"/>
      <c r="M7" s="865"/>
      <c r="N7" s="866"/>
    </row>
    <row r="8" spans="1:14" ht="20.100000000000001" customHeight="1">
      <c r="A8" s="867" t="s">
        <v>693</v>
      </c>
      <c r="B8" s="820">
        <f>LivestockForageBalance!M229</f>
        <v>0</v>
      </c>
      <c r="C8" s="820">
        <f>LivestockForageBalance!N229</f>
        <v>0</v>
      </c>
      <c r="D8" s="820">
        <f>LivestockForageBalance!O229</f>
        <v>0</v>
      </c>
      <c r="E8" s="820">
        <f>LivestockForageBalance!P229</f>
        <v>0</v>
      </c>
      <c r="F8" s="820">
        <f>LivestockForageBalance!Q229</f>
        <v>0</v>
      </c>
      <c r="G8" s="820">
        <f>LivestockForageBalance!R229</f>
        <v>0</v>
      </c>
      <c r="H8" s="820">
        <f>LivestockForageBalance!S229</f>
        <v>0</v>
      </c>
      <c r="I8" s="820">
        <f>LivestockForageBalance!T229</f>
        <v>0</v>
      </c>
      <c r="J8" s="820">
        <f>LivestockForageBalance!U229</f>
        <v>0</v>
      </c>
      <c r="K8" s="820">
        <f>LivestockForageBalance!V229</f>
        <v>0</v>
      </c>
      <c r="L8" s="820">
        <f>LivestockForageBalance!W229</f>
        <v>0</v>
      </c>
      <c r="M8" s="820">
        <f>LivestockForageBalance!X229</f>
        <v>0</v>
      </c>
      <c r="N8" s="823">
        <f>LivestockForageBalance!Y229</f>
        <v>0</v>
      </c>
    </row>
    <row r="9" spans="1:14" ht="20.100000000000001" customHeight="1">
      <c r="A9" s="867" t="s">
        <v>694</v>
      </c>
      <c r="B9" s="820">
        <f>LivestockForageBalance!M230</f>
        <v>0</v>
      </c>
      <c r="C9" s="820">
        <f>LivestockForageBalance!N230</f>
        <v>0</v>
      </c>
      <c r="D9" s="820">
        <f>LivestockForageBalance!O230</f>
        <v>0</v>
      </c>
      <c r="E9" s="820">
        <f>LivestockForageBalance!P230</f>
        <v>0</v>
      </c>
      <c r="F9" s="820">
        <f>LivestockForageBalance!Q230</f>
        <v>0</v>
      </c>
      <c r="G9" s="820">
        <f>LivestockForageBalance!R230</f>
        <v>0</v>
      </c>
      <c r="H9" s="820">
        <f>LivestockForageBalance!S230</f>
        <v>0</v>
      </c>
      <c r="I9" s="820">
        <f>LivestockForageBalance!T230</f>
        <v>0</v>
      </c>
      <c r="J9" s="820">
        <f>LivestockForageBalance!U230</f>
        <v>0</v>
      </c>
      <c r="K9" s="820">
        <f>LivestockForageBalance!V230</f>
        <v>0</v>
      </c>
      <c r="L9" s="820">
        <f>LivestockForageBalance!W230</f>
        <v>0</v>
      </c>
      <c r="M9" s="820">
        <f>LivestockForageBalance!X230</f>
        <v>0</v>
      </c>
      <c r="N9" s="823">
        <f>LivestockForageBalance!Y230</f>
        <v>0</v>
      </c>
    </row>
    <row r="10" spans="1:14" ht="20.100000000000001" customHeight="1">
      <c r="A10" s="867" t="s">
        <v>695</v>
      </c>
      <c r="B10" s="820">
        <f>LivestockForageBalance!M231</f>
        <v>0</v>
      </c>
      <c r="C10" s="820">
        <f>LivestockForageBalance!N231</f>
        <v>0</v>
      </c>
      <c r="D10" s="820">
        <f>LivestockForageBalance!O231</f>
        <v>0</v>
      </c>
      <c r="E10" s="820">
        <f>LivestockForageBalance!P231</f>
        <v>0</v>
      </c>
      <c r="F10" s="820">
        <f>LivestockForageBalance!Q231</f>
        <v>0</v>
      </c>
      <c r="G10" s="820">
        <f>LivestockForageBalance!R231</f>
        <v>0</v>
      </c>
      <c r="H10" s="820">
        <f>LivestockForageBalance!S231</f>
        <v>0</v>
      </c>
      <c r="I10" s="820">
        <f>LivestockForageBalance!T231</f>
        <v>0</v>
      </c>
      <c r="J10" s="820">
        <f>LivestockForageBalance!U231</f>
        <v>0</v>
      </c>
      <c r="K10" s="820">
        <f>LivestockForageBalance!V231</f>
        <v>0</v>
      </c>
      <c r="L10" s="820">
        <f>LivestockForageBalance!W231</f>
        <v>0</v>
      </c>
      <c r="M10" s="820">
        <f>LivestockForageBalance!X231</f>
        <v>0</v>
      </c>
      <c r="N10" s="823">
        <f>LivestockForageBalance!Y231</f>
        <v>0</v>
      </c>
    </row>
    <row r="11" spans="1:14" ht="20.100000000000001" customHeight="1">
      <c r="A11" s="1527" t="s">
        <v>696</v>
      </c>
      <c r="B11" s="1528"/>
      <c r="C11" s="820">
        <f>LivestockForageBalance!N232</f>
        <v>0</v>
      </c>
      <c r="D11" s="820">
        <f>LivestockForageBalance!O232</f>
        <v>0</v>
      </c>
      <c r="E11" s="820">
        <f>LivestockForageBalance!P232</f>
        <v>0</v>
      </c>
      <c r="F11" s="820">
        <f>LivestockForageBalance!Q232</f>
        <v>0</v>
      </c>
      <c r="G11" s="820">
        <f>LivestockForageBalance!R232</f>
        <v>0</v>
      </c>
      <c r="H11" s="820">
        <f>LivestockForageBalance!S232</f>
        <v>0</v>
      </c>
      <c r="I11" s="820">
        <f>LivestockForageBalance!T232</f>
        <v>0</v>
      </c>
      <c r="J11" s="820">
        <f>LivestockForageBalance!U232</f>
        <v>0</v>
      </c>
      <c r="K11" s="820">
        <f>LivestockForageBalance!V232</f>
        <v>0</v>
      </c>
      <c r="L11" s="820">
        <f>LivestockForageBalance!W232</f>
        <v>0</v>
      </c>
      <c r="M11" s="820">
        <f>LivestockForageBalance!X232</f>
        <v>0</v>
      </c>
      <c r="N11" s="823">
        <f>LivestockForageBalance!Y232</f>
        <v>0</v>
      </c>
    </row>
    <row r="12" spans="1:14" ht="20.100000000000001" customHeight="1">
      <c r="A12" s="871" t="s">
        <v>835</v>
      </c>
      <c r="B12" s="825"/>
      <c r="C12" s="1121" t="e">
        <f>LivestockForageBalance!N233</f>
        <v>#DIV/0!</v>
      </c>
      <c r="D12" s="1121" t="e">
        <f>LivestockForageBalance!O233</f>
        <v>#DIV/0!</v>
      </c>
      <c r="E12" s="1121" t="e">
        <f>LivestockForageBalance!P233</f>
        <v>#DIV/0!</v>
      </c>
      <c r="F12" s="1121" t="e">
        <f>LivestockForageBalance!Q233</f>
        <v>#DIV/0!</v>
      </c>
      <c r="G12" s="1121" t="e">
        <f>LivestockForageBalance!R233</f>
        <v>#DIV/0!</v>
      </c>
      <c r="H12" s="1121" t="e">
        <f>LivestockForageBalance!S233</f>
        <v>#DIV/0!</v>
      </c>
      <c r="I12" s="1121" t="e">
        <f>LivestockForageBalance!T233</f>
        <v>#DIV/0!</v>
      </c>
      <c r="J12" s="1121" t="e">
        <f>LivestockForageBalance!U233</f>
        <v>#DIV/0!</v>
      </c>
      <c r="K12" s="1121" t="e">
        <f>LivestockForageBalance!V233</f>
        <v>#DIV/0!</v>
      </c>
      <c r="L12" s="1121" t="e">
        <f>LivestockForageBalance!W233</f>
        <v>#DIV/0!</v>
      </c>
      <c r="M12" s="1121" t="e">
        <f>LivestockForageBalance!X233</f>
        <v>#DIV/0!</v>
      </c>
      <c r="N12" s="1122" t="e">
        <f>LivestockForageBalance!Y233</f>
        <v>#DIV/0!</v>
      </c>
    </row>
    <row r="13" spans="1:14" ht="20.100000000000001" customHeight="1">
      <c r="A13" s="864" t="s">
        <v>400</v>
      </c>
      <c r="B13" s="820"/>
      <c r="C13" s="820"/>
      <c r="D13" s="820"/>
      <c r="E13" s="820"/>
      <c r="F13" s="820"/>
      <c r="G13" s="820"/>
      <c r="H13" s="820"/>
      <c r="I13" s="820"/>
      <c r="J13" s="820"/>
      <c r="K13" s="820"/>
      <c r="L13" s="820"/>
      <c r="M13" s="820"/>
      <c r="N13" s="823"/>
    </row>
    <row r="14" spans="1:14" ht="20.100000000000001" customHeight="1">
      <c r="A14" s="867" t="s">
        <v>693</v>
      </c>
      <c r="B14" s="820">
        <f>LivestockForageBalance!M235</f>
        <v>0</v>
      </c>
      <c r="C14" s="820">
        <f>LivestockForageBalance!N235</f>
        <v>0</v>
      </c>
      <c r="D14" s="820">
        <f>LivestockForageBalance!O235</f>
        <v>0</v>
      </c>
      <c r="E14" s="820">
        <f>LivestockForageBalance!P235</f>
        <v>0</v>
      </c>
      <c r="F14" s="820">
        <f>LivestockForageBalance!Q235</f>
        <v>0</v>
      </c>
      <c r="G14" s="820">
        <f>LivestockForageBalance!R235</f>
        <v>0</v>
      </c>
      <c r="H14" s="820">
        <f>LivestockForageBalance!S235</f>
        <v>0</v>
      </c>
      <c r="I14" s="820">
        <f>LivestockForageBalance!T235</f>
        <v>0</v>
      </c>
      <c r="J14" s="820">
        <f>LivestockForageBalance!U235</f>
        <v>0</v>
      </c>
      <c r="K14" s="820">
        <f>LivestockForageBalance!V235</f>
        <v>0</v>
      </c>
      <c r="L14" s="820">
        <f>LivestockForageBalance!W235</f>
        <v>0</v>
      </c>
      <c r="M14" s="820">
        <f>LivestockForageBalance!X235</f>
        <v>0</v>
      </c>
      <c r="N14" s="823">
        <f>LivestockForageBalance!Y235</f>
        <v>0</v>
      </c>
    </row>
    <row r="15" spans="1:14" ht="20.100000000000001" customHeight="1">
      <c r="A15" s="867" t="s">
        <v>694</v>
      </c>
      <c r="B15" s="820">
        <f>LivestockForageBalance!M236</f>
        <v>0</v>
      </c>
      <c r="C15" s="820">
        <f>LivestockForageBalance!N236</f>
        <v>0</v>
      </c>
      <c r="D15" s="820">
        <f>LivestockForageBalance!O236</f>
        <v>0</v>
      </c>
      <c r="E15" s="820">
        <f>LivestockForageBalance!P236</f>
        <v>0</v>
      </c>
      <c r="F15" s="820">
        <f>LivestockForageBalance!Q236</f>
        <v>0</v>
      </c>
      <c r="G15" s="820">
        <f>LivestockForageBalance!R236</f>
        <v>0</v>
      </c>
      <c r="H15" s="820">
        <f>LivestockForageBalance!S236</f>
        <v>0</v>
      </c>
      <c r="I15" s="820">
        <f>LivestockForageBalance!T236</f>
        <v>0</v>
      </c>
      <c r="J15" s="820">
        <f>LivestockForageBalance!U236</f>
        <v>0</v>
      </c>
      <c r="K15" s="820">
        <f>LivestockForageBalance!V236</f>
        <v>0</v>
      </c>
      <c r="L15" s="820">
        <f>LivestockForageBalance!W236</f>
        <v>0</v>
      </c>
      <c r="M15" s="820">
        <f>LivestockForageBalance!X236</f>
        <v>0</v>
      </c>
      <c r="N15" s="823">
        <f>LivestockForageBalance!Y236</f>
        <v>0</v>
      </c>
    </row>
    <row r="16" spans="1:14" ht="20.100000000000001" customHeight="1">
      <c r="A16" s="867" t="s">
        <v>695</v>
      </c>
      <c r="B16" s="820">
        <f>LivestockForageBalance!M237</f>
        <v>0</v>
      </c>
      <c r="C16" s="820">
        <f>LivestockForageBalance!N237</f>
        <v>0</v>
      </c>
      <c r="D16" s="820">
        <f>LivestockForageBalance!O237</f>
        <v>0</v>
      </c>
      <c r="E16" s="820">
        <f>LivestockForageBalance!P237</f>
        <v>0</v>
      </c>
      <c r="F16" s="820">
        <f>LivestockForageBalance!Q237</f>
        <v>0</v>
      </c>
      <c r="G16" s="820">
        <f>LivestockForageBalance!R237</f>
        <v>0</v>
      </c>
      <c r="H16" s="820">
        <f>LivestockForageBalance!S237</f>
        <v>0</v>
      </c>
      <c r="I16" s="820">
        <f>LivestockForageBalance!T237</f>
        <v>0</v>
      </c>
      <c r="J16" s="820">
        <f>LivestockForageBalance!U237</f>
        <v>0</v>
      </c>
      <c r="K16" s="820">
        <f>LivestockForageBalance!V237</f>
        <v>0</v>
      </c>
      <c r="L16" s="820">
        <f>LivestockForageBalance!W237</f>
        <v>0</v>
      </c>
      <c r="M16" s="820">
        <f>LivestockForageBalance!X237</f>
        <v>0</v>
      </c>
      <c r="N16" s="823">
        <f>LivestockForageBalance!Y237</f>
        <v>0</v>
      </c>
    </row>
    <row r="17" spans="1:14" ht="20.100000000000001" customHeight="1">
      <c r="A17" s="1527" t="s">
        <v>696</v>
      </c>
      <c r="B17" s="1528"/>
      <c r="C17" s="820">
        <f>LivestockForageBalance!N238</f>
        <v>0</v>
      </c>
      <c r="D17" s="820">
        <f>LivestockForageBalance!O238</f>
        <v>0</v>
      </c>
      <c r="E17" s="820">
        <f>LivestockForageBalance!P238</f>
        <v>0</v>
      </c>
      <c r="F17" s="820">
        <f>LivestockForageBalance!Q238</f>
        <v>0</v>
      </c>
      <c r="G17" s="820">
        <f>LivestockForageBalance!R238</f>
        <v>0</v>
      </c>
      <c r="H17" s="820">
        <f>LivestockForageBalance!S238</f>
        <v>0</v>
      </c>
      <c r="I17" s="820">
        <f>LivestockForageBalance!T238</f>
        <v>0</v>
      </c>
      <c r="J17" s="820">
        <f>LivestockForageBalance!U238</f>
        <v>0</v>
      </c>
      <c r="K17" s="820">
        <f>LivestockForageBalance!V238</f>
        <v>0</v>
      </c>
      <c r="L17" s="820">
        <f>LivestockForageBalance!W238</f>
        <v>0</v>
      </c>
      <c r="M17" s="820">
        <f>LivestockForageBalance!X238</f>
        <v>0</v>
      </c>
      <c r="N17" s="823">
        <f>LivestockForageBalance!Y238</f>
        <v>0</v>
      </c>
    </row>
    <row r="18" spans="1:14" ht="20.100000000000001" customHeight="1">
      <c r="A18" s="871" t="str">
        <f>LivestockForageBalance!K239</f>
        <v>Grand Total Percentage/Feed Balance</v>
      </c>
      <c r="B18" s="825"/>
      <c r="C18" s="1254" t="e">
        <f>LivestockForageBalance!N239</f>
        <v>#DIV/0!</v>
      </c>
      <c r="D18" s="1254" t="e">
        <f>LivestockForageBalance!O239</f>
        <v>#DIV/0!</v>
      </c>
      <c r="E18" s="1254" t="e">
        <f>LivestockForageBalance!P239</f>
        <v>#DIV/0!</v>
      </c>
      <c r="F18" s="1254" t="e">
        <f>LivestockForageBalance!Q239</f>
        <v>#DIV/0!</v>
      </c>
      <c r="G18" s="1254" t="e">
        <f>LivestockForageBalance!R239</f>
        <v>#DIV/0!</v>
      </c>
      <c r="H18" s="1254" t="e">
        <f>LivestockForageBalance!S239</f>
        <v>#DIV/0!</v>
      </c>
      <c r="I18" s="1254" t="e">
        <f>LivestockForageBalance!T239</f>
        <v>#DIV/0!</v>
      </c>
      <c r="J18" s="1254" t="e">
        <f>LivestockForageBalance!U239</f>
        <v>#DIV/0!</v>
      </c>
      <c r="K18" s="1254" t="e">
        <f>LivestockForageBalance!V239</f>
        <v>#DIV/0!</v>
      </c>
      <c r="L18" s="1254" t="e">
        <f>LivestockForageBalance!W239</f>
        <v>#DIV/0!</v>
      </c>
      <c r="M18" s="1254" t="e">
        <f>LivestockForageBalance!X239</f>
        <v>#DIV/0!</v>
      </c>
      <c r="N18" s="1254" t="e">
        <f>LivestockForageBalance!Y239</f>
        <v>#DIV/0!</v>
      </c>
    </row>
    <row r="19" spans="1:14" ht="20.100000000000001" customHeight="1">
      <c r="A19" s="864" t="s">
        <v>358</v>
      </c>
      <c r="B19" s="820"/>
      <c r="C19" s="820"/>
      <c r="D19" s="820"/>
      <c r="E19" s="820"/>
      <c r="F19" s="820"/>
      <c r="G19" s="820"/>
      <c r="H19" s="820"/>
      <c r="I19" s="820"/>
      <c r="J19" s="820"/>
      <c r="K19" s="820"/>
      <c r="L19" s="820"/>
      <c r="M19" s="820"/>
      <c r="N19" s="823"/>
    </row>
    <row r="20" spans="1:14" ht="20.100000000000001" customHeight="1">
      <c r="A20" s="867" t="s">
        <v>693</v>
      </c>
      <c r="B20" s="820" t="str">
        <f>LivestockForageBalance!M240</f>
        <v>0</v>
      </c>
      <c r="C20" s="820" t="str">
        <f>LivestockForageBalance!N240</f>
        <v>0</v>
      </c>
      <c r="D20" s="820" t="str">
        <f>LivestockForageBalance!O240</f>
        <v>0</v>
      </c>
      <c r="E20" s="820" t="str">
        <f>LivestockForageBalance!P240</f>
        <v>0</v>
      </c>
      <c r="F20" s="820" t="str">
        <f>LivestockForageBalance!Q240</f>
        <v>0</v>
      </c>
      <c r="G20" s="820" t="str">
        <f>LivestockForageBalance!R240</f>
        <v>0</v>
      </c>
      <c r="H20" s="820" t="str">
        <f>LivestockForageBalance!S240</f>
        <v>0</v>
      </c>
      <c r="I20" s="820" t="str">
        <f>LivestockForageBalance!T240</f>
        <v>0</v>
      </c>
      <c r="J20" s="820" t="str">
        <f>LivestockForageBalance!U240</f>
        <v>0</v>
      </c>
      <c r="K20" s="820" t="str">
        <f>LivestockForageBalance!V240</f>
        <v>0</v>
      </c>
      <c r="L20" s="820" t="str">
        <f>LivestockForageBalance!W240</f>
        <v>0</v>
      </c>
      <c r="M20" s="820" t="str">
        <f>LivestockForageBalance!X240</f>
        <v>0</v>
      </c>
      <c r="N20" s="823" t="str">
        <f>LivestockForageBalance!Y240</f>
        <v>0</v>
      </c>
    </row>
    <row r="21" spans="1:14" ht="20.100000000000001" customHeight="1" thickBot="1">
      <c r="A21" s="868" t="s">
        <v>694</v>
      </c>
      <c r="B21" s="869">
        <f>LivestockForageBalance!M241</f>
        <v>0</v>
      </c>
      <c r="C21" s="869">
        <f>LivestockForageBalance!N241</f>
        <v>0</v>
      </c>
      <c r="D21" s="869">
        <f>LivestockForageBalance!O241</f>
        <v>0</v>
      </c>
      <c r="E21" s="869">
        <f>LivestockForageBalance!P241</f>
        <v>0</v>
      </c>
      <c r="F21" s="869">
        <f>LivestockForageBalance!Q241</f>
        <v>0</v>
      </c>
      <c r="G21" s="869">
        <f>LivestockForageBalance!R241</f>
        <v>0</v>
      </c>
      <c r="H21" s="869">
        <f>LivestockForageBalance!S241</f>
        <v>0</v>
      </c>
      <c r="I21" s="869">
        <f>LivestockForageBalance!T241</f>
        <v>0</v>
      </c>
      <c r="J21" s="869">
        <f>LivestockForageBalance!U241</f>
        <v>0</v>
      </c>
      <c r="K21" s="869">
        <f>LivestockForageBalance!V241</f>
        <v>0</v>
      </c>
      <c r="L21" s="869">
        <f>LivestockForageBalance!W241</f>
        <v>0</v>
      </c>
      <c r="M21" s="869">
        <f>LivestockForageBalance!X241</f>
        <v>0</v>
      </c>
      <c r="N21" s="870">
        <f>LivestockForageBalance!Y241</f>
        <v>0</v>
      </c>
    </row>
    <row r="22" spans="1:14" ht="17.25" thickBot="1">
      <c r="A22" s="782"/>
      <c r="B22" s="782"/>
      <c r="C22" s="782"/>
      <c r="D22" s="782"/>
      <c r="E22" s="782"/>
      <c r="F22" s="782"/>
      <c r="G22" s="782"/>
      <c r="H22" s="782"/>
      <c r="I22" s="782"/>
      <c r="J22" s="782"/>
      <c r="K22" s="782"/>
      <c r="L22" s="782"/>
      <c r="M22" s="782"/>
      <c r="N22" s="782"/>
    </row>
    <row r="23" spans="1:14" ht="20.100000000000001" customHeight="1">
      <c r="A23" s="1531" t="s">
        <v>697</v>
      </c>
      <c r="B23" s="1532"/>
      <c r="C23" s="1532"/>
      <c r="D23" s="1532"/>
      <c r="E23" s="1532"/>
      <c r="F23" s="1532"/>
      <c r="G23" s="1532"/>
      <c r="H23" s="887"/>
      <c r="I23" s="782"/>
      <c r="J23" s="782"/>
      <c r="K23" s="782"/>
      <c r="L23" s="782"/>
      <c r="M23" s="782"/>
      <c r="N23" s="782"/>
    </row>
    <row r="24" spans="1:14" ht="9" customHeight="1">
      <c r="A24" s="879"/>
      <c r="B24" s="880"/>
      <c r="C24" s="880"/>
      <c r="D24" s="880"/>
      <c r="E24" s="880"/>
      <c r="F24" s="880"/>
      <c r="G24" s="880"/>
      <c r="H24" s="732"/>
      <c r="I24" s="782"/>
      <c r="J24" s="782"/>
      <c r="K24" s="782"/>
      <c r="L24" s="782"/>
      <c r="M24" s="782"/>
      <c r="N24" s="782"/>
    </row>
    <row r="25" spans="1:14" ht="20.100000000000001" customHeight="1">
      <c r="A25" s="1529" t="s">
        <v>236</v>
      </c>
      <c r="B25" s="1530"/>
      <c r="C25" s="1530"/>
      <c r="D25" s="1530"/>
      <c r="E25" s="1530"/>
      <c r="F25" s="1530"/>
      <c r="G25" s="891">
        <f>LivestockForageBalance!N246</f>
        <v>0</v>
      </c>
      <c r="H25" s="888" t="s">
        <v>493</v>
      </c>
      <c r="I25" s="782"/>
      <c r="J25" s="782"/>
      <c r="K25" s="782"/>
      <c r="L25" s="782"/>
      <c r="M25" s="782"/>
      <c r="N25" s="782"/>
    </row>
    <row r="26" spans="1:14" ht="20.100000000000001" customHeight="1">
      <c r="A26" s="1529" t="s">
        <v>515</v>
      </c>
      <c r="B26" s="1530"/>
      <c r="C26" s="1530"/>
      <c r="D26" s="1530"/>
      <c r="E26" s="1530"/>
      <c r="F26" s="1530"/>
      <c r="G26" s="891">
        <f>LivestockForageBalance!N248</f>
        <v>0</v>
      </c>
      <c r="H26" s="888" t="s">
        <v>493</v>
      </c>
    </row>
    <row r="27" spans="1:14" ht="20.100000000000001" customHeight="1">
      <c r="A27" s="1533" t="s">
        <v>495</v>
      </c>
      <c r="B27" s="1534"/>
      <c r="C27" s="1534"/>
      <c r="D27" s="1534"/>
      <c r="E27" s="1534"/>
      <c r="F27" s="1534"/>
      <c r="G27" s="891"/>
      <c r="H27" s="888"/>
    </row>
    <row r="28" spans="1:14" ht="20.100000000000001" customHeight="1">
      <c r="A28" s="1529" t="s">
        <v>507</v>
      </c>
      <c r="B28" s="1530"/>
      <c r="C28" s="1530"/>
      <c r="D28" s="1530"/>
      <c r="E28" s="1530"/>
      <c r="F28" s="1530"/>
      <c r="G28" s="891">
        <f>LivestockForageBalance!N250</f>
        <v>0</v>
      </c>
      <c r="H28" s="888" t="s">
        <v>493</v>
      </c>
    </row>
    <row r="29" spans="1:14" ht="20.100000000000001" customHeight="1">
      <c r="A29" s="882"/>
      <c r="B29" s="881"/>
      <c r="C29" s="881"/>
      <c r="D29" s="881"/>
      <c r="E29" s="881"/>
      <c r="F29" s="881"/>
      <c r="G29" s="891"/>
      <c r="H29" s="888"/>
    </row>
    <row r="30" spans="1:14" ht="20.100000000000001" customHeight="1">
      <c r="A30" s="883"/>
      <c r="B30" s="1537" t="s">
        <v>516</v>
      </c>
      <c r="C30" s="1537"/>
      <c r="D30" s="1537"/>
      <c r="E30" s="1537"/>
      <c r="F30" s="1537"/>
      <c r="G30" s="891">
        <f>LivestockForageBalance!N254</f>
        <v>0</v>
      </c>
      <c r="H30" s="888" t="s">
        <v>493</v>
      </c>
    </row>
    <row r="31" spans="1:14" ht="20.100000000000001" customHeight="1">
      <c r="A31" s="884"/>
      <c r="B31" s="872"/>
      <c r="C31" s="1530" t="s">
        <v>698</v>
      </c>
      <c r="D31" s="1530"/>
      <c r="E31" s="1530"/>
      <c r="F31" s="1530"/>
      <c r="G31" s="891">
        <f>SumLoss1</f>
        <v>0</v>
      </c>
      <c r="H31" s="888" t="s">
        <v>509</v>
      </c>
    </row>
    <row r="32" spans="1:14" ht="20.100000000000001" customHeight="1">
      <c r="A32" s="883"/>
      <c r="B32" s="1530" t="s">
        <v>510</v>
      </c>
      <c r="C32" s="1530"/>
      <c r="D32" s="1530"/>
      <c r="E32" s="1530"/>
      <c r="F32" s="1530"/>
      <c r="G32" s="891">
        <f>LivestockForageBalance!N256</f>
        <v>0</v>
      </c>
      <c r="H32" s="888" t="s">
        <v>493</v>
      </c>
    </row>
    <row r="33" spans="1:8" ht="20.100000000000001" customHeight="1">
      <c r="A33" s="883"/>
      <c r="B33" s="873"/>
      <c r="C33" s="873"/>
      <c r="D33" s="873"/>
      <c r="E33" s="873"/>
      <c r="F33" s="873"/>
      <c r="G33" s="891"/>
      <c r="H33" s="888"/>
    </row>
    <row r="34" spans="1:8" ht="20.100000000000001" customHeight="1">
      <c r="A34" s="883"/>
      <c r="B34" s="1530" t="s">
        <v>494</v>
      </c>
      <c r="C34" s="1530"/>
      <c r="D34" s="1530"/>
      <c r="E34" s="1530"/>
      <c r="F34" s="1530"/>
      <c r="G34" s="891">
        <f>SumCarryoverHay</f>
        <v>0</v>
      </c>
      <c r="H34" s="888" t="s">
        <v>493</v>
      </c>
    </row>
    <row r="35" spans="1:8" ht="20.100000000000001" customHeight="1">
      <c r="A35" s="883"/>
      <c r="B35" s="873"/>
      <c r="C35" s="1530" t="s">
        <v>698</v>
      </c>
      <c r="D35" s="1530"/>
      <c r="E35" s="1530"/>
      <c r="F35" s="1530"/>
      <c r="G35" s="891">
        <f>SumLoss2</f>
        <v>0</v>
      </c>
      <c r="H35" s="888" t="s">
        <v>509</v>
      </c>
    </row>
    <row r="36" spans="1:8" ht="20.100000000000001" customHeight="1">
      <c r="A36" s="884"/>
      <c r="B36" s="874"/>
      <c r="C36" s="872"/>
      <c r="D36" s="1530" t="s">
        <v>511</v>
      </c>
      <c r="E36" s="1530"/>
      <c r="F36" s="1530"/>
      <c r="G36" s="891">
        <f>LivestockForageBalance!N260</f>
        <v>0</v>
      </c>
      <c r="H36" s="888" t="s">
        <v>493</v>
      </c>
    </row>
    <row r="37" spans="1:8" ht="20.100000000000001" customHeight="1">
      <c r="A37" s="883"/>
      <c r="B37" s="874"/>
      <c r="C37" s="875"/>
      <c r="D37" s="876"/>
      <c r="E37" s="877"/>
      <c r="F37" s="878"/>
      <c r="G37" s="891"/>
      <c r="H37" s="888"/>
    </row>
    <row r="38" spans="1:8" ht="20.100000000000001" customHeight="1">
      <c r="A38" s="1529" t="s">
        <v>264</v>
      </c>
      <c r="B38" s="1530"/>
      <c r="C38" s="1530"/>
      <c r="D38" s="1530"/>
      <c r="E38" s="1530"/>
      <c r="F38" s="1530"/>
      <c r="G38" s="891">
        <f>SumBuyHay</f>
        <v>0</v>
      </c>
      <c r="H38" s="888" t="s">
        <v>493</v>
      </c>
    </row>
    <row r="39" spans="1:8" ht="20.100000000000001" customHeight="1">
      <c r="A39" s="885"/>
      <c r="B39" s="873"/>
      <c r="C39" s="1530" t="s">
        <v>698</v>
      </c>
      <c r="D39" s="1530"/>
      <c r="E39" s="1530"/>
      <c r="F39" s="1530"/>
      <c r="G39" s="891">
        <f>SumLoss3</f>
        <v>0</v>
      </c>
      <c r="H39" s="888" t="s">
        <v>509</v>
      </c>
    </row>
    <row r="40" spans="1:8" ht="20.100000000000001" customHeight="1">
      <c r="A40" s="883"/>
      <c r="B40" s="873"/>
      <c r="C40" s="872"/>
      <c r="D40" s="1530" t="s">
        <v>512</v>
      </c>
      <c r="E40" s="1530"/>
      <c r="F40" s="1530"/>
      <c r="G40" s="891">
        <f>LivestockForageBalance!N264</f>
        <v>0</v>
      </c>
      <c r="H40" s="888" t="s">
        <v>493</v>
      </c>
    </row>
    <row r="41" spans="1:8" ht="20.100000000000001" customHeight="1">
      <c r="A41" s="882"/>
      <c r="B41" s="881"/>
      <c r="C41" s="881"/>
      <c r="D41" s="881"/>
      <c r="E41" s="881"/>
      <c r="F41" s="881"/>
      <c r="G41" s="886"/>
      <c r="H41" s="890"/>
    </row>
    <row r="42" spans="1:8" ht="21.75" customHeight="1" thickBot="1">
      <c r="A42" s="1535" t="s">
        <v>513</v>
      </c>
      <c r="B42" s="1536"/>
      <c r="C42" s="1536"/>
      <c r="D42" s="1536"/>
      <c r="E42" s="1536"/>
      <c r="F42" s="1536"/>
      <c r="G42" s="892">
        <f>LivestockForageBalance!N267</f>
        <v>0</v>
      </c>
      <c r="H42" s="889" t="s">
        <v>493</v>
      </c>
    </row>
  </sheetData>
  <mergeCells count="17">
    <mergeCell ref="A42:F42"/>
    <mergeCell ref="B30:F30"/>
    <mergeCell ref="C31:F31"/>
    <mergeCell ref="B32:F32"/>
    <mergeCell ref="B34:F34"/>
    <mergeCell ref="C35:F35"/>
    <mergeCell ref="D36:F36"/>
    <mergeCell ref="A11:B11"/>
    <mergeCell ref="A26:F26"/>
    <mergeCell ref="A38:F38"/>
    <mergeCell ref="C39:F39"/>
    <mergeCell ref="D40:F40"/>
    <mergeCell ref="A28:F28"/>
    <mergeCell ref="A25:F25"/>
    <mergeCell ref="A23:G23"/>
    <mergeCell ref="A27:F27"/>
    <mergeCell ref="A17:B17"/>
  </mergeCells>
  <printOptions horizontalCentered="1"/>
  <pageMargins left="0.45" right="0.2" top="0.5" bottom="0.25" header="0.3" footer="0.3"/>
  <pageSetup scale="6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5"/>
  <dimension ref="A1:J51"/>
  <sheetViews>
    <sheetView workbookViewId="0">
      <selection activeCell="L34" sqref="L34"/>
    </sheetView>
  </sheetViews>
  <sheetFormatPr defaultRowHeight="12"/>
  <cols>
    <col min="2" max="2" width="16.625" customWidth="1"/>
    <col min="5" max="5" width="11.75" bestFit="1" customWidth="1"/>
    <col min="6" max="6" width="9.75" customWidth="1"/>
    <col min="7" max="7" width="10.875" bestFit="1" customWidth="1"/>
  </cols>
  <sheetData>
    <row r="1" spans="1:10" ht="20.100000000000001" customHeight="1">
      <c r="A1" s="25" t="s">
        <v>703</v>
      </c>
    </row>
    <row r="2" spans="1:10" ht="20.100000000000001" customHeight="1">
      <c r="A2" s="4">
        <f>Name</f>
        <v>0</v>
      </c>
    </row>
    <row r="3" spans="1:10" ht="20.100000000000001" customHeight="1">
      <c r="A3" s="4" t="str">
        <f>ID</f>
        <v/>
      </c>
    </row>
    <row r="4" spans="1:10" ht="20.100000000000001" customHeight="1">
      <c r="A4" s="4" t="str">
        <f>Date</f>
        <v/>
      </c>
    </row>
    <row r="5" spans="1:10" ht="12.75" thickBot="1"/>
    <row r="6" spans="1:10" ht="20.100000000000001" customHeight="1" thickBot="1">
      <c r="A6" s="1539" t="s">
        <v>704</v>
      </c>
      <c r="B6" s="1540"/>
      <c r="C6" s="1540"/>
      <c r="D6" s="1540"/>
      <c r="E6" s="1540"/>
      <c r="F6" s="1540"/>
      <c r="G6" s="1540"/>
      <c r="H6" s="1540"/>
      <c r="I6" s="1541"/>
    </row>
    <row r="7" spans="1:10" ht="20.100000000000001" customHeight="1">
      <c r="A7" s="933"/>
      <c r="B7" s="930"/>
      <c r="C7" s="936"/>
      <c r="D7" s="1538" t="s">
        <v>705</v>
      </c>
      <c r="E7" s="936"/>
      <c r="F7" s="936" t="s">
        <v>78</v>
      </c>
      <c r="G7" s="936" t="s">
        <v>125</v>
      </c>
      <c r="H7" s="940"/>
      <c r="I7" s="914" t="s">
        <v>60</v>
      </c>
      <c r="J7" s="489"/>
    </row>
    <row r="8" spans="1:10" ht="20.100000000000001" customHeight="1">
      <c r="A8" s="934" t="s">
        <v>59</v>
      </c>
      <c r="B8" s="931"/>
      <c r="C8" s="937" t="s">
        <v>65</v>
      </c>
      <c r="D8" s="1538"/>
      <c r="E8" s="939" t="s">
        <v>502</v>
      </c>
      <c r="F8" s="937" t="s">
        <v>66</v>
      </c>
      <c r="G8" s="937" t="s">
        <v>126</v>
      </c>
      <c r="H8" s="937" t="s">
        <v>341</v>
      </c>
      <c r="I8" s="909" t="s">
        <v>134</v>
      </c>
      <c r="J8" s="489"/>
    </row>
    <row r="9" spans="1:10" ht="20.100000000000001" customHeight="1">
      <c r="A9" s="935" t="s">
        <v>37</v>
      </c>
      <c r="B9" s="932" t="s">
        <v>81</v>
      </c>
      <c r="C9" s="938" t="s">
        <v>82</v>
      </c>
      <c r="D9" s="938" t="s">
        <v>338</v>
      </c>
      <c r="E9" s="938" t="s">
        <v>503</v>
      </c>
      <c r="F9" s="938" t="s">
        <v>83</v>
      </c>
      <c r="G9" s="938" t="s">
        <v>84</v>
      </c>
      <c r="H9" s="938" t="s">
        <v>83</v>
      </c>
      <c r="I9" s="910" t="s">
        <v>334</v>
      </c>
      <c r="J9" s="489"/>
    </row>
    <row r="10" spans="1:10" ht="20.100000000000001" hidden="1" customHeight="1">
      <c r="A10" s="916" t="str">
        <f>IF(HayMonth1&gt;0,Field1,"")</f>
        <v/>
      </c>
      <c r="B10" s="918" t="str">
        <f>IF(HayMonth1&gt;0,Kind1,"")</f>
        <v/>
      </c>
      <c r="C10" s="918" t="str">
        <f>IF(HayMonth1&gt;0,Acres1,"")</f>
        <v/>
      </c>
      <c r="D10" s="920" t="str">
        <f>IF(HayMonth1&gt;0,HayYield1,"")</f>
        <v/>
      </c>
      <c r="E10" s="920" t="str">
        <f>IF(HayMonth1&gt;0,LivestockForageBalance!J104,"")</f>
        <v/>
      </c>
      <c r="F10" s="920" t="str">
        <f>IF(HayMonth1&gt;0,LivestockForageBalance!K160,"")</f>
        <v/>
      </c>
      <c r="G10" s="922" t="str">
        <f>IF(HayMonth1&gt;0,HarvestEff1,"")</f>
        <v/>
      </c>
      <c r="H10" s="920" t="str">
        <f>IF(HayMonth1&gt;0,LivestockForageBalance!M160,"")</f>
        <v/>
      </c>
      <c r="I10" s="912" t="str">
        <f>IF(HayMonth1&gt;0,LivestockForageBalance!N160,"")</f>
        <v/>
      </c>
      <c r="J10" s="489"/>
    </row>
    <row r="11" spans="1:10" ht="20.100000000000001" hidden="1" customHeight="1">
      <c r="A11" s="917" t="str">
        <f>IF(HayMonth2&gt;0,Field2,"")</f>
        <v/>
      </c>
      <c r="B11" s="919" t="str">
        <f>IF(HayMonth2&gt;0,Kind2,"")</f>
        <v/>
      </c>
      <c r="C11" s="919" t="str">
        <f>IF(HayMonth2&gt;0,Acres2,"")</f>
        <v/>
      </c>
      <c r="D11" s="921" t="str">
        <f>IF(HayMonth2&gt;0,HayYield2,"")</f>
        <v/>
      </c>
      <c r="E11" s="921" t="str">
        <f>IF(HayMonth2&gt;0,LivestockForageBalance!J106,"")</f>
        <v/>
      </c>
      <c r="F11" s="921" t="str">
        <f>IF(HayMonth2&gt;0,LivestockForageBalance!K161,"")</f>
        <v/>
      </c>
      <c r="G11" s="923" t="str">
        <f>IF(HayMonth2&gt;0,HarvestEff2,"")</f>
        <v/>
      </c>
      <c r="H11" s="921" t="str">
        <f>IF(HayMonth2&gt;0,LivestockForageBalance!M161,"")</f>
        <v/>
      </c>
      <c r="I11" s="912" t="str">
        <f>IF(HayMonth2&gt;0,LivestockForageBalance!N161,"")</f>
        <v/>
      </c>
      <c r="J11" s="489"/>
    </row>
    <row r="12" spans="1:10" ht="20.100000000000001" hidden="1" customHeight="1">
      <c r="A12" s="917" t="str">
        <f>IF(HayMonth3&gt;0,Field3,"")</f>
        <v/>
      </c>
      <c r="B12" s="919" t="str">
        <f>IF(HayMonth3&gt;0,Kind3,"")</f>
        <v/>
      </c>
      <c r="C12" s="919" t="str">
        <f>IF(HayMonth3&gt;0,Acres3,"")</f>
        <v/>
      </c>
      <c r="D12" s="921" t="str">
        <f>IF(HayMonth3&gt;0,HayYield3,"")</f>
        <v/>
      </c>
      <c r="E12" s="921" t="str">
        <f>IF(HayMonth3&gt;0,LivestockForageBalance!J108,"")</f>
        <v/>
      </c>
      <c r="F12" s="921" t="str">
        <f>IF(HayMonth3&gt;0,LivestockForageBalance!K162,"")</f>
        <v/>
      </c>
      <c r="G12" s="923" t="str">
        <f>IF(HayMonth3&gt;0,HarvestEff3,"")</f>
        <v/>
      </c>
      <c r="H12" s="921" t="str">
        <f>IF(HayMonth3&gt;0,LivestockForageBalance!M162,"")</f>
        <v/>
      </c>
      <c r="I12" s="912" t="str">
        <f>IF(HayMonth3&gt;0,LivestockForageBalance!N162,"")</f>
        <v/>
      </c>
      <c r="J12" s="489"/>
    </row>
    <row r="13" spans="1:10" ht="20.100000000000001" hidden="1" customHeight="1">
      <c r="A13" s="917" t="str">
        <f>IF(HayMonth4&gt;0,Field4,"")</f>
        <v/>
      </c>
      <c r="B13" s="919" t="str">
        <f>IF(HayMonth4&gt;0,Kind4,"")</f>
        <v/>
      </c>
      <c r="C13" s="919" t="str">
        <f>IF(HayMonth4&gt;0,Acres4,"")</f>
        <v/>
      </c>
      <c r="D13" s="921" t="str">
        <f>IF(HayMonth4&gt;0,HayYield4,"")</f>
        <v/>
      </c>
      <c r="E13" s="921" t="str">
        <f>IF(HayMonth4&gt;0,LivestockForageBalance!J110,"")</f>
        <v/>
      </c>
      <c r="F13" s="921" t="str">
        <f>IF(HayMonth4&gt;0,LivestockForageBalance!K163,"")</f>
        <v/>
      </c>
      <c r="G13" s="923" t="str">
        <f>IF(HayMonth4&gt;0,HarvestEff4,"")</f>
        <v/>
      </c>
      <c r="H13" s="921" t="str">
        <f>IF(HayMonth4&gt;0,LivestockForageBalance!M163,"")</f>
        <v/>
      </c>
      <c r="I13" s="912" t="str">
        <f>IF(HayMonth4&gt;0,LivestockForageBalance!N163,"")</f>
        <v/>
      </c>
      <c r="J13" s="489"/>
    </row>
    <row r="14" spans="1:10" ht="20.100000000000001" hidden="1" customHeight="1">
      <c r="A14" s="917" t="str">
        <f>IF(HayMonth5&gt;0,Field5,"")</f>
        <v/>
      </c>
      <c r="B14" s="919" t="str">
        <f>IF(HayMonth5&gt;0,Kind5,"")</f>
        <v/>
      </c>
      <c r="C14" s="919" t="str">
        <f>IF(HayMonth5&gt;0,Acres5,"")</f>
        <v/>
      </c>
      <c r="D14" s="921" t="str">
        <f>IF(HayMonth5&gt;0,HayYield5,"")</f>
        <v/>
      </c>
      <c r="E14" s="921" t="str">
        <f>IF(HayMonth5&gt;0,LivestockForageBalance!J112,"")</f>
        <v/>
      </c>
      <c r="F14" s="921" t="str">
        <f>IF(HayMonth5&gt;0,LivestockForageBalance!K164,"")</f>
        <v/>
      </c>
      <c r="G14" s="923" t="str">
        <f>IF(HayMonth5&gt;0,HarvestEff5,"")</f>
        <v/>
      </c>
      <c r="H14" s="921" t="str">
        <f>IF(HayMonth5&gt;0,LivestockForageBalance!M164,"")</f>
        <v/>
      </c>
      <c r="I14" s="912" t="str">
        <f>IF(HayMonth5&gt;0,LivestockForageBalance!N164,"")</f>
        <v/>
      </c>
      <c r="J14" s="489"/>
    </row>
    <row r="15" spans="1:10" ht="20.100000000000001" hidden="1" customHeight="1">
      <c r="A15" s="917" t="str">
        <f>IF(HayMonth6&gt;0,Field6,"")</f>
        <v/>
      </c>
      <c r="B15" s="919" t="str">
        <f>IF(HayMonth6&gt;0,Kind6,"")</f>
        <v/>
      </c>
      <c r="C15" s="919" t="str">
        <f>IF(HayMonth6&gt;0,Acres6,"")</f>
        <v/>
      </c>
      <c r="D15" s="921" t="str">
        <f>IF(HayMonth6&gt;0,HayYield6,"")</f>
        <v/>
      </c>
      <c r="E15" s="921" t="str">
        <f>IF(HayMonth6&gt;0,LivestockForageBalance!J114,"")</f>
        <v/>
      </c>
      <c r="F15" s="921" t="str">
        <f>IF(HayMonth6&gt;0,LivestockForageBalance!K165,"")</f>
        <v/>
      </c>
      <c r="G15" s="923" t="str">
        <f>IF(HayMonth6&gt;0,HarvestEff6,"")</f>
        <v/>
      </c>
      <c r="H15" s="921" t="str">
        <f>IF(HayMonth6&gt;0,LivestockForageBalance!M165,"")</f>
        <v/>
      </c>
      <c r="I15" s="912" t="str">
        <f>IF(HayMonth6&gt;0,LivestockForageBalance!N165,"")</f>
        <v/>
      </c>
      <c r="J15" s="489"/>
    </row>
    <row r="16" spans="1:10" ht="20.100000000000001" hidden="1" customHeight="1">
      <c r="A16" s="917" t="str">
        <f>IF(HayMonth7&gt;0,Field7,"")</f>
        <v/>
      </c>
      <c r="B16" s="919" t="str">
        <f>IF(HayMonth7&gt;0,Kind7,"")</f>
        <v/>
      </c>
      <c r="C16" s="919" t="str">
        <f>IF(HayMonth7&gt;0,Acres7,"")</f>
        <v/>
      </c>
      <c r="D16" s="921" t="str">
        <f>IF(HayMonth7&gt;0,HayYield7,"")</f>
        <v/>
      </c>
      <c r="E16" s="921" t="str">
        <f>IF(HayMonth7&gt;0,LivestockForageBalance!J116,"")</f>
        <v/>
      </c>
      <c r="F16" s="921" t="str">
        <f>IF(HayMonth7&gt;0,LivestockForageBalance!K166,"")</f>
        <v/>
      </c>
      <c r="G16" s="923" t="str">
        <f>IF(HayMonth7&gt;0,HarvestEff7,"")</f>
        <v/>
      </c>
      <c r="H16" s="921" t="str">
        <f>IF(HayMonth7&gt;0,LivestockForageBalance!M166,"")</f>
        <v/>
      </c>
      <c r="I16" s="912" t="str">
        <f>IF(HayMonth7&gt;0,LivestockForageBalance!N166,"")</f>
        <v/>
      </c>
      <c r="J16" s="489"/>
    </row>
    <row r="17" spans="1:10" ht="20.100000000000001" hidden="1" customHeight="1">
      <c r="A17" s="917" t="str">
        <f>IF(HayMonth8&gt;0,Field8,"")</f>
        <v/>
      </c>
      <c r="B17" s="919" t="str">
        <f>IF(HayMonth8&gt;0,Kind8,"")</f>
        <v/>
      </c>
      <c r="C17" s="919" t="str">
        <f>IF(HayMonth8&gt;0,Acres8,"")</f>
        <v/>
      </c>
      <c r="D17" s="921" t="str">
        <f>IF(HayMonth8&gt;0,HayYield8,"")</f>
        <v/>
      </c>
      <c r="E17" s="921" t="str">
        <f>IF(HayMonth8&gt;0,LivestockForageBalance!J118,"")</f>
        <v/>
      </c>
      <c r="F17" s="921" t="str">
        <f>IF(HayMonth8&gt;0,LivestockForageBalance!K167,"")</f>
        <v/>
      </c>
      <c r="G17" s="923" t="str">
        <f>IF(HayMonth8&gt;0,HarvestEff8,"")</f>
        <v/>
      </c>
      <c r="H17" s="921" t="str">
        <f>IF(HayMonth8&gt;0,LivestockForageBalance!M167,"")</f>
        <v/>
      </c>
      <c r="I17" s="912" t="str">
        <f>IF(HayMonth8&gt;0,LivestockForageBalance!N167,"")</f>
        <v/>
      </c>
      <c r="J17" s="489"/>
    </row>
    <row r="18" spans="1:10" ht="20.100000000000001" hidden="1" customHeight="1">
      <c r="A18" s="917" t="str">
        <f>IF(HayMonth9&gt;0,Field9,"")</f>
        <v/>
      </c>
      <c r="B18" s="919" t="str">
        <f>IF(HayMonth9&gt;0,Kind9,"")</f>
        <v/>
      </c>
      <c r="C18" s="919" t="str">
        <f>IF(HayMonth9&gt;0,Acres9,"")</f>
        <v/>
      </c>
      <c r="D18" s="921" t="str">
        <f>IF(HayMonth9&gt;0,HayYield9,"")</f>
        <v/>
      </c>
      <c r="E18" s="921" t="str">
        <f>IF(HayMonth9&gt;0,LivestockForageBalance!J120,"")</f>
        <v/>
      </c>
      <c r="F18" s="921" t="str">
        <f>IF(HayMonth9&gt;0,LivestockForageBalance!K168,"")</f>
        <v/>
      </c>
      <c r="G18" s="923" t="str">
        <f>IF(HayMonth9&gt;0,HarvestEff9,"")</f>
        <v/>
      </c>
      <c r="H18" s="921" t="str">
        <f>IF(HayMonth9&gt;0,LivestockForageBalance!M168,"")</f>
        <v/>
      </c>
      <c r="I18" s="912" t="str">
        <f>IF(HayMonth9&gt;0,LivestockForageBalance!N168,"")</f>
        <v/>
      </c>
      <c r="J18" s="489"/>
    </row>
    <row r="19" spans="1:10" ht="20.100000000000001" hidden="1" customHeight="1">
      <c r="A19" s="917" t="str">
        <f>IF(HayMonth10&gt;0,Field10,"")</f>
        <v/>
      </c>
      <c r="B19" s="919" t="str">
        <f>IF(HayMonth10&gt;0,Kind10,"")</f>
        <v/>
      </c>
      <c r="C19" s="919" t="str">
        <f>IF(HayMonth10&gt;0,Acres10,"")</f>
        <v/>
      </c>
      <c r="D19" s="921" t="str">
        <f>IF(HayMonth10&gt;0,HayYield10,"")</f>
        <v/>
      </c>
      <c r="E19" s="921" t="str">
        <f>IF(HayMonth10&gt;0,LivestockForageBalance!J122,"")</f>
        <v/>
      </c>
      <c r="F19" s="921" t="str">
        <f>IF(HayMonth10&gt;0,LivestockForageBalance!K169,"")</f>
        <v/>
      </c>
      <c r="G19" s="923" t="str">
        <f>IF(HayMonth10&gt;0,HarvestEff10,"")</f>
        <v/>
      </c>
      <c r="H19" s="921" t="str">
        <f>IF(HayMonth10&gt;0,LivestockForageBalance!M169,"")</f>
        <v/>
      </c>
      <c r="I19" s="912" t="str">
        <f>IF(HayMonth10&gt;0,LivestockForageBalance!N169,"")</f>
        <v/>
      </c>
      <c r="J19" s="489"/>
    </row>
    <row r="20" spans="1:10" ht="20.100000000000001" hidden="1" customHeight="1">
      <c r="A20" s="917" t="str">
        <f>IF(HayMonth11&gt;0,Field11,"")</f>
        <v/>
      </c>
      <c r="B20" s="919" t="str">
        <f>IF(HayMonth11&gt;0,Kind11,"")</f>
        <v/>
      </c>
      <c r="C20" s="919" t="str">
        <f>IF(HayMonth11&gt;0,Acres11,"")</f>
        <v/>
      </c>
      <c r="D20" s="921" t="str">
        <f>IF(HayMonth11&gt;0,HayYield11,"")</f>
        <v/>
      </c>
      <c r="E20" s="921" t="str">
        <f>IF(HayMonth11&gt;0,LivestockForageBalance!J124,"")</f>
        <v/>
      </c>
      <c r="F20" s="921" t="str">
        <f>IF(HayMonth11&gt;0,LivestockForageBalance!K170,"")</f>
        <v/>
      </c>
      <c r="G20" s="923" t="str">
        <f>IF(HayMonth11&gt;0,HarvestEff11,"")</f>
        <v/>
      </c>
      <c r="H20" s="921" t="str">
        <f>IF(HayMonth11&gt;0,LivestockForageBalance!M170,"")</f>
        <v/>
      </c>
      <c r="I20" s="912" t="str">
        <f>IF(HayMonth11&gt;0,LivestockForageBalance!N170,"")</f>
        <v/>
      </c>
      <c r="J20" s="489"/>
    </row>
    <row r="21" spans="1:10" ht="20.100000000000001" hidden="1" customHeight="1">
      <c r="A21" s="917" t="str">
        <f>IF(HayMonth12&gt;0,Field12,"")</f>
        <v/>
      </c>
      <c r="B21" s="919" t="str">
        <f>IF(HayMonth12&gt;0,Kind12,"")</f>
        <v/>
      </c>
      <c r="C21" s="919" t="str">
        <f>IF(HayMonth12&gt;0,Acres12,"")</f>
        <v/>
      </c>
      <c r="D21" s="921" t="str">
        <f>IF(HayMonth12&gt;0,HayYield12,"")</f>
        <v/>
      </c>
      <c r="E21" s="921" t="str">
        <f>IF(HayMonth12&gt;0,LivestockForageBalance!J126,"")</f>
        <v/>
      </c>
      <c r="F21" s="921" t="str">
        <f>IF(HayMonth12&gt;0,LivestockForageBalance!K171,"")</f>
        <v/>
      </c>
      <c r="G21" s="923" t="str">
        <f>IF(HayMonth12&gt;0,HarvestEff12,"")</f>
        <v/>
      </c>
      <c r="H21" s="921" t="str">
        <f>IF(HayMonth12&gt;0,LivestockForageBalance!M171,"")</f>
        <v/>
      </c>
      <c r="I21" s="912" t="str">
        <f>IF(HayMonth12&gt;0,LivestockForageBalance!N171,"")</f>
        <v/>
      </c>
      <c r="J21" s="489"/>
    </row>
    <row r="22" spans="1:10" ht="20.100000000000001" hidden="1" customHeight="1">
      <c r="A22" s="917" t="str">
        <f>IF(HayMonth13&gt;0,Field13,"")</f>
        <v/>
      </c>
      <c r="B22" s="919" t="str">
        <f>IF(HayMonth13&gt;0,Kind13,"")</f>
        <v/>
      </c>
      <c r="C22" s="919" t="str">
        <f>IF(HayMonth13&gt;0,Acres13,"")</f>
        <v/>
      </c>
      <c r="D22" s="921" t="str">
        <f>IF(HayMonth13&gt;0,HayYield13,"")</f>
        <v/>
      </c>
      <c r="E22" s="921" t="str">
        <f>IF(HayMonth13&gt;0,LivestockForageBalance!J128,"")</f>
        <v/>
      </c>
      <c r="F22" s="921" t="str">
        <f>IF(HayMonth13&gt;0,LivestockForageBalance!K172,"")</f>
        <v/>
      </c>
      <c r="G22" s="923" t="str">
        <f>IF(HayMonth13&gt;0,HarvestEff13,"")</f>
        <v/>
      </c>
      <c r="H22" s="921" t="str">
        <f>IF(HayMonth13&gt;0,LivestockForageBalance!M172,"")</f>
        <v/>
      </c>
      <c r="I22" s="912" t="str">
        <f>IF(HayMonth13&gt;0,LivestockForageBalance!N172,"")</f>
        <v/>
      </c>
      <c r="J22" s="489"/>
    </row>
    <row r="23" spans="1:10" ht="20.100000000000001" hidden="1" customHeight="1">
      <c r="A23" s="917" t="str">
        <f>IF(HayMonth14&gt;0,Field14,"")</f>
        <v/>
      </c>
      <c r="B23" s="919" t="str">
        <f>IF(HayMonth14&gt;0,Kind14,"")</f>
        <v/>
      </c>
      <c r="C23" s="919" t="str">
        <f>IF(HayMonth14&gt;0,Acres14,"")</f>
        <v/>
      </c>
      <c r="D23" s="921" t="str">
        <f>IF(HayMonth14&gt;0,HayYield14,"")</f>
        <v/>
      </c>
      <c r="E23" s="921" t="str">
        <f>IF(HayMonth14&gt;0,LivestockForageBalance!J130,"")</f>
        <v/>
      </c>
      <c r="F23" s="921" t="str">
        <f>IF(HayMonth14&gt;0,LivestockForageBalance!K173,"")</f>
        <v/>
      </c>
      <c r="G23" s="923" t="str">
        <f>IF(HayMonth14&gt;0,HarvestEff14,"")</f>
        <v/>
      </c>
      <c r="H23" s="921" t="str">
        <f>IF(HayMonth14&gt;0,LivestockForageBalance!M173,"")</f>
        <v/>
      </c>
      <c r="I23" s="912" t="str">
        <f>IF(HayMonth14&gt;0,LivestockForageBalance!N173,"")</f>
        <v/>
      </c>
      <c r="J23" s="489"/>
    </row>
    <row r="24" spans="1:10" ht="20.100000000000001" hidden="1" customHeight="1">
      <c r="A24" s="917" t="str">
        <f>IF(HayMonth15&gt;0,Field15,"")</f>
        <v/>
      </c>
      <c r="B24" s="919" t="str">
        <f>IF(HayMonth15&gt;0,Kind15,"")</f>
        <v/>
      </c>
      <c r="C24" s="919" t="str">
        <f>IF(HayMonth15&gt;0,Acres15,"")</f>
        <v/>
      </c>
      <c r="D24" s="921" t="str">
        <f>IF(HayMonth15&gt;0,HayYield15,"")</f>
        <v/>
      </c>
      <c r="E24" s="921" t="str">
        <f>IF(HayMonth15&gt;0,LivestockForageBalance!J132,"")</f>
        <v/>
      </c>
      <c r="F24" s="921" t="str">
        <f>IF(HayMonth15&gt;0,LivestockForageBalance!K174,"")</f>
        <v/>
      </c>
      <c r="G24" s="923" t="str">
        <f>IF(HayMonth15&gt;0,HarvestEff15,"")</f>
        <v/>
      </c>
      <c r="H24" s="921" t="str">
        <f>IF(HayMonth15&gt;0,LivestockForageBalance!M174,"")</f>
        <v/>
      </c>
      <c r="I24" s="912" t="str">
        <f>IF(HayMonth15&gt;0,LivestockForageBalance!N174,"")</f>
        <v/>
      </c>
      <c r="J24" s="489"/>
    </row>
    <row r="25" spans="1:10" ht="20.100000000000001" hidden="1" customHeight="1">
      <c r="A25" s="917" t="str">
        <f>IF(HayMonth16&gt;0,Field16,"")</f>
        <v/>
      </c>
      <c r="B25" s="919" t="str">
        <f>IF(HayMonth16&gt;0,Kind16,"")</f>
        <v/>
      </c>
      <c r="C25" s="919" t="str">
        <f>IF(HayMonth16&gt;0,Acres16,"")</f>
        <v/>
      </c>
      <c r="D25" s="921" t="str">
        <f>IF(HayMonth16&gt;0,HayYield16,"")</f>
        <v/>
      </c>
      <c r="E25" s="921" t="str">
        <f>IF(HayMonth16&gt;0,LivestockForageBalance!J134,"")</f>
        <v/>
      </c>
      <c r="F25" s="921" t="str">
        <f>IF(HayMonth16&gt;0,LivestockForageBalance!K175,"")</f>
        <v/>
      </c>
      <c r="G25" s="923" t="str">
        <f>IF(HayMonth16&gt;0,HarvestEff16,"")</f>
        <v/>
      </c>
      <c r="H25" s="921" t="str">
        <f>IF(HayMonth16&gt;0,LivestockForageBalance!M175,"")</f>
        <v/>
      </c>
      <c r="I25" s="912" t="str">
        <f>IF(HayMonth16&gt;0,LivestockForageBalance!N175,"")</f>
        <v/>
      </c>
      <c r="J25" s="489"/>
    </row>
    <row r="26" spans="1:10" ht="20.100000000000001" hidden="1" customHeight="1">
      <c r="A26" s="917" t="str">
        <f>IF(HayMonth17&gt;0,Field17,"")</f>
        <v/>
      </c>
      <c r="B26" s="919" t="str">
        <f>IF(HayMonth17&gt;0,Kind17,"")</f>
        <v/>
      </c>
      <c r="C26" s="919" t="str">
        <f>IF(HayMonth17&gt;0,Acres17,"")</f>
        <v/>
      </c>
      <c r="D26" s="921" t="str">
        <f>IF(HayMonth17&gt;0,HayYield17,"")</f>
        <v/>
      </c>
      <c r="E26" s="921" t="str">
        <f>IF(HayMonth17&gt;0,LivestockForageBalance!J136,"")</f>
        <v/>
      </c>
      <c r="F26" s="921" t="str">
        <f>IF(HayMonth17&gt;0,LivestockForageBalance!K176,"")</f>
        <v/>
      </c>
      <c r="G26" s="923" t="str">
        <f>IF(HayMonth17&gt;0,HarvestEff17,"")</f>
        <v/>
      </c>
      <c r="H26" s="921" t="str">
        <f>IF(HayMonth17&gt;0,LivestockForageBalance!M176,"")</f>
        <v/>
      </c>
      <c r="I26" s="912" t="str">
        <f>IF(HayMonth17&gt;0,LivestockForageBalance!N176,"")</f>
        <v/>
      </c>
      <c r="J26" s="489"/>
    </row>
    <row r="27" spans="1:10" ht="20.100000000000001" hidden="1" customHeight="1">
      <c r="A27" s="917" t="str">
        <f>IF(HayMonth18&gt;0,Field18,"")</f>
        <v/>
      </c>
      <c r="B27" s="919" t="str">
        <f>IF(HayMonth18&gt;0,Kind18,"")</f>
        <v/>
      </c>
      <c r="C27" s="919" t="str">
        <f>IF(HayMonth18&gt;0,Acres18,"")</f>
        <v/>
      </c>
      <c r="D27" s="921" t="str">
        <f>IF(HayMonth18&gt;0,HayYield18,"")</f>
        <v/>
      </c>
      <c r="E27" s="921" t="str">
        <f>IF(HayMonth18&gt;0,LivestockForageBalance!J138,"")</f>
        <v/>
      </c>
      <c r="F27" s="921" t="str">
        <f>IF(HayMonth18&gt;0,LivestockForageBalance!K177,"")</f>
        <v/>
      </c>
      <c r="G27" s="923" t="str">
        <f>IF(HayMonth18&gt;0,HarvestEff18,"")</f>
        <v/>
      </c>
      <c r="H27" s="921" t="str">
        <f>IF(HayMonth18&gt;0,LivestockForageBalance!M177,"")</f>
        <v/>
      </c>
      <c r="I27" s="912" t="str">
        <f>IF(HayMonth18&gt;0,LivestockForageBalance!N177,"")</f>
        <v/>
      </c>
      <c r="J27" s="489"/>
    </row>
    <row r="28" spans="1:10" ht="20.100000000000001" hidden="1" customHeight="1">
      <c r="A28" s="917" t="str">
        <f>IF(HayMonth19&gt;0,Field19,"")</f>
        <v/>
      </c>
      <c r="B28" s="919" t="str">
        <f>IF(HayMonth19&gt;0,Kind19,"")</f>
        <v/>
      </c>
      <c r="C28" s="919" t="str">
        <f>IF(HayMonth19&gt;0,Acres19,"")</f>
        <v/>
      </c>
      <c r="D28" s="921" t="str">
        <f>IF(HayMonth19&gt;0,HayYield19,"")</f>
        <v/>
      </c>
      <c r="E28" s="921" t="str">
        <f>IF(HayMonth19&gt;0,LivestockForageBalance!J140,"")</f>
        <v/>
      </c>
      <c r="F28" s="921" t="str">
        <f>IF(HayMonth19&gt;0,LivestockForageBalance!K178,"")</f>
        <v/>
      </c>
      <c r="G28" s="923" t="str">
        <f>IF(HayMonth19&gt;0,HarvestEff19,"")</f>
        <v/>
      </c>
      <c r="H28" s="921" t="str">
        <f>IF(HayMonth19&gt;0,LivestockForageBalance!M178,"")</f>
        <v/>
      </c>
      <c r="I28" s="912" t="str">
        <f>IF(HayMonth19&gt;0,LivestockForageBalance!N178,"")</f>
        <v/>
      </c>
      <c r="J28" s="489"/>
    </row>
    <row r="29" spans="1:10" ht="20.100000000000001" hidden="1" customHeight="1">
      <c r="A29" s="917" t="str">
        <f>IF(HayMonth20&gt;0,Field20,"")</f>
        <v/>
      </c>
      <c r="B29" s="919" t="str">
        <f>IF(HayMonth20&gt;0,Kind20,"")</f>
        <v/>
      </c>
      <c r="C29" s="919" t="str">
        <f>IF(HayMonth20&gt;0,Acres20,"")</f>
        <v/>
      </c>
      <c r="D29" s="921" t="str">
        <f>IF(HayMonth20&gt;0,HayYield20,"")</f>
        <v/>
      </c>
      <c r="E29" s="921" t="str">
        <f>IF(HayMonth20&gt;0,LivestockForageBalance!J142,"")</f>
        <v/>
      </c>
      <c r="F29" s="921" t="str">
        <f>IF(HayMonth20&gt;0,LivestockForageBalance!K179,"")</f>
        <v/>
      </c>
      <c r="G29" s="923" t="str">
        <f>IF(HayMonth20&gt;0,HarvestEff20,"")</f>
        <v/>
      </c>
      <c r="H29" s="921" t="str">
        <f>IF(HayMonth20&gt;0,LivestockForageBalance!M179,"")</f>
        <v/>
      </c>
      <c r="I29" s="912" t="str">
        <f>IF(HayMonth20&gt;0,LivestockForageBalance!N179,"")</f>
        <v/>
      </c>
      <c r="J29" s="489"/>
    </row>
    <row r="30" spans="1:10" ht="20.100000000000001" hidden="1" customHeight="1">
      <c r="A30" s="917" t="str">
        <f>IF(HayMonth21&gt;0,Field21,"")</f>
        <v/>
      </c>
      <c r="B30" s="919" t="str">
        <f>IF(HayMonth21&gt;0,Kind21,"")</f>
        <v/>
      </c>
      <c r="C30" s="919" t="str">
        <f>IF(HayMonth21&gt;0,Acres21,"")</f>
        <v/>
      </c>
      <c r="D30" s="921" t="str">
        <f>IF(HayMonth21&gt;0,HayYield21,"")</f>
        <v/>
      </c>
      <c r="E30" s="921" t="str">
        <f>IF(HayMonth21&gt;0,LivestockForageBalance!J144,"")</f>
        <v/>
      </c>
      <c r="F30" s="921" t="str">
        <f>IF(HayMonth21&gt;0,LivestockForageBalance!K180,"")</f>
        <v/>
      </c>
      <c r="G30" s="923" t="str">
        <f>IF(HayMonth21&gt;0,HarvestEff21,"")</f>
        <v/>
      </c>
      <c r="H30" s="921" t="str">
        <f>IF(HayMonth21&gt;0,LivestockForageBalance!M180,"")</f>
        <v/>
      </c>
      <c r="I30" s="912" t="str">
        <f>IF(HayMonth21&gt;0,LivestockForageBalance!N180,"")</f>
        <v/>
      </c>
      <c r="J30" s="489"/>
    </row>
    <row r="31" spans="1:10" ht="20.100000000000001" hidden="1" customHeight="1">
      <c r="A31" s="917" t="str">
        <f>IF(HayMonth22&gt;0,Field22,"")</f>
        <v/>
      </c>
      <c r="B31" s="919" t="str">
        <f>IF(HayMonth22&gt;0,Kind22,"")</f>
        <v/>
      </c>
      <c r="C31" s="919" t="str">
        <f>IF(HayMonth22&gt;0,Acres22,"")</f>
        <v/>
      </c>
      <c r="D31" s="921" t="str">
        <f>IF(HayMonth22&gt;0,HayYield22,"")</f>
        <v/>
      </c>
      <c r="E31" s="921" t="str">
        <f>IF(HayMonth22&gt;0,LivestockForageBalance!J146,"")</f>
        <v/>
      </c>
      <c r="F31" s="921" t="str">
        <f>IF(HayMonth22&gt;0,LivestockForageBalance!K181,"")</f>
        <v/>
      </c>
      <c r="G31" s="923" t="str">
        <f>IF(HayMonth22&gt;0,HarvestEff22,"")</f>
        <v/>
      </c>
      <c r="H31" s="921" t="str">
        <f>IF(HayMonth22&gt;0,LivestockForageBalance!M181,"")</f>
        <v/>
      </c>
      <c r="I31" s="912" t="str">
        <f>IF(HayMonth22&gt;0,LivestockForageBalance!N181,"")</f>
        <v/>
      </c>
      <c r="J31" s="489"/>
    </row>
    <row r="32" spans="1:10" ht="20.100000000000001" hidden="1" customHeight="1">
      <c r="A32" s="917" t="str">
        <f>IF(HayMonth23&gt;0,Field23,"")</f>
        <v/>
      </c>
      <c r="B32" s="919" t="str">
        <f>IF(HayMonth23&gt;0,Kind23,"")</f>
        <v/>
      </c>
      <c r="C32" s="919" t="str">
        <f>IF(HayMonth23&gt;0,Acres23,"")</f>
        <v/>
      </c>
      <c r="D32" s="921" t="str">
        <f>IF(HayMonth23&gt;0,HayYield23,"")</f>
        <v/>
      </c>
      <c r="E32" s="921" t="str">
        <f>IF(HayMonth23&gt;0,LivestockForageBalance!J148,"")</f>
        <v/>
      </c>
      <c r="F32" s="921" t="str">
        <f>IF(HayMonth23&gt;0,LivestockForageBalance!K182,"")</f>
        <v/>
      </c>
      <c r="G32" s="923" t="str">
        <f>IF(HayMonth23&gt;0,HarvestEff23,"")</f>
        <v/>
      </c>
      <c r="H32" s="921" t="str">
        <f>IF(HayMonth23&gt;0,LivestockForageBalance!M182,"")</f>
        <v/>
      </c>
      <c r="I32" s="912" t="str">
        <f>IF(HayMonth23&gt;0,LivestockForageBalance!N182,"")</f>
        <v/>
      </c>
      <c r="J32" s="489"/>
    </row>
    <row r="33" spans="1:10" ht="20.100000000000001" hidden="1" customHeight="1">
      <c r="A33" s="924" t="str">
        <f>IF(HayMonth24&gt;0,Field24,"")</f>
        <v/>
      </c>
      <c r="B33" s="925" t="str">
        <f>IF(HayMonth24&gt;0,Kind24,"")</f>
        <v/>
      </c>
      <c r="C33" s="925" t="str">
        <f>IF(HayMonth24&gt;0,Acres24,"")</f>
        <v/>
      </c>
      <c r="D33" s="926" t="str">
        <f>IF(HayMonth24&gt;0,HayYield24,"")</f>
        <v/>
      </c>
      <c r="E33" s="926" t="str">
        <f>IF(HayMonth24&gt;0,LivestockForageBalance!J150,"")</f>
        <v/>
      </c>
      <c r="F33" s="926" t="str">
        <f>IF(HayMonth24&gt;0,LivestockForageBalance!K183,"")</f>
        <v/>
      </c>
      <c r="G33" s="927" t="str">
        <f>IF(HayMonth24&gt;0,HarvestEff24,"")</f>
        <v/>
      </c>
      <c r="H33" s="926" t="str">
        <f>IF(HayMonth24&gt;0,LivestockForageBalance!M183,"")</f>
        <v/>
      </c>
      <c r="I33" s="928" t="str">
        <f>IF(HayMonth24&gt;0,LivestockForageBalance!N183,"")</f>
        <v/>
      </c>
      <c r="J33" s="270"/>
    </row>
    <row r="34" spans="1:10" ht="20.100000000000001" customHeight="1" thickBot="1">
      <c r="A34" s="1542" t="s">
        <v>340</v>
      </c>
      <c r="B34" s="1543"/>
      <c r="C34" s="959">
        <f>SUM(C10:C33)</f>
        <v>0</v>
      </c>
      <c r="D34" s="959"/>
      <c r="E34" s="961"/>
      <c r="F34" s="963">
        <f>SUM(F10:F33)</f>
        <v>0</v>
      </c>
      <c r="G34" s="962"/>
      <c r="H34" s="963">
        <f>SUM(H10:H33)</f>
        <v>0</v>
      </c>
      <c r="I34" s="929"/>
      <c r="J34" s="913"/>
    </row>
    <row r="35" spans="1:10" ht="17.25" thickBot="1">
      <c r="A35" s="945"/>
      <c r="B35" s="944"/>
      <c r="C35" s="905"/>
      <c r="D35" s="905"/>
      <c r="E35" s="905"/>
      <c r="F35" s="905"/>
      <c r="G35" s="905"/>
      <c r="H35" s="905"/>
      <c r="I35" s="903"/>
      <c r="J35" s="903"/>
    </row>
    <row r="36" spans="1:10" ht="20.100000000000001" customHeight="1" thickBot="1">
      <c r="A36" s="1544" t="s">
        <v>603</v>
      </c>
      <c r="B36" s="1545"/>
      <c r="C36" s="1545"/>
      <c r="D36" s="1545"/>
      <c r="E36" s="1545"/>
      <c r="F36" s="1545"/>
      <c r="G36" s="1545"/>
      <c r="H36" s="1545"/>
      <c r="I36" s="1546"/>
      <c r="J36" s="489"/>
    </row>
    <row r="37" spans="1:10" ht="20.100000000000001" customHeight="1">
      <c r="A37" s="946"/>
      <c r="B37" s="936"/>
      <c r="C37" s="947" t="s">
        <v>125</v>
      </c>
      <c r="D37" s="936"/>
      <c r="E37" s="947"/>
      <c r="F37" s="936" t="s">
        <v>78</v>
      </c>
      <c r="G37" s="947" t="s">
        <v>125</v>
      </c>
      <c r="H37" s="940"/>
      <c r="I37" s="948" t="s">
        <v>60</v>
      </c>
      <c r="J37" s="489"/>
    </row>
    <row r="38" spans="1:10" ht="20.100000000000001" customHeight="1">
      <c r="A38" s="908" t="s">
        <v>59</v>
      </c>
      <c r="B38" s="955" t="s">
        <v>81</v>
      </c>
      <c r="C38" s="904" t="s">
        <v>65</v>
      </c>
      <c r="D38" s="939" t="s">
        <v>501</v>
      </c>
      <c r="E38" s="907" t="s">
        <v>502</v>
      </c>
      <c r="F38" s="937" t="s">
        <v>66</v>
      </c>
      <c r="G38" s="904" t="s">
        <v>126</v>
      </c>
      <c r="H38" s="937" t="s">
        <v>341</v>
      </c>
      <c r="I38" s="909" t="s">
        <v>134</v>
      </c>
      <c r="J38" s="489"/>
    </row>
    <row r="39" spans="1:10" ht="20.100000000000001" customHeight="1">
      <c r="A39" s="949" t="s">
        <v>37</v>
      </c>
      <c r="B39" s="956"/>
      <c r="C39" s="950" t="s">
        <v>82</v>
      </c>
      <c r="D39" s="957" t="s">
        <v>338</v>
      </c>
      <c r="E39" s="951" t="s">
        <v>503</v>
      </c>
      <c r="F39" s="957" t="s">
        <v>83</v>
      </c>
      <c r="G39" s="950" t="s">
        <v>84</v>
      </c>
      <c r="H39" s="957" t="s">
        <v>83</v>
      </c>
      <c r="I39" s="952" t="s">
        <v>334</v>
      </c>
      <c r="J39" s="489"/>
    </row>
    <row r="40" spans="1:10" ht="20.100000000000001" customHeight="1">
      <c r="A40" s="911">
        <f>HayOnlyField1</f>
        <v>0</v>
      </c>
      <c r="B40" s="919">
        <f>HayOnlyKind1</f>
        <v>0</v>
      </c>
      <c r="C40" s="729">
        <f>HayOnlyAcres1</f>
        <v>0</v>
      </c>
      <c r="D40" s="921">
        <f>HayOnlyYield1</f>
        <v>0</v>
      </c>
      <c r="E40" s="729">
        <f>HayOnlyMonth1</f>
        <v>0</v>
      </c>
      <c r="F40" s="921">
        <f>LivestockForageBalance!L213</f>
        <v>0</v>
      </c>
      <c r="G40" s="1253">
        <f>HayOnlyEff1</f>
        <v>0</v>
      </c>
      <c r="H40" s="921">
        <f>LivestockForageBalance!N213</f>
        <v>0</v>
      </c>
      <c r="I40" s="915" t="str">
        <f>LivestockForageBalance!O213</f>
        <v/>
      </c>
      <c r="J40" s="489"/>
    </row>
    <row r="41" spans="1:10" ht="20.100000000000001" hidden="1" customHeight="1">
      <c r="A41" s="911">
        <f>HayOnlyField2</f>
        <v>0</v>
      </c>
      <c r="B41" s="919">
        <f>HayOnlyKind2</f>
        <v>0</v>
      </c>
      <c r="C41" s="729">
        <f>HayOnlyAcres2</f>
        <v>0</v>
      </c>
      <c r="D41" s="921">
        <f>HayOnlyYield2</f>
        <v>0</v>
      </c>
      <c r="E41" s="729">
        <f>HayOnlyMonth2</f>
        <v>0</v>
      </c>
      <c r="F41" s="921">
        <f>LivestockForageBalance!L214</f>
        <v>0</v>
      </c>
      <c r="G41" s="729">
        <f>HayOnlyEff2</f>
        <v>0</v>
      </c>
      <c r="H41" s="921">
        <f>LivestockForageBalance!N214</f>
        <v>0</v>
      </c>
      <c r="I41" s="915" t="str">
        <f>LivestockForageBalance!O214</f>
        <v/>
      </c>
      <c r="J41" s="489"/>
    </row>
    <row r="42" spans="1:10" ht="20.100000000000001" hidden="1" customHeight="1">
      <c r="A42" s="911">
        <f>HayOnlyField3</f>
        <v>0</v>
      </c>
      <c r="B42" s="919">
        <f>HayOnlyKind3</f>
        <v>0</v>
      </c>
      <c r="C42" s="729">
        <f>HayOnlyAcres3</f>
        <v>0</v>
      </c>
      <c r="D42" s="921">
        <f>HayOnlyYield3</f>
        <v>0</v>
      </c>
      <c r="E42" s="729">
        <f>HayOnlyMonth3</f>
        <v>0</v>
      </c>
      <c r="F42" s="921">
        <f>LivestockForageBalance!L215</f>
        <v>0</v>
      </c>
      <c r="G42" s="729">
        <f>HayOnlyEff3</f>
        <v>0</v>
      </c>
      <c r="H42" s="921">
        <f>LivestockForageBalance!N215</f>
        <v>0</v>
      </c>
      <c r="I42" s="915" t="str">
        <f>LivestockForageBalance!O215</f>
        <v/>
      </c>
      <c r="J42" s="489"/>
    </row>
    <row r="43" spans="1:10" ht="20.100000000000001" hidden="1" customHeight="1">
      <c r="A43" s="911">
        <f>HayOnlyField4</f>
        <v>0</v>
      </c>
      <c r="B43" s="919">
        <f>HayOnlyKind4</f>
        <v>0</v>
      </c>
      <c r="C43" s="729">
        <f>HayOnlyAcres4</f>
        <v>0</v>
      </c>
      <c r="D43" s="921">
        <f>HayOnlyYield4</f>
        <v>0</v>
      </c>
      <c r="E43" s="729">
        <f>HayOnlyMonth4</f>
        <v>0</v>
      </c>
      <c r="F43" s="921">
        <f>LivestockForageBalance!L216</f>
        <v>0</v>
      </c>
      <c r="G43" s="729">
        <f>HayOnlyEff4</f>
        <v>0</v>
      </c>
      <c r="H43" s="921">
        <f>LivestockForageBalance!N216</f>
        <v>0</v>
      </c>
      <c r="I43" s="915" t="str">
        <f>LivestockForageBalance!O216</f>
        <v/>
      </c>
      <c r="J43" s="489"/>
    </row>
    <row r="44" spans="1:10" ht="20.100000000000001" hidden="1" customHeight="1">
      <c r="A44" s="911">
        <f>HayOnlyField5</f>
        <v>0</v>
      </c>
      <c r="B44" s="919">
        <f>HayOnlyKind5</f>
        <v>0</v>
      </c>
      <c r="C44" s="729">
        <f>HayOnlyAcres5</f>
        <v>0</v>
      </c>
      <c r="D44" s="921">
        <f>HayOnlyYield5</f>
        <v>0</v>
      </c>
      <c r="E44" s="729">
        <f>HayOnlyMonth5</f>
        <v>0</v>
      </c>
      <c r="F44" s="921">
        <f>LivestockForageBalance!L217</f>
        <v>0</v>
      </c>
      <c r="G44" s="729">
        <f>HayOnlyEff5</f>
        <v>0</v>
      </c>
      <c r="H44" s="921">
        <f>LivestockForageBalance!N217</f>
        <v>0</v>
      </c>
      <c r="I44" s="915" t="str">
        <f>LivestockForageBalance!O217</f>
        <v/>
      </c>
      <c r="J44" s="489"/>
    </row>
    <row r="45" spans="1:10" ht="20.100000000000001" hidden="1" customHeight="1">
      <c r="A45" s="911">
        <f>HayOnlyField6</f>
        <v>0</v>
      </c>
      <c r="B45" s="919">
        <f>HayOnlyKind6</f>
        <v>0</v>
      </c>
      <c r="C45" s="729">
        <f>HayOnlyAcres6</f>
        <v>0</v>
      </c>
      <c r="D45" s="921">
        <f>HayOnlyYield6</f>
        <v>0</v>
      </c>
      <c r="E45" s="729">
        <f>HayOnlyMonth6</f>
        <v>0</v>
      </c>
      <c r="F45" s="921">
        <f>LivestockForageBalance!L218</f>
        <v>0</v>
      </c>
      <c r="G45" s="729">
        <f>HayOnlyEff6</f>
        <v>0</v>
      </c>
      <c r="H45" s="921">
        <f>LivestockForageBalance!N218</f>
        <v>0</v>
      </c>
      <c r="I45" s="915" t="str">
        <f>LivestockForageBalance!O218</f>
        <v/>
      </c>
      <c r="J45" s="489"/>
    </row>
    <row r="46" spans="1:10" ht="20.100000000000001" hidden="1" customHeight="1">
      <c r="A46" s="911">
        <f>HayOnlyField7</f>
        <v>0</v>
      </c>
      <c r="B46" s="919">
        <f>HayOnlyKind7</f>
        <v>0</v>
      </c>
      <c r="C46" s="729">
        <f>HayOnlyAcres7</f>
        <v>0</v>
      </c>
      <c r="D46" s="921">
        <f>HayOnlyYield7</f>
        <v>0</v>
      </c>
      <c r="E46" s="729">
        <f>HayOnlyMonth7</f>
        <v>0</v>
      </c>
      <c r="F46" s="921">
        <f>LivestockForageBalance!L219</f>
        <v>0</v>
      </c>
      <c r="G46" s="729">
        <f>HayOnlyEff7</f>
        <v>0</v>
      </c>
      <c r="H46" s="921">
        <f>LivestockForageBalance!N219</f>
        <v>0</v>
      </c>
      <c r="I46" s="915" t="str">
        <f>LivestockForageBalance!O219</f>
        <v/>
      </c>
      <c r="J46" s="489"/>
    </row>
    <row r="47" spans="1:10" ht="20.100000000000001" hidden="1" customHeight="1">
      <c r="A47" s="911">
        <f>HayOnlyField8</f>
        <v>0</v>
      </c>
      <c r="B47" s="919">
        <f>HayOnlyKind8</f>
        <v>0</v>
      </c>
      <c r="C47" s="729">
        <f>HayOnlyAcres8</f>
        <v>0</v>
      </c>
      <c r="D47" s="921">
        <f>HayOnlyYield8</f>
        <v>0</v>
      </c>
      <c r="E47" s="729">
        <f>HayOnlyMonth8</f>
        <v>0</v>
      </c>
      <c r="F47" s="921">
        <f>LivestockForageBalance!L220</f>
        <v>0</v>
      </c>
      <c r="G47" s="729">
        <f>HayOnlyEff8</f>
        <v>0</v>
      </c>
      <c r="H47" s="921">
        <f>LivestockForageBalance!N220</f>
        <v>0</v>
      </c>
      <c r="I47" s="915" t="str">
        <f>LivestockForageBalance!O220</f>
        <v/>
      </c>
      <c r="J47" s="489"/>
    </row>
    <row r="48" spans="1:10" ht="20.100000000000001" hidden="1" customHeight="1">
      <c r="A48" s="911">
        <f>HayOnlyField9</f>
        <v>0</v>
      </c>
      <c r="B48" s="919">
        <f>HayOnlyKind9</f>
        <v>0</v>
      </c>
      <c r="C48" s="729">
        <f>HayOnlyAcres9</f>
        <v>0</v>
      </c>
      <c r="D48" s="921">
        <f>HayOnlyYield9</f>
        <v>0</v>
      </c>
      <c r="E48" s="729">
        <f>HayOnlyMonth9</f>
        <v>0</v>
      </c>
      <c r="F48" s="921">
        <f>LivestockForageBalance!L221</f>
        <v>0</v>
      </c>
      <c r="G48" s="729">
        <f>HayOnlyEff9</f>
        <v>0</v>
      </c>
      <c r="H48" s="921">
        <f>LivestockForageBalance!N221</f>
        <v>0</v>
      </c>
      <c r="I48" s="915" t="str">
        <f>LivestockForageBalance!O221</f>
        <v/>
      </c>
      <c r="J48" s="489"/>
    </row>
    <row r="49" spans="1:10" ht="20.100000000000001" hidden="1" customHeight="1">
      <c r="A49" s="953">
        <f>HayOnlyField10</f>
        <v>0</v>
      </c>
      <c r="B49" s="925">
        <f>HayOnlyKind10</f>
        <v>0</v>
      </c>
      <c r="C49" s="958">
        <f>HayOnlyAcres10</f>
        <v>0</v>
      </c>
      <c r="D49" s="926">
        <f>HayOnlyYield10</f>
        <v>0</v>
      </c>
      <c r="E49" s="958">
        <f>HayOnlyMonth10</f>
        <v>0</v>
      </c>
      <c r="F49" s="926">
        <f>LivestockForageBalance!L222</f>
        <v>0</v>
      </c>
      <c r="G49" s="958">
        <f>HayOnlyEff10</f>
        <v>0</v>
      </c>
      <c r="H49" s="926">
        <f>LivestockForageBalance!N222</f>
        <v>0</v>
      </c>
      <c r="I49" s="954" t="str">
        <f>LivestockForageBalance!O222</f>
        <v/>
      </c>
      <c r="J49" s="489"/>
    </row>
    <row r="50" spans="1:10" ht="20.100000000000001" customHeight="1" thickBot="1">
      <c r="A50" s="1542" t="s">
        <v>340</v>
      </c>
      <c r="B50" s="1543"/>
      <c r="C50" s="959">
        <f>SUM(C40:C49)</f>
        <v>0</v>
      </c>
      <c r="D50" s="959"/>
      <c r="E50" s="963"/>
      <c r="F50" s="959">
        <f>SUM(F40:F49)</f>
        <v>0</v>
      </c>
      <c r="G50" s="959"/>
      <c r="H50" s="959">
        <f>SUM(H40:H49)</f>
        <v>0</v>
      </c>
      <c r="I50" s="960"/>
      <c r="J50" s="489"/>
    </row>
    <row r="51" spans="1:10">
      <c r="A51" s="489"/>
      <c r="B51" s="489"/>
      <c r="C51" s="489"/>
      <c r="D51" s="489"/>
      <c r="E51" s="489"/>
      <c r="F51" s="489"/>
      <c r="G51" s="489"/>
      <c r="H51" s="489"/>
      <c r="I51" s="489"/>
      <c r="J51" s="489"/>
    </row>
  </sheetData>
  <mergeCells count="5">
    <mergeCell ref="D7:D8"/>
    <mergeCell ref="A6:I6"/>
    <mergeCell ref="A34:B34"/>
    <mergeCell ref="A36:I36"/>
    <mergeCell ref="A50:B50"/>
  </mergeCells>
  <printOptions horizontalCentered="1"/>
  <pageMargins left="0.2" right="0.2" top="0.75" bottom="0.75" header="0.3" footer="0.3"/>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F763115A2D86647A2A7FDE4F3FA2D6B" ma:contentTypeVersion="13" ma:contentTypeDescription="Create a new document." ma:contentTypeScope="" ma:versionID="b486cf5ab3015e61f127551e744916ac">
  <xsd:schema xmlns:xsd="http://www.w3.org/2001/XMLSchema" xmlns:xs="http://www.w3.org/2001/XMLSchema" xmlns:p="http://schemas.microsoft.com/office/2006/metadata/properties" xmlns:ns2="47ca554a-6a59-441a-a84c-625ca94c37e8" xmlns:ns3="33c0f6fd-68da-4dca-96e1-bd72fb859533" targetNamespace="http://schemas.microsoft.com/office/2006/metadata/properties" ma:root="true" ma:fieldsID="b61147dfac1c7f0f491196c75f77aa5f" ns2:_="" ns3:_="">
    <xsd:import namespace="47ca554a-6a59-441a-a84c-625ca94c37e8"/>
    <xsd:import namespace="33c0f6fd-68da-4dca-96e1-bd72fb85953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hyperlin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ca554a-6a59-441a-a84c-625ca94c37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8ff62593-b918-4deb-ac08-0d74ac0cc7e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hyperlink" ma:index="20"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3c0f6fd-68da-4dca-96e1-bd72fb85953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a4bfe0f-b748-4e62-b58b-817a0f76ddec}" ma:internalName="TaxCatchAll" ma:showField="CatchAllData" ma:web="33c0f6fd-68da-4dca-96e1-bd72fb8595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3c0f6fd-68da-4dca-96e1-bd72fb859533" xsi:nil="true"/>
    <lcf76f155ced4ddcb4097134ff3c332f xmlns="47ca554a-6a59-441a-a84c-625ca94c37e8">
      <Terms xmlns="http://schemas.microsoft.com/office/infopath/2007/PartnerControls"/>
    </lcf76f155ced4ddcb4097134ff3c332f>
    <hyperlink xmlns="47ca554a-6a59-441a-a84c-625ca94c37e8">
      <Url xsi:nil="true"/>
      <Description xsi:nil="true"/>
    </hyperlink>
  </documentManagement>
</p:properties>
</file>

<file path=customXml/itemProps1.xml><?xml version="1.0" encoding="utf-8"?>
<ds:datastoreItem xmlns:ds="http://schemas.openxmlformats.org/officeDocument/2006/customXml" ds:itemID="{D5C6BAF7-C3C5-4F37-8840-A70652D3C16C}"/>
</file>

<file path=customXml/itemProps2.xml><?xml version="1.0" encoding="utf-8"?>
<ds:datastoreItem xmlns:ds="http://schemas.openxmlformats.org/officeDocument/2006/customXml" ds:itemID="{75C56E0C-3540-4547-964F-54965FFCC08E}"/>
</file>

<file path=customXml/itemProps3.xml><?xml version="1.0" encoding="utf-8"?>
<ds:datastoreItem xmlns:ds="http://schemas.openxmlformats.org/officeDocument/2006/customXml" ds:itemID="{589A605A-0C34-4DA0-80C8-DAA441FBEC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614</vt:i4>
      </vt:variant>
    </vt:vector>
  </HeadingPairs>
  <TitlesOfParts>
    <vt:vector size="630" baseType="lpstr">
      <vt:lpstr>LivestockForageBalance</vt:lpstr>
      <vt:lpstr>TimeControlWorksheet</vt:lpstr>
      <vt:lpstr>Summary</vt:lpstr>
      <vt:lpstr>Instructions</vt:lpstr>
      <vt:lpstr>Field Worksheet</vt:lpstr>
      <vt:lpstr>Explanation sheet for L.O. </vt:lpstr>
      <vt:lpstr>Calculations</vt:lpstr>
      <vt:lpstr>ForageGrowthCurves</vt:lpstr>
      <vt:lpstr>Hay Loss Storage</vt:lpstr>
      <vt:lpstr>PastureGrazingEfficiency</vt:lpstr>
      <vt:lpstr>HayList</vt:lpstr>
      <vt:lpstr>FSGTables</vt:lpstr>
      <vt:lpstr>PrintableLivestockInventory</vt:lpstr>
      <vt:lpstr>PrintableGrazingInventory</vt:lpstr>
      <vt:lpstr>PrintableSummaryBalance</vt:lpstr>
      <vt:lpstr>PrintableHayInventory</vt:lpstr>
      <vt:lpstr>Acres1</vt:lpstr>
      <vt:lpstr>Acres10</vt:lpstr>
      <vt:lpstr>Acres11</vt:lpstr>
      <vt:lpstr>Acres12</vt:lpstr>
      <vt:lpstr>Acres13</vt:lpstr>
      <vt:lpstr>Acres14</vt:lpstr>
      <vt:lpstr>Acres15</vt:lpstr>
      <vt:lpstr>Acres16</vt:lpstr>
      <vt:lpstr>Acres17</vt:lpstr>
      <vt:lpstr>Acres18</vt:lpstr>
      <vt:lpstr>Acres19</vt:lpstr>
      <vt:lpstr>Acres2</vt:lpstr>
      <vt:lpstr>Acres20</vt:lpstr>
      <vt:lpstr>Acres21</vt:lpstr>
      <vt:lpstr>Acres22</vt:lpstr>
      <vt:lpstr>Acres23</vt:lpstr>
      <vt:lpstr>Acres24</vt:lpstr>
      <vt:lpstr>Acres3</vt:lpstr>
      <vt:lpstr>Acres4</vt:lpstr>
      <vt:lpstr>Acres5</vt:lpstr>
      <vt:lpstr>Acres6</vt:lpstr>
      <vt:lpstr>Acres7</vt:lpstr>
      <vt:lpstr>Acres8</vt:lpstr>
      <vt:lpstr>Acres9</vt:lpstr>
      <vt:lpstr>AdvDisAdv</vt:lpstr>
      <vt:lpstr>AltAcres1</vt:lpstr>
      <vt:lpstr>AltAcres2</vt:lpstr>
      <vt:lpstr>AltAcres3</vt:lpstr>
      <vt:lpstr>AltAcres4</vt:lpstr>
      <vt:lpstr>AltAcres5</vt:lpstr>
      <vt:lpstr>AltAcres6</vt:lpstr>
      <vt:lpstr>AltEff1</vt:lpstr>
      <vt:lpstr>AltEff2</vt:lpstr>
      <vt:lpstr>AltEff3</vt:lpstr>
      <vt:lpstr>AltEff4</vt:lpstr>
      <vt:lpstr>AltEff5</vt:lpstr>
      <vt:lpstr>AltEff6</vt:lpstr>
      <vt:lpstr>AltField1</vt:lpstr>
      <vt:lpstr>AltField2</vt:lpstr>
      <vt:lpstr>AltField3</vt:lpstr>
      <vt:lpstr>AltField4</vt:lpstr>
      <vt:lpstr>AltField5</vt:lpstr>
      <vt:lpstr>AltField6</vt:lpstr>
      <vt:lpstr>AltKind1</vt:lpstr>
      <vt:lpstr>AltKind2</vt:lpstr>
      <vt:lpstr>AltKind3</vt:lpstr>
      <vt:lpstr>AltKind4</vt:lpstr>
      <vt:lpstr>AltKind5</vt:lpstr>
      <vt:lpstr>AltKind6</vt:lpstr>
      <vt:lpstr>AltPast1</vt:lpstr>
      <vt:lpstr>AltPast2</vt:lpstr>
      <vt:lpstr>AltPast3</vt:lpstr>
      <vt:lpstr>AltPast4</vt:lpstr>
      <vt:lpstr>AltPast5</vt:lpstr>
      <vt:lpstr>AltPast6</vt:lpstr>
      <vt:lpstr>AltPastDemand</vt:lpstr>
      <vt:lpstr>AltPastSum</vt:lpstr>
      <vt:lpstr>AltPasture</vt:lpstr>
      <vt:lpstr>AltPastureNo</vt:lpstr>
      <vt:lpstr>AltProduction</vt:lpstr>
      <vt:lpstr>AltYield1</vt:lpstr>
      <vt:lpstr>AltYield2</vt:lpstr>
      <vt:lpstr>AltYield3</vt:lpstr>
      <vt:lpstr>AltYield4</vt:lpstr>
      <vt:lpstr>AltYield5</vt:lpstr>
      <vt:lpstr>AltYield6</vt:lpstr>
      <vt:lpstr>AnnualDairy</vt:lpstr>
      <vt:lpstr>AnnualDairyCheck</vt:lpstr>
      <vt:lpstr>Bulls</vt:lpstr>
      <vt:lpstr>BullsAltPast1</vt:lpstr>
      <vt:lpstr>BullsAltPast2</vt:lpstr>
      <vt:lpstr>BullsCheck</vt:lpstr>
      <vt:lpstr>BullsDryLot1</vt:lpstr>
      <vt:lpstr>BullsDryLot2</vt:lpstr>
      <vt:lpstr>BullsInput</vt:lpstr>
      <vt:lpstr>BullsPast</vt:lpstr>
      <vt:lpstr>BullsSummary</vt:lpstr>
      <vt:lpstr>CC1AltPast</vt:lpstr>
      <vt:lpstr>CC1DryLot</vt:lpstr>
      <vt:lpstr>CC1Past</vt:lpstr>
      <vt:lpstr>CC2AltPast</vt:lpstr>
      <vt:lpstr>CC2DryLot</vt:lpstr>
      <vt:lpstr>CC2Past</vt:lpstr>
      <vt:lpstr>CC3AltPast</vt:lpstr>
      <vt:lpstr>CC3DryLot</vt:lpstr>
      <vt:lpstr>CC3Past</vt:lpstr>
      <vt:lpstr>Contents</vt:lpstr>
      <vt:lpstr>County</vt:lpstr>
      <vt:lpstr>CowCalf1</vt:lpstr>
      <vt:lpstr>CowCalf1Check</vt:lpstr>
      <vt:lpstr>CowCalf1Input</vt:lpstr>
      <vt:lpstr>CowCalf2</vt:lpstr>
      <vt:lpstr>CowCalf2Check</vt:lpstr>
      <vt:lpstr>CowCalf2Input</vt:lpstr>
      <vt:lpstr>CowCalf3</vt:lpstr>
      <vt:lpstr>CowCalf3Check</vt:lpstr>
      <vt:lpstr>CowCalf3Input</vt:lpstr>
      <vt:lpstr>CowCalfSum1</vt:lpstr>
      <vt:lpstr>CowCalfSum2</vt:lpstr>
      <vt:lpstr>CowCalfSum3</vt:lpstr>
      <vt:lpstr>Dairy1</vt:lpstr>
      <vt:lpstr>Dairy1Input</vt:lpstr>
      <vt:lpstr>Dairy2</vt:lpstr>
      <vt:lpstr>DairyAlt</vt:lpstr>
      <vt:lpstr>DairySummary1</vt:lpstr>
      <vt:lpstr>DairySummary2</vt:lpstr>
      <vt:lpstr>Date</vt:lpstr>
      <vt:lpstr>DemandAlt</vt:lpstr>
      <vt:lpstr>DetailedSum</vt:lpstr>
      <vt:lpstr>DryDairyDryLot</vt:lpstr>
      <vt:lpstr>DryDairyInput</vt:lpstr>
      <vt:lpstr>DryDairyPast</vt:lpstr>
      <vt:lpstr>DryLot</vt:lpstr>
      <vt:lpstr>DryLotSum</vt:lpstr>
      <vt:lpstr>Efficiency1</vt:lpstr>
      <vt:lpstr>Efficiency10</vt:lpstr>
      <vt:lpstr>Efficiency11</vt:lpstr>
      <vt:lpstr>Efficiency12</vt:lpstr>
      <vt:lpstr>Efficiency13</vt:lpstr>
      <vt:lpstr>Efficiency14</vt:lpstr>
      <vt:lpstr>Efficiency15</vt:lpstr>
      <vt:lpstr>Efficiency16</vt:lpstr>
      <vt:lpstr>Efficiency17</vt:lpstr>
      <vt:lpstr>Efficiency18</vt:lpstr>
      <vt:lpstr>Efficiency19</vt:lpstr>
      <vt:lpstr>Efficiency2</vt:lpstr>
      <vt:lpstr>Efficiency20</vt:lpstr>
      <vt:lpstr>Efficiency21</vt:lpstr>
      <vt:lpstr>Efficiency22</vt:lpstr>
      <vt:lpstr>Efficiency23</vt:lpstr>
      <vt:lpstr>Efficiency24</vt:lpstr>
      <vt:lpstr>Efficiency3</vt:lpstr>
      <vt:lpstr>Efficiency4</vt:lpstr>
      <vt:lpstr>Efficiency5</vt:lpstr>
      <vt:lpstr>Efficiency6</vt:lpstr>
      <vt:lpstr>Efficiency7</vt:lpstr>
      <vt:lpstr>Efficiency8</vt:lpstr>
      <vt:lpstr>Efficiency9</vt:lpstr>
      <vt:lpstr>EnteringData</vt:lpstr>
      <vt:lpstr>Field</vt:lpstr>
      <vt:lpstr>Field1</vt:lpstr>
      <vt:lpstr>Field10</vt:lpstr>
      <vt:lpstr>Field11</vt:lpstr>
      <vt:lpstr>Field12</vt:lpstr>
      <vt:lpstr>Field13</vt:lpstr>
      <vt:lpstr>Field14</vt:lpstr>
      <vt:lpstr>Field15</vt:lpstr>
      <vt:lpstr>Field16</vt:lpstr>
      <vt:lpstr>Field17</vt:lpstr>
      <vt:lpstr>Field18</vt:lpstr>
      <vt:lpstr>Field19</vt:lpstr>
      <vt:lpstr>Field2</vt:lpstr>
      <vt:lpstr>Field20</vt:lpstr>
      <vt:lpstr>Field21</vt:lpstr>
      <vt:lpstr>Field22</vt:lpstr>
      <vt:lpstr>Field23</vt:lpstr>
      <vt:lpstr>Field24</vt:lpstr>
      <vt:lpstr>Field3</vt:lpstr>
      <vt:lpstr>Field4</vt:lpstr>
      <vt:lpstr>Field5</vt:lpstr>
      <vt:lpstr>Field6</vt:lpstr>
      <vt:lpstr>Field7</vt:lpstr>
      <vt:lpstr>Field8</vt:lpstr>
      <vt:lpstr>Field9</vt:lpstr>
      <vt:lpstr>FieldAnnualDairy</vt:lpstr>
      <vt:lpstr>FieldCowCalf</vt:lpstr>
      <vt:lpstr>FieldHorses</vt:lpstr>
      <vt:lpstr>FieldSeasonalDairy</vt:lpstr>
      <vt:lpstr>FieldSheep</vt:lpstr>
      <vt:lpstr>FieldStockers</vt:lpstr>
      <vt:lpstr>FORAGE</vt:lpstr>
      <vt:lpstr>FORAGE2</vt:lpstr>
      <vt:lpstr>ForageList</vt:lpstr>
      <vt:lpstr>ForageProduction</vt:lpstr>
      <vt:lpstr>General</vt:lpstr>
      <vt:lpstr>Goats</vt:lpstr>
      <vt:lpstr>GoatsCheck</vt:lpstr>
      <vt:lpstr>GoatsInput</vt:lpstr>
      <vt:lpstr>GoatsSummary</vt:lpstr>
      <vt:lpstr>Graph</vt:lpstr>
      <vt:lpstr>GrazingSystem</vt:lpstr>
      <vt:lpstr>GrazingSystemSum</vt:lpstr>
      <vt:lpstr>HarvestEff1</vt:lpstr>
      <vt:lpstr>HarvestEff10</vt:lpstr>
      <vt:lpstr>HarvestEff11</vt:lpstr>
      <vt:lpstr>HarvestEff12</vt:lpstr>
      <vt:lpstr>HarvestEff13</vt:lpstr>
      <vt:lpstr>HarvestEff14</vt:lpstr>
      <vt:lpstr>HarvestEff15</vt:lpstr>
      <vt:lpstr>HarvestEff16</vt:lpstr>
      <vt:lpstr>HarvestEff17</vt:lpstr>
      <vt:lpstr>HarvestEff18</vt:lpstr>
      <vt:lpstr>HarvestEff19</vt:lpstr>
      <vt:lpstr>HarvestEff2</vt:lpstr>
      <vt:lpstr>HarvestEff20</vt:lpstr>
      <vt:lpstr>HarvestEff21</vt:lpstr>
      <vt:lpstr>HarvestEff22</vt:lpstr>
      <vt:lpstr>HarvestEff23</vt:lpstr>
      <vt:lpstr>HarvestEff24</vt:lpstr>
      <vt:lpstr>HarvestEff3</vt:lpstr>
      <vt:lpstr>HarvestEff4</vt:lpstr>
      <vt:lpstr>HarvestEff5</vt:lpstr>
      <vt:lpstr>HarvestEff6</vt:lpstr>
      <vt:lpstr>HarvestEff7</vt:lpstr>
      <vt:lpstr>HarvestEff8</vt:lpstr>
      <vt:lpstr>HarvestEff9</vt:lpstr>
      <vt:lpstr>HAY</vt:lpstr>
      <vt:lpstr>HayList</vt:lpstr>
      <vt:lpstr>HayMonth1</vt:lpstr>
      <vt:lpstr>HayMonth10</vt:lpstr>
      <vt:lpstr>HayMonth11</vt:lpstr>
      <vt:lpstr>HayMonth12</vt:lpstr>
      <vt:lpstr>HayMonth13</vt:lpstr>
      <vt:lpstr>HayMonth14</vt:lpstr>
      <vt:lpstr>HayMonth15</vt:lpstr>
      <vt:lpstr>HayMonth16</vt:lpstr>
      <vt:lpstr>HayMonth17</vt:lpstr>
      <vt:lpstr>HayMonth18</vt:lpstr>
      <vt:lpstr>HayMonth19</vt:lpstr>
      <vt:lpstr>HayMonth2</vt:lpstr>
      <vt:lpstr>HayMonth20</vt:lpstr>
      <vt:lpstr>HayMonth21</vt:lpstr>
      <vt:lpstr>HayMonth22</vt:lpstr>
      <vt:lpstr>HayMonth23</vt:lpstr>
      <vt:lpstr>HayMonth24</vt:lpstr>
      <vt:lpstr>HayMonth3</vt:lpstr>
      <vt:lpstr>HayMonth4</vt:lpstr>
      <vt:lpstr>HayMonth5</vt:lpstr>
      <vt:lpstr>HayMonth6</vt:lpstr>
      <vt:lpstr>HayMonth7</vt:lpstr>
      <vt:lpstr>HayMonth8</vt:lpstr>
      <vt:lpstr>HayMonth9</vt:lpstr>
      <vt:lpstr>HayMonthMenu</vt:lpstr>
      <vt:lpstr>HayOnly1</vt:lpstr>
      <vt:lpstr>HayOnly10</vt:lpstr>
      <vt:lpstr>HayOnly2</vt:lpstr>
      <vt:lpstr>HayOnly3</vt:lpstr>
      <vt:lpstr>HayOnly4</vt:lpstr>
      <vt:lpstr>HayOnly5</vt:lpstr>
      <vt:lpstr>HayOnly6</vt:lpstr>
      <vt:lpstr>HayOnly7</vt:lpstr>
      <vt:lpstr>HayOnly8</vt:lpstr>
      <vt:lpstr>HayOnly9</vt:lpstr>
      <vt:lpstr>HayOnlyAcres1</vt:lpstr>
      <vt:lpstr>HayOnlyAcres10</vt:lpstr>
      <vt:lpstr>HayOnlyAcres2</vt:lpstr>
      <vt:lpstr>HayOnlyAcres3</vt:lpstr>
      <vt:lpstr>HayOnlyAcres4</vt:lpstr>
      <vt:lpstr>HayOnlyAcres5</vt:lpstr>
      <vt:lpstr>HayOnlyAcres6</vt:lpstr>
      <vt:lpstr>HayOnlyAcres7</vt:lpstr>
      <vt:lpstr>HayOnlyAcres8</vt:lpstr>
      <vt:lpstr>HayOnlyAcres9</vt:lpstr>
      <vt:lpstr>HayOnlyEff1</vt:lpstr>
      <vt:lpstr>HayOnlyEff10</vt:lpstr>
      <vt:lpstr>HayOnlyEff2</vt:lpstr>
      <vt:lpstr>HayOnlyEff3</vt:lpstr>
      <vt:lpstr>HayOnlyEff4</vt:lpstr>
      <vt:lpstr>HayOnlyEff5</vt:lpstr>
      <vt:lpstr>HayOnlyEff6</vt:lpstr>
      <vt:lpstr>HayOnlyEff7</vt:lpstr>
      <vt:lpstr>HayOnlyEff8</vt:lpstr>
      <vt:lpstr>HayOnlyEff9</vt:lpstr>
      <vt:lpstr>HayOnlyField1</vt:lpstr>
      <vt:lpstr>HayOnlyField10</vt:lpstr>
      <vt:lpstr>HayOnlyField2</vt:lpstr>
      <vt:lpstr>HayOnlyField3</vt:lpstr>
      <vt:lpstr>HayOnlyField4</vt:lpstr>
      <vt:lpstr>HayOnlyField5</vt:lpstr>
      <vt:lpstr>HayOnlyField6</vt:lpstr>
      <vt:lpstr>HayOnlyField7</vt:lpstr>
      <vt:lpstr>HayOnlyField8</vt:lpstr>
      <vt:lpstr>HayOnlyField9</vt:lpstr>
      <vt:lpstr>HayOnlyKind1</vt:lpstr>
      <vt:lpstr>HayOnlyKind10</vt:lpstr>
      <vt:lpstr>HayOnlyKind2</vt:lpstr>
      <vt:lpstr>HayOnlyKind3</vt:lpstr>
      <vt:lpstr>HayOnlyKind4</vt:lpstr>
      <vt:lpstr>HayOnlyKind5</vt:lpstr>
      <vt:lpstr>HayOnlyKind6</vt:lpstr>
      <vt:lpstr>HayOnlyKind7</vt:lpstr>
      <vt:lpstr>HayOnlyKind8</vt:lpstr>
      <vt:lpstr>HayOnlyKind9</vt:lpstr>
      <vt:lpstr>HayOnlyMonth1</vt:lpstr>
      <vt:lpstr>HayOnlyMonth10</vt:lpstr>
      <vt:lpstr>HayOnlyMonth2</vt:lpstr>
      <vt:lpstr>HayOnlyMonth3</vt:lpstr>
      <vt:lpstr>HayOnlyMonth4</vt:lpstr>
      <vt:lpstr>HayOnlyMonth5</vt:lpstr>
      <vt:lpstr>HayOnlyMonth6</vt:lpstr>
      <vt:lpstr>HayOnlyMonth7</vt:lpstr>
      <vt:lpstr>HayOnlyMonth8</vt:lpstr>
      <vt:lpstr>HayOnlyMonth9</vt:lpstr>
      <vt:lpstr>HayOnlyYield1</vt:lpstr>
      <vt:lpstr>HayOnlyYield10</vt:lpstr>
      <vt:lpstr>HayOnlyYield2</vt:lpstr>
      <vt:lpstr>HayOnlyYield3</vt:lpstr>
      <vt:lpstr>HayOnlyYield4</vt:lpstr>
      <vt:lpstr>HayOnlyYield5</vt:lpstr>
      <vt:lpstr>HayOnlyYield6</vt:lpstr>
      <vt:lpstr>HayOnlyYield7</vt:lpstr>
      <vt:lpstr>HayOnlyYield8</vt:lpstr>
      <vt:lpstr>HayOnlyYield9</vt:lpstr>
      <vt:lpstr>HayProd</vt:lpstr>
      <vt:lpstr>HayRow1</vt:lpstr>
      <vt:lpstr>HayRow10</vt:lpstr>
      <vt:lpstr>HayRow11</vt:lpstr>
      <vt:lpstr>HayRow12</vt:lpstr>
      <vt:lpstr>HayRow13</vt:lpstr>
      <vt:lpstr>HayRow14</vt:lpstr>
      <vt:lpstr>HayRow15</vt:lpstr>
      <vt:lpstr>HayRow16</vt:lpstr>
      <vt:lpstr>HayRow17</vt:lpstr>
      <vt:lpstr>HayRow18</vt:lpstr>
      <vt:lpstr>HayRow19</vt:lpstr>
      <vt:lpstr>HayRow2</vt:lpstr>
      <vt:lpstr>HayRow20</vt:lpstr>
      <vt:lpstr>HayRow21</vt:lpstr>
      <vt:lpstr>HayRow22</vt:lpstr>
      <vt:lpstr>HayRow23</vt:lpstr>
      <vt:lpstr>HayRow24</vt:lpstr>
      <vt:lpstr>HayRow3</vt:lpstr>
      <vt:lpstr>HayRow4</vt:lpstr>
      <vt:lpstr>HayRow5</vt:lpstr>
      <vt:lpstr>HayRow6</vt:lpstr>
      <vt:lpstr>HayRow7</vt:lpstr>
      <vt:lpstr>HayRow8</vt:lpstr>
      <vt:lpstr>HayRow9</vt:lpstr>
      <vt:lpstr>HayYield1</vt:lpstr>
      <vt:lpstr>HayYield10</vt:lpstr>
      <vt:lpstr>HayYield11</vt:lpstr>
      <vt:lpstr>HayYield12</vt:lpstr>
      <vt:lpstr>HayYield13</vt:lpstr>
      <vt:lpstr>HayYield14</vt:lpstr>
      <vt:lpstr>HayYield15</vt:lpstr>
      <vt:lpstr>HayYield2</vt:lpstr>
      <vt:lpstr>HayYield3</vt:lpstr>
      <vt:lpstr>HayYield4</vt:lpstr>
      <vt:lpstr>HayYield5</vt:lpstr>
      <vt:lpstr>HayYield6</vt:lpstr>
      <vt:lpstr>HayYield7</vt:lpstr>
      <vt:lpstr>HayYield8</vt:lpstr>
      <vt:lpstr>HayYield9</vt:lpstr>
      <vt:lpstr>Horses</vt:lpstr>
      <vt:lpstr>HorsesAltPast</vt:lpstr>
      <vt:lpstr>HorsesCheck</vt:lpstr>
      <vt:lpstr>HorsesDryLot</vt:lpstr>
      <vt:lpstr>HorsesInput</vt:lpstr>
      <vt:lpstr>HorsesPast</vt:lpstr>
      <vt:lpstr>HorsesSummary</vt:lpstr>
      <vt:lpstr>ID</vt:lpstr>
      <vt:lpstr>Introduction</vt:lpstr>
      <vt:lpstr>Kind1</vt:lpstr>
      <vt:lpstr>Kind10</vt:lpstr>
      <vt:lpstr>Kind11</vt:lpstr>
      <vt:lpstr>Kind12</vt:lpstr>
      <vt:lpstr>Kind13</vt:lpstr>
      <vt:lpstr>Kind14</vt:lpstr>
      <vt:lpstr>Kind15</vt:lpstr>
      <vt:lpstr>Kind16</vt:lpstr>
      <vt:lpstr>Kind17</vt:lpstr>
      <vt:lpstr>Kind18</vt:lpstr>
      <vt:lpstr>Kind19</vt:lpstr>
      <vt:lpstr>Kind2</vt:lpstr>
      <vt:lpstr>Kind20</vt:lpstr>
      <vt:lpstr>Kind21</vt:lpstr>
      <vt:lpstr>Kind22</vt:lpstr>
      <vt:lpstr>Kind23</vt:lpstr>
      <vt:lpstr>Kind24</vt:lpstr>
      <vt:lpstr>Kind3</vt:lpstr>
      <vt:lpstr>Kind4</vt:lpstr>
      <vt:lpstr>Kind5</vt:lpstr>
      <vt:lpstr>Kind6</vt:lpstr>
      <vt:lpstr>Kind7</vt:lpstr>
      <vt:lpstr>Kind8</vt:lpstr>
      <vt:lpstr>Kind9</vt:lpstr>
      <vt:lpstr>LactatingDairyAltPast</vt:lpstr>
      <vt:lpstr>LactatingDairyDryLot</vt:lpstr>
      <vt:lpstr>LactatingDairyInput</vt:lpstr>
      <vt:lpstr>LactatingDairyPast</vt:lpstr>
      <vt:lpstr>Landowner</vt:lpstr>
      <vt:lpstr>LivestockNeeds</vt:lpstr>
      <vt:lpstr>LivestockSheet</vt:lpstr>
      <vt:lpstr>Name</vt:lpstr>
      <vt:lpstr>NoAltPast</vt:lpstr>
      <vt:lpstr>Notes</vt:lpstr>
      <vt:lpstr>Pasture10</vt:lpstr>
      <vt:lpstr>Pasture11</vt:lpstr>
      <vt:lpstr>Pasture12</vt:lpstr>
      <vt:lpstr>Pasture13</vt:lpstr>
      <vt:lpstr>Pasture14</vt:lpstr>
      <vt:lpstr>Pasture15</vt:lpstr>
      <vt:lpstr>Pasture16</vt:lpstr>
      <vt:lpstr>Pasture17</vt:lpstr>
      <vt:lpstr>Pasture18</vt:lpstr>
      <vt:lpstr>Pasture19</vt:lpstr>
      <vt:lpstr>Pasture2</vt:lpstr>
      <vt:lpstr>Pasture20</vt:lpstr>
      <vt:lpstr>Pasture21</vt:lpstr>
      <vt:lpstr>Pasture22</vt:lpstr>
      <vt:lpstr>Pasture23</vt:lpstr>
      <vt:lpstr>Pasture24</vt:lpstr>
      <vt:lpstr>Pasture3</vt:lpstr>
      <vt:lpstr>Pasture4</vt:lpstr>
      <vt:lpstr>Pasture5</vt:lpstr>
      <vt:lpstr>Pasture6</vt:lpstr>
      <vt:lpstr>Pasture7</vt:lpstr>
      <vt:lpstr>Pasture8</vt:lpstr>
      <vt:lpstr>Pasture9</vt:lpstr>
      <vt:lpstr>PastureEffTable</vt:lpstr>
      <vt:lpstr>Planner</vt:lpstr>
      <vt:lpstr>'Explanation sheet for L.O. '!Print_Area</vt:lpstr>
      <vt:lpstr>'Field Worksheet'!Print_Area</vt:lpstr>
      <vt:lpstr>Instructions!Print_Area</vt:lpstr>
      <vt:lpstr>LivestockForageBalance!Print_Area</vt:lpstr>
      <vt:lpstr>PrintableGrazingInventory!Print_Area</vt:lpstr>
      <vt:lpstr>PrintableHayInventory!Print_Area</vt:lpstr>
      <vt:lpstr>PrintableLivestockInventory!Print_Area</vt:lpstr>
      <vt:lpstr>PrintableSummaryBalance!Print_Area</vt:lpstr>
      <vt:lpstr>Summary!Print_Area</vt:lpstr>
      <vt:lpstr>TimeControlWorksheet!Print_Area</vt:lpstr>
      <vt:lpstr>PrintAlt1</vt:lpstr>
      <vt:lpstr>PrintAlt1a</vt:lpstr>
      <vt:lpstr>PrintAlt2</vt:lpstr>
      <vt:lpstr>PrintAlt2a</vt:lpstr>
      <vt:lpstr>PrintAlt3</vt:lpstr>
      <vt:lpstr>PrintAlt3a</vt:lpstr>
      <vt:lpstr>PrintAlt4</vt:lpstr>
      <vt:lpstr>PrintAlt4a</vt:lpstr>
      <vt:lpstr>PrintAlt5</vt:lpstr>
      <vt:lpstr>PrintAlt5a</vt:lpstr>
      <vt:lpstr>PrintAlt6</vt:lpstr>
      <vt:lpstr>PrintAlt6a</vt:lpstr>
      <vt:lpstr>PrintAltPastAll</vt:lpstr>
      <vt:lpstr>PrintAnnualDairya</vt:lpstr>
      <vt:lpstr>PrintAnnualDairyb</vt:lpstr>
      <vt:lpstr>PrintBullsa</vt:lpstr>
      <vt:lpstr>PrintBullsb</vt:lpstr>
      <vt:lpstr>PrintCC1a</vt:lpstr>
      <vt:lpstr>PrintCC1b</vt:lpstr>
      <vt:lpstr>PrintCC2a</vt:lpstr>
      <vt:lpstr>PrintCC2b</vt:lpstr>
      <vt:lpstr>PrintCC3a</vt:lpstr>
      <vt:lpstr>PrintCC3b</vt:lpstr>
      <vt:lpstr>PrintForage1</vt:lpstr>
      <vt:lpstr>PrintForage10</vt:lpstr>
      <vt:lpstr>PrintForage10a</vt:lpstr>
      <vt:lpstr>PrintForage11</vt:lpstr>
      <vt:lpstr>PrintForage11a</vt:lpstr>
      <vt:lpstr>PrintForage12</vt:lpstr>
      <vt:lpstr>PrintForage12a</vt:lpstr>
      <vt:lpstr>PrintForage13</vt:lpstr>
      <vt:lpstr>PrintForage13a</vt:lpstr>
      <vt:lpstr>PrintForage14</vt:lpstr>
      <vt:lpstr>PrintForage14a</vt:lpstr>
      <vt:lpstr>PrintForage15</vt:lpstr>
      <vt:lpstr>PrintForage15a</vt:lpstr>
      <vt:lpstr>PrintForage16</vt:lpstr>
      <vt:lpstr>PrintForage16a</vt:lpstr>
      <vt:lpstr>PrintForage17</vt:lpstr>
      <vt:lpstr>PrintForage17a</vt:lpstr>
      <vt:lpstr>PrintForage18</vt:lpstr>
      <vt:lpstr>PrintForage18a</vt:lpstr>
      <vt:lpstr>PrintForage19</vt:lpstr>
      <vt:lpstr>PrintForage19a</vt:lpstr>
      <vt:lpstr>PrintForage1a</vt:lpstr>
      <vt:lpstr>PrintForage2</vt:lpstr>
      <vt:lpstr>PrintForage20</vt:lpstr>
      <vt:lpstr>PrintForage20a</vt:lpstr>
      <vt:lpstr>PrintForage21</vt:lpstr>
      <vt:lpstr>PrintForage21a</vt:lpstr>
      <vt:lpstr>PrintForage22</vt:lpstr>
      <vt:lpstr>PrintForage22a</vt:lpstr>
      <vt:lpstr>PrintForage23</vt:lpstr>
      <vt:lpstr>PrintForage23a</vt:lpstr>
      <vt:lpstr>PrintForage24</vt:lpstr>
      <vt:lpstr>PrintForage24a</vt:lpstr>
      <vt:lpstr>PrintForage2a</vt:lpstr>
      <vt:lpstr>PrintForage3</vt:lpstr>
      <vt:lpstr>PrintForage3a</vt:lpstr>
      <vt:lpstr>PrintForage4</vt:lpstr>
      <vt:lpstr>PrintForage4a</vt:lpstr>
      <vt:lpstr>PrintForage5</vt:lpstr>
      <vt:lpstr>PrintForage5a</vt:lpstr>
      <vt:lpstr>PrintForage6</vt:lpstr>
      <vt:lpstr>PrintForage6a</vt:lpstr>
      <vt:lpstr>PrintForage7</vt:lpstr>
      <vt:lpstr>PrintForage7a</vt:lpstr>
      <vt:lpstr>PrintForage8</vt:lpstr>
      <vt:lpstr>PrintForage8a</vt:lpstr>
      <vt:lpstr>PrintForage9</vt:lpstr>
      <vt:lpstr>PrintForage9a</vt:lpstr>
      <vt:lpstr>PrintGoatsa</vt:lpstr>
      <vt:lpstr>PrintGoatsb</vt:lpstr>
      <vt:lpstr>PrintHay10a</vt:lpstr>
      <vt:lpstr>PrintHay10b</vt:lpstr>
      <vt:lpstr>PrintHay11a</vt:lpstr>
      <vt:lpstr>PrintHay12a</vt:lpstr>
      <vt:lpstr>PrintHay13a</vt:lpstr>
      <vt:lpstr>PrintHay14a</vt:lpstr>
      <vt:lpstr>PrintHay15a</vt:lpstr>
      <vt:lpstr>PrintHay16a</vt:lpstr>
      <vt:lpstr>PrintHay17a</vt:lpstr>
      <vt:lpstr>PrintHay18a</vt:lpstr>
      <vt:lpstr>PrintHay19a</vt:lpstr>
      <vt:lpstr>PrintHay1a</vt:lpstr>
      <vt:lpstr>PrintHay1b</vt:lpstr>
      <vt:lpstr>PrintHay20a</vt:lpstr>
      <vt:lpstr>PrintHay21a</vt:lpstr>
      <vt:lpstr>PrintHay22a</vt:lpstr>
      <vt:lpstr>PrintHay23a</vt:lpstr>
      <vt:lpstr>PrintHay24a</vt:lpstr>
      <vt:lpstr>PrintHay2a</vt:lpstr>
      <vt:lpstr>PrintHay2b</vt:lpstr>
      <vt:lpstr>PrintHay3a</vt:lpstr>
      <vt:lpstr>PrintHay3b</vt:lpstr>
      <vt:lpstr>PrintHay4a</vt:lpstr>
      <vt:lpstr>PrintHay4b</vt:lpstr>
      <vt:lpstr>PrintHay5a</vt:lpstr>
      <vt:lpstr>PrintHay5b</vt:lpstr>
      <vt:lpstr>PrintHay6a</vt:lpstr>
      <vt:lpstr>PrintHay6b</vt:lpstr>
      <vt:lpstr>PrintHay7a</vt:lpstr>
      <vt:lpstr>PrintHay7b</vt:lpstr>
      <vt:lpstr>PrintHay8a</vt:lpstr>
      <vt:lpstr>PrintHay8b</vt:lpstr>
      <vt:lpstr>PrintHay9a</vt:lpstr>
      <vt:lpstr>PrintHay9b</vt:lpstr>
      <vt:lpstr>PrintHorsesa</vt:lpstr>
      <vt:lpstr>PrintHorsesb</vt:lpstr>
      <vt:lpstr>Printing</vt:lpstr>
      <vt:lpstr>PrintSeasonalDairya</vt:lpstr>
      <vt:lpstr>PrintSeasonalDairyb</vt:lpstr>
      <vt:lpstr>PrintSheepa</vt:lpstr>
      <vt:lpstr>PrintSheepb</vt:lpstr>
      <vt:lpstr>PrintStockers1a</vt:lpstr>
      <vt:lpstr>PrintStockers1b</vt:lpstr>
      <vt:lpstr>PrintStockers2a</vt:lpstr>
      <vt:lpstr>PrintStockers2b</vt:lpstr>
      <vt:lpstr>Saving</vt:lpstr>
      <vt:lpstr>SeasonalDairyAltPast</vt:lpstr>
      <vt:lpstr>SeasonalDairyCheck</vt:lpstr>
      <vt:lpstr>SeasonalDairyDryLot</vt:lpstr>
      <vt:lpstr>SeasonalDairyPast</vt:lpstr>
      <vt:lpstr>Sheep</vt:lpstr>
      <vt:lpstr>SheepCheck</vt:lpstr>
      <vt:lpstr>SheepInput</vt:lpstr>
      <vt:lpstr>SheepSummary</vt:lpstr>
      <vt:lpstr>Stockers1</vt:lpstr>
      <vt:lpstr>Stockers1Check</vt:lpstr>
      <vt:lpstr>Stockers1Input</vt:lpstr>
      <vt:lpstr>Stockers2</vt:lpstr>
      <vt:lpstr>Stockers2Check</vt:lpstr>
      <vt:lpstr>Stockers2Input</vt:lpstr>
      <vt:lpstr>StockersSummary1</vt:lpstr>
      <vt:lpstr>StockersSummary2</vt:lpstr>
      <vt:lpstr>SumBuyHay</vt:lpstr>
      <vt:lpstr>SumCarryoverHay</vt:lpstr>
      <vt:lpstr>SumLoss1</vt:lpstr>
      <vt:lpstr>SumLoss2</vt:lpstr>
      <vt:lpstr>SumLoss3</vt:lpstr>
      <vt:lpstr>Summary</vt:lpstr>
      <vt:lpstr>SummaryFeed</vt:lpstr>
      <vt:lpstr>TimeControl</vt:lpstr>
      <vt:lpstr>TimeControl1</vt:lpstr>
      <vt:lpstr>TimeControl10</vt:lpstr>
      <vt:lpstr>TimeControl11</vt:lpstr>
      <vt:lpstr>TimeControl12</vt:lpstr>
      <vt:lpstr>TimeControl13</vt:lpstr>
      <vt:lpstr>TimeControl14</vt:lpstr>
      <vt:lpstr>TimeControl15</vt:lpstr>
      <vt:lpstr>TimeControl16</vt:lpstr>
      <vt:lpstr>TimeControl17</vt:lpstr>
      <vt:lpstr>TimeControl18</vt:lpstr>
      <vt:lpstr>TimeControl19</vt:lpstr>
      <vt:lpstr>TimeControl2</vt:lpstr>
      <vt:lpstr>TimeControl20</vt:lpstr>
      <vt:lpstr>TimeControl21</vt:lpstr>
      <vt:lpstr>TimeControl22</vt:lpstr>
      <vt:lpstr>TimeControl23</vt:lpstr>
      <vt:lpstr>TimeControl24</vt:lpstr>
      <vt:lpstr>TimeControl3</vt:lpstr>
      <vt:lpstr>TimeControl4</vt:lpstr>
      <vt:lpstr>TimeControl5</vt:lpstr>
      <vt:lpstr>TimeControl6</vt:lpstr>
      <vt:lpstr>TimeControl7</vt:lpstr>
      <vt:lpstr>TimeControl8</vt:lpstr>
      <vt:lpstr>TimeControl9</vt:lpstr>
      <vt:lpstr>TotalAcreGrazed</vt:lpstr>
      <vt:lpstr>TotalAltDemand</vt:lpstr>
      <vt:lpstr>Yield1</vt:lpstr>
      <vt:lpstr>Yield10</vt:lpstr>
      <vt:lpstr>Yield11</vt:lpstr>
      <vt:lpstr>Yield12</vt:lpstr>
      <vt:lpstr>Yield13</vt:lpstr>
      <vt:lpstr>Yield14</vt:lpstr>
      <vt:lpstr>Yield15</vt:lpstr>
      <vt:lpstr>Yield16</vt:lpstr>
      <vt:lpstr>Yield17</vt:lpstr>
      <vt:lpstr>Yield18</vt:lpstr>
      <vt:lpstr>Yield19</vt:lpstr>
      <vt:lpstr>Yield2</vt:lpstr>
      <vt:lpstr>Yield20</vt:lpstr>
      <vt:lpstr>Yield21</vt:lpstr>
      <vt:lpstr>Yield22</vt:lpstr>
      <vt:lpstr>Yield23</vt:lpstr>
      <vt:lpstr>Yield24</vt:lpstr>
      <vt:lpstr>Yield3</vt:lpstr>
      <vt:lpstr>Yield4</vt:lpstr>
      <vt:lpstr>Yield5</vt:lpstr>
      <vt:lpstr>Yield6</vt:lpstr>
      <vt:lpstr>Yield7</vt:lpstr>
      <vt:lpstr>Yield8</vt:lpstr>
      <vt:lpstr>Yield9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Cartwright, Lauren - NRCS, Columbia, MO</dc:creator>
  <cp:lastModifiedBy>Kirwan, Bryon - NRCS, Champaign, IL</cp:lastModifiedBy>
  <cp:lastPrinted>2017-11-22T16:23:55Z</cp:lastPrinted>
  <dcterms:created xsi:type="dcterms:W3CDTF">2000-02-08T15:02:29Z</dcterms:created>
  <dcterms:modified xsi:type="dcterms:W3CDTF">2018-03-09T16:36:43Z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0x0101003F763115A2D86647A2A7FDE4F3FA2D6B</vt:lpwstr>
  </property>
</Properties>
</file>