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240" windowWidth="13275" windowHeight="7305" tabRatio="689" activeTab="1"/>
  </bookViews>
  <sheets>
    <sheet name="Instructions" sheetId="1" r:id="rId1"/>
    <sheet name="Hyd Sum" sheetId="2" r:id="rId2"/>
    <sheet name="lookup" sheetId="3" state="hidden" r:id="rId3"/>
    <sheet name="CN calc" sheetId="4" r:id="rId4"/>
    <sheet name="RCNTables" sheetId="5" state="hidden" r:id="rId5"/>
    <sheet name="Design (1)" sheetId="6" r:id="rId6"/>
    <sheet name="Design (2)" sheetId="7" r:id="rId7"/>
    <sheet name="KS-ENG-8" sheetId="8" r:id="rId8"/>
  </sheets>
  <definedNames>
    <definedName name="A" localSheetId="6">'Design (2)'!$N$26</definedName>
    <definedName name="A">'Design (1)'!$N$26</definedName>
    <definedName name="AC" localSheetId="6">'Design (2)'!$V$20</definedName>
    <definedName name="AC">'Design (1)'!$V$20</definedName>
    <definedName name="AF" localSheetId="6">'Design (2)'!$V$21</definedName>
    <definedName name="AF">'Design (1)'!$V$21</definedName>
    <definedName name="appd">'KS-ENG-8'!$AI$73:$AP$74</definedName>
    <definedName name="approve">'KS-ENG-8'!$J$73:$Z$74</definedName>
    <definedName name="AS" localSheetId="6">'Design (2)'!$AG$1</definedName>
    <definedName name="AS">'Design (1)'!$AG$1</definedName>
    <definedName name="BW" localSheetId="6">'Design (2)'!$G$21</definedName>
    <definedName name="BW">'Design (1)'!$G$21</definedName>
    <definedName name="CFR" localSheetId="6">'Design (2)'!$N$32</definedName>
    <definedName name="CFR">'Design (1)'!$N$32</definedName>
    <definedName name="CH" localSheetId="6">'Design (2)'!$G$33</definedName>
    <definedName name="CH">'Design (1)'!$G$33</definedName>
    <definedName name="ckby">'Hyd Sum'!$G$10:$P$10</definedName>
    <definedName name="ckby2">'KS-ENG-8'!$J$70:$Z$71</definedName>
    <definedName name="ckdate">'Hyd Sum'!$W$10:$AG$10</definedName>
    <definedName name="ckdate2">'KS-ENG-8'!$AI$70:$AP$71</definedName>
    <definedName name="d1r1">'KS-ENG-8'!$BQ$81:$BT$82</definedName>
    <definedName name="d1r10">'KS-ENG-8'!$BU$91:$BW$92</definedName>
    <definedName name="d1r11">'KS-ENG-8'!$BF$99:$BH$100</definedName>
    <definedName name="d1r12">'KS-ENG-8'!$BQ$99:$BT$100</definedName>
    <definedName name="d1r13">'KS-ENG-8'!$CC$99:$CE$100</definedName>
    <definedName name="d1r14">'KS-ENG-8'!$CJ$99:$CL$100</definedName>
    <definedName name="d1r15">'KS-ENG-8'!$CQ$99:$CS$100</definedName>
    <definedName name="d1r2">'KS-ENG-8'!$CK$81:$CW$82</definedName>
    <definedName name="d1r3">'KS-ENG-8'!$BB$85:$BE$86</definedName>
    <definedName name="d1r4">'KS-ENG-8'!$BI$85:$BL$86</definedName>
    <definedName name="d1r5">'KS-ENG-8'!$BQ$85:$BT$86</definedName>
    <definedName name="d1r6">'KS-ENG-8'!$BY$85:$CB$86</definedName>
    <definedName name="d1r7">'KS-ENG-8'!$CF$85:$CI$86</definedName>
    <definedName name="d1r8">'KS-ENG-8'!$CM$85:$CP$86</definedName>
    <definedName name="d1r9">'KS-ENG-8'!$CT$85:$CW$86</definedName>
    <definedName name="d2r1">'KS-ENG-8'!$BQ$103:$BT$104</definedName>
    <definedName name="d2r10">'KS-ENG-8'!$BU$113:$BW$114</definedName>
    <definedName name="d2r11">'KS-ENG-8'!$BF$121:$BH$122</definedName>
    <definedName name="d2r12">'KS-ENG-8'!$BQ$121:$BT$122</definedName>
    <definedName name="d2r13">'KS-ENG-8'!$CC$121:$CE$122</definedName>
    <definedName name="d2r14">'KS-ENG-8'!$CJ$121:$CL$122</definedName>
    <definedName name="d2r15">'KS-ENG-8'!$CQ$121:$CS$122</definedName>
    <definedName name="d2r2">'KS-ENG-8'!$CK$103:$CW$104</definedName>
    <definedName name="d2r3">'KS-ENG-8'!$BB$107:$BE$108</definedName>
    <definedName name="d2r4">'KS-ENG-8'!$BI$107:$BL$108</definedName>
    <definedName name="d2r5">'KS-ENG-8'!$BQ$107:$BT$108</definedName>
    <definedName name="d2r6">'KS-ENG-8'!$BY$107:$CB$108</definedName>
    <definedName name="d2r7">'KS-ENG-8'!$CF$107:$CI$108</definedName>
    <definedName name="d2r8">'KS-ENG-8'!$CM$107:$CP$108</definedName>
    <definedName name="d2r9">'KS-ENG-8'!$CT$107:$CW$108</definedName>
    <definedName name="d3r1">'KS-ENG-8'!$BR$124:$CW$125</definedName>
    <definedName name="d3r10">'KS-ENG-8'!$BL$144:$BP$145</definedName>
    <definedName name="d3r11">'KS-ENG-8'!$BG$146:$BK$147</definedName>
    <definedName name="d3r12">'KS-ENG-8'!$BL$146:$BP$147</definedName>
    <definedName name="d3r13">'KS-ENG-8'!$BB$148:$BF$149</definedName>
    <definedName name="d3r14">'KS-ENG-8'!$BG$148:$BK$149</definedName>
    <definedName name="d3r15">'KS-ENG-8'!$BL$148:$BP$149</definedName>
    <definedName name="d3r16">'KS-ENG-8'!$BX$148:$CB$149</definedName>
    <definedName name="d3r17">'KS-ENG-8'!$CC$148:$CL$149</definedName>
    <definedName name="d3r18">'KS-ENG-8'!$BG$153:$BQ$154</definedName>
    <definedName name="d3r19">'KS-ENG-8'!$BU$153:$BY$154</definedName>
    <definedName name="d3r2">'KS-ENG-8'!$BN$126:$BS$127</definedName>
    <definedName name="d3r20">'KS-ENG-8'!$CG$153:$CQ$154</definedName>
    <definedName name="d3r21">'KS-ENG-8'!$CU$153:$CY$154</definedName>
    <definedName name="d3r3">'KS-ENG-8'!$CC$126:$CW$127</definedName>
    <definedName name="d3r4">'KS-ENG-8'!$BW$128:$CW$129</definedName>
    <definedName name="d3r5">'KS-ENG-8'!$BW$130:$CW$131</definedName>
    <definedName name="d3r6">'KS-ENG-8'!$BW$132:$CW$133</definedName>
    <definedName name="d3r7">'KS-ENG-8'!$BG$131:$BM$132</definedName>
    <definedName name="d3r8">'KS-ENG-8'!$BG$133:$BM$134</definedName>
    <definedName name="d3r9">'KS-ENG-8'!$BG$144:$BK$145</definedName>
    <definedName name="DC" localSheetId="6">'Design (2)'!$AF$8</definedName>
    <definedName name="DC">'Design (1)'!$AF$8</definedName>
    <definedName name="desby">'Hyd Sum'!$G$8:$P$9</definedName>
    <definedName name="desdate">'Hyd Sum'!$W$8:$AG$9</definedName>
    <definedName name="DF" localSheetId="6">'Design (2)'!$AF$9</definedName>
    <definedName name="DF">'Design (1)'!$AF$9</definedName>
    <definedName name="divno1">'Hyd Sum'!$H$15</definedName>
    <definedName name="divno2">'Hyd Sum'!$H$28</definedName>
    <definedName name="flow1">'Hyd Sum'!$U$19:$V$19</definedName>
    <definedName name="flow2">'Hyd Sum'!$U$32:$V$32</definedName>
    <definedName name="h" localSheetId="6">'Design (2)'!$N$23</definedName>
    <definedName name="h">'Design (1)'!$N$23</definedName>
    <definedName name="idno">'Hyd Sum'!$W$4:$AG$5</definedName>
    <definedName name="L" localSheetId="5">'Design (1)'!$G$28</definedName>
    <definedName name="L" localSheetId="6">'Design (2)'!$G$28</definedName>
    <definedName name="layout">'KS-ENG-8'!$J$64:$Z$65</definedName>
    <definedName name="layoutd">'KS-ENG-8'!$AI$64:$AP$65</definedName>
    <definedName name="legal">'Hyd Sum'!$G$6:$P$7</definedName>
    <definedName name="LS" localSheetId="6">'Design (2)'!$G$27</definedName>
    <definedName name="LS">'Design (1)'!$G$27</definedName>
    <definedName name="name">'Hyd Sum'!$G$4:$P$5</definedName>
    <definedName name="p" localSheetId="6">'Design (2)'!$N$24</definedName>
    <definedName name="p">'Design (1)'!$N$24</definedName>
    <definedName name="_xlnm.Print_Area" localSheetId="3">'CN calc'!$B$1:$L$118</definedName>
    <definedName name="_xlnm.Print_Area" localSheetId="5">'Design (1)'!$A$1:$R$41</definedName>
    <definedName name="_xlnm.Print_Area" localSheetId="6">'Design (2)'!$A$1:$R$41</definedName>
    <definedName name="_xlnm.Print_Area" localSheetId="1">'Hyd Sum'!$A$1:$AI$63</definedName>
    <definedName name="_xlnm.Print_Area" localSheetId="7">'KS-ENG-8'!$A$1:$DA$156</definedName>
    <definedName name="Q" localSheetId="6">'Design (2)'!$G$20</definedName>
    <definedName name="Q">'Design (1)'!$G$20</definedName>
    <definedName name="Qc" localSheetId="6">'Design (2)'!$N$28</definedName>
    <definedName name="Qc">'Design (1)'!$N$28</definedName>
    <definedName name="reacha">'Hyd Sum'!$M$15</definedName>
    <definedName name="reachb">'Hyd Sum'!$M$28</definedName>
    <definedName name="s" localSheetId="5">'Design (1)'!$G$26</definedName>
    <definedName name="s" localSheetId="6">'Design (2)'!$G$26</definedName>
    <definedName name="scale">'KS-ENG-8'!$AC$61:$AL$62</definedName>
    <definedName name="sp" localSheetId="6">'Design (2)'!$G$27</definedName>
    <definedName name="sp">'Design (1)'!$G$27</definedName>
    <definedName name="SS1" localSheetId="6">'Design (2)'!$G$23</definedName>
    <definedName name="SS1">'Design (1)'!$G$23</definedName>
    <definedName name="SS2" localSheetId="6">'Design (2)'!$G$24</definedName>
    <definedName name="SS2">'Design (1)'!$G$24</definedName>
    <definedName name="SS3" localSheetId="6">'Design (2)'!$G$25</definedName>
    <definedName name="SS3">'Design (1)'!$G$25</definedName>
    <definedName name="SS4" localSheetId="6">'Design (2)'!$AG$2</definedName>
    <definedName name="SS4">'Design (1)'!$AG$2</definedName>
    <definedName name="TH" localSheetId="6">'Design (2)'!$G$34</definedName>
    <definedName name="TH">'Design (1)'!$G$34</definedName>
    <definedName name="TW" localSheetId="6">'Design (2)'!$G$22</definedName>
    <definedName name="TW">'Design (1)'!$G$22</definedName>
    <definedName name="type1" localSheetId="6">'Design (1)'!$AK$14</definedName>
    <definedName name="type1" localSheetId="7">'Design (1)'!$AK$14</definedName>
    <definedName name="type1">'Design (1)'!$AK$14</definedName>
    <definedName name="type2" localSheetId="7">'Design (2)'!$AK$14</definedName>
    <definedName name="type2">'Design (2)'!$AK$14</definedName>
    <definedName name="Va" localSheetId="6">'Design (2)'!$G$29</definedName>
    <definedName name="Va">'Design (1)'!$G$29</definedName>
    <definedName name="Vc" localSheetId="6">'Design (2)'!$N$27</definedName>
    <definedName name="Vc">'Design (1)'!$N$27</definedName>
    <definedName name="Vs" localSheetId="6">'Design (2)'!$P$27</definedName>
    <definedName name="Vs">'Design (1)'!$P$27</definedName>
    <definedName name="wslp1">'Hyd Sum'!$AE$19:$AF$19</definedName>
    <definedName name="wslp2">'Hyd Sum'!$AE$32:$AF$32</definedName>
  </definedNames>
  <calcPr fullCalcOnLoad="1" iterate="1" iterateCount="1" iterateDelta="0.001"/>
</workbook>
</file>

<file path=xl/comments6.xml><?xml version="1.0" encoding="utf-8"?>
<comments xmlns="http://schemas.openxmlformats.org/spreadsheetml/2006/main">
  <authors>
    <author>Paul T. Larson</author>
  </authors>
  <commentList>
    <comment ref="AF13" authorId="0">
      <text>
        <r>
          <rPr>
            <sz val="8"/>
            <rFont val="Tahoma"/>
            <family val="2"/>
          </rPr>
          <t>linked to optionbutton1 (farmed)</t>
        </r>
        <r>
          <rPr>
            <sz val="8"/>
            <rFont val="Tahoma"/>
            <family val="0"/>
          </rPr>
          <t xml:space="preserve">
</t>
        </r>
      </text>
    </comment>
    <comment ref="AG13" authorId="0">
      <text>
        <r>
          <rPr>
            <sz val="8"/>
            <rFont val="Tahoma"/>
            <family val="2"/>
          </rPr>
          <t>linked to optionbutton2 (vegetated)</t>
        </r>
        <r>
          <rPr>
            <sz val="8"/>
            <rFont val="Tahoma"/>
            <family val="0"/>
          </rPr>
          <t xml:space="preserve">
</t>
        </r>
      </text>
    </comment>
    <comment ref="AK14" authorId="0">
      <text>
        <r>
          <rPr>
            <sz val="8"/>
            <rFont val="Tahoma"/>
            <family val="2"/>
          </rPr>
          <t>farmed or vegetated, written by option button changes</t>
        </r>
        <r>
          <rPr>
            <sz val="8"/>
            <rFont val="Tahoma"/>
            <family val="0"/>
          </rPr>
          <t xml:space="preserve">
</t>
        </r>
      </text>
    </comment>
  </commentList>
</comments>
</file>

<file path=xl/comments7.xml><?xml version="1.0" encoding="utf-8"?>
<comments xmlns="http://schemas.openxmlformats.org/spreadsheetml/2006/main">
  <authors>
    <author>Paul T. Larson</author>
  </authors>
  <commentList>
    <comment ref="AF13" authorId="0">
      <text>
        <r>
          <rPr>
            <sz val="8"/>
            <rFont val="Tahoma"/>
            <family val="2"/>
          </rPr>
          <t>linked to optionbutton1 (farmed)</t>
        </r>
        <r>
          <rPr>
            <sz val="8"/>
            <rFont val="Tahoma"/>
            <family val="0"/>
          </rPr>
          <t xml:space="preserve">
</t>
        </r>
      </text>
    </comment>
    <comment ref="AG13" authorId="0">
      <text>
        <r>
          <rPr>
            <sz val="8"/>
            <rFont val="Tahoma"/>
            <family val="2"/>
          </rPr>
          <t>linked to optionbutton2 (vegetated)</t>
        </r>
        <r>
          <rPr>
            <sz val="8"/>
            <rFont val="Tahoma"/>
            <family val="0"/>
          </rPr>
          <t xml:space="preserve">
</t>
        </r>
      </text>
    </comment>
    <comment ref="AK14" authorId="0">
      <text>
        <r>
          <rPr>
            <sz val="8"/>
            <rFont val="Tahoma"/>
            <family val="2"/>
          </rPr>
          <t>farmed or vegetated, written by option button changes</t>
        </r>
        <r>
          <rPr>
            <sz val="8"/>
            <rFont val="Tahoma"/>
            <family val="0"/>
          </rPr>
          <t xml:space="preserve">
</t>
        </r>
      </text>
    </comment>
  </commentList>
</comments>
</file>

<file path=xl/sharedStrings.xml><?xml version="1.0" encoding="utf-8"?>
<sst xmlns="http://schemas.openxmlformats.org/spreadsheetml/2006/main" count="969" uniqueCount="411">
  <si>
    <t>The 1st "Clear Cells" button on the "CN calc" sheet clears the acres on that sheet.  The 2nd "Clear Cells" button on the "Hyd Sum" sheet will clear that sheet (in combination with the 1st button above).  The 3rd "Clear Cells" button on the "KS-ENG-8" sheet will clear most of that sheet (in combination with the 1st and 2nd buttons above).  The "KS-ENG-8" sheet layout, location map, and channel and ridge profiles data must be highlighted and deleted using the Delete key.</t>
  </si>
  <si>
    <t xml:space="preserve">To print this worksheet, press the "print CN sheet(s)" button at right.  One blank sheet will print even if no acres are entered.  The 2nd page will print if acres were entered.  The "Clear Cells" button can be used to remove the acres from the sheet to start a new design. </t>
  </si>
  <si>
    <t>Clark</t>
  </si>
  <si>
    <t>Comanche</t>
  </si>
  <si>
    <t>Edwards</t>
  </si>
  <si>
    <t>Ellis</t>
  </si>
  <si>
    <t>Ford</t>
  </si>
  <si>
    <t>Gove</t>
  </si>
  <si>
    <t>Grant</t>
  </si>
  <si>
    <t>Gray</t>
  </si>
  <si>
    <t>Greeley</t>
  </si>
  <si>
    <t>Hamilton</t>
  </si>
  <si>
    <t>Haskell</t>
  </si>
  <si>
    <t>Hodgeman</t>
  </si>
  <si>
    <t>Kearny</t>
  </si>
  <si>
    <t>Kiowa</t>
  </si>
  <si>
    <t>Lane</t>
  </si>
  <si>
    <t>Logan</t>
  </si>
  <si>
    <t>Meade</t>
  </si>
  <si>
    <t>Morton</t>
  </si>
  <si>
    <t>Ness</t>
  </si>
  <si>
    <t>Pawnee</t>
  </si>
  <si>
    <t>Rush</t>
  </si>
  <si>
    <t>Scott</t>
  </si>
  <si>
    <t>Seward</t>
  </si>
  <si>
    <t>Stanton</t>
  </si>
  <si>
    <t>Stevens</t>
  </si>
  <si>
    <t>Trego</t>
  </si>
  <si>
    <t>Wallace</t>
  </si>
  <si>
    <t>Wichita</t>
  </si>
  <si>
    <t>Finney</t>
  </si>
  <si>
    <t>%</t>
  </si>
  <si>
    <t>Tc</t>
  </si>
  <si>
    <t>Hydrologic Soil Group</t>
  </si>
  <si>
    <t>A</t>
  </si>
  <si>
    <t>B</t>
  </si>
  <si>
    <t>C</t>
  </si>
  <si>
    <t>D</t>
  </si>
  <si>
    <t>AMC II</t>
  </si>
  <si>
    <t>(ac)</t>
  </si>
  <si>
    <t>AMC I + 0.8(II-I)</t>
  </si>
  <si>
    <t>AMC I + 0.6(II-I)</t>
  </si>
  <si>
    <t>AMC I + 0.4(II-I)</t>
  </si>
  <si>
    <t>AMC I + 0.2(II-I)</t>
  </si>
  <si>
    <t>AMC</t>
  </si>
  <si>
    <t>county</t>
  </si>
  <si>
    <t>annual</t>
  </si>
  <si>
    <t>Area</t>
  </si>
  <si>
    <t>Allen</t>
  </si>
  <si>
    <t>Anderson</t>
  </si>
  <si>
    <t>Atchison</t>
  </si>
  <si>
    <t>Barber</t>
  </si>
  <si>
    <t>Barton</t>
  </si>
  <si>
    <t>Bourbon</t>
  </si>
  <si>
    <t>Brown</t>
  </si>
  <si>
    <t>Butler</t>
  </si>
  <si>
    <t>Chase</t>
  </si>
  <si>
    <t>Chautauqua</t>
  </si>
  <si>
    <t>Cherokee</t>
  </si>
  <si>
    <t>Cheyenne</t>
  </si>
  <si>
    <t>Clay</t>
  </si>
  <si>
    <t>Cloud</t>
  </si>
  <si>
    <t>Coffey</t>
  </si>
  <si>
    <t>Cowley</t>
  </si>
  <si>
    <t>Crawford</t>
  </si>
  <si>
    <t>Decatur</t>
  </si>
  <si>
    <t>Dickinson</t>
  </si>
  <si>
    <t>Doniphan</t>
  </si>
  <si>
    <t>Douglas</t>
  </si>
  <si>
    <t>Elk</t>
  </si>
  <si>
    <t>Ellsworth</t>
  </si>
  <si>
    <t>Franklin</t>
  </si>
  <si>
    <t>Geary</t>
  </si>
  <si>
    <t>Graham</t>
  </si>
  <si>
    <t>Greenwood</t>
  </si>
  <si>
    <t>Harper</t>
  </si>
  <si>
    <t>Harvey</t>
  </si>
  <si>
    <t>Jackson</t>
  </si>
  <si>
    <t>Jefferson</t>
  </si>
  <si>
    <t>Jewell</t>
  </si>
  <si>
    <t>Johnson</t>
  </si>
  <si>
    <t>Kingman</t>
  </si>
  <si>
    <t>Labette</t>
  </si>
  <si>
    <t>Leavenworth</t>
  </si>
  <si>
    <t>Lincoln</t>
  </si>
  <si>
    <t>Linn</t>
  </si>
  <si>
    <t>Lyon</t>
  </si>
  <si>
    <t>Marion</t>
  </si>
  <si>
    <t>Marshall</t>
  </si>
  <si>
    <t>McPherson</t>
  </si>
  <si>
    <t>Miami</t>
  </si>
  <si>
    <t>Mitchell</t>
  </si>
  <si>
    <t>Montgomery</t>
  </si>
  <si>
    <t>Morris</t>
  </si>
  <si>
    <t>Nemaha</t>
  </si>
  <si>
    <t>Neosho</t>
  </si>
  <si>
    <t>Norton</t>
  </si>
  <si>
    <t>Osage</t>
  </si>
  <si>
    <t>Osborne</t>
  </si>
  <si>
    <t>Ottawa</t>
  </si>
  <si>
    <t>Phillips</t>
  </si>
  <si>
    <t>Pottawatomie</t>
  </si>
  <si>
    <t>Pratt</t>
  </si>
  <si>
    <t>Rawlins</t>
  </si>
  <si>
    <t>Reno</t>
  </si>
  <si>
    <t>Republic</t>
  </si>
  <si>
    <t>Rice</t>
  </si>
  <si>
    <t>Riley</t>
  </si>
  <si>
    <t>Rooks</t>
  </si>
  <si>
    <t>Russell</t>
  </si>
  <si>
    <t>Saline</t>
  </si>
  <si>
    <t>Sedgwick</t>
  </si>
  <si>
    <t>Shawnee</t>
  </si>
  <si>
    <t>Sheridan</t>
  </si>
  <si>
    <t>Sherman</t>
  </si>
  <si>
    <t>Smith</t>
  </si>
  <si>
    <t>Stafford</t>
  </si>
  <si>
    <t>Sumner</t>
  </si>
  <si>
    <t>Thomas</t>
  </si>
  <si>
    <t>Wabaunsee</t>
  </si>
  <si>
    <t>Washington</t>
  </si>
  <si>
    <t>Wilson</t>
  </si>
  <si>
    <t>Woodson</t>
  </si>
  <si>
    <t>Wyandotte</t>
  </si>
  <si>
    <t>CN</t>
  </si>
  <si>
    <t>USDA</t>
  </si>
  <si>
    <t>NRCS</t>
  </si>
  <si>
    <t>Name</t>
  </si>
  <si>
    <t>Legal Desc.</t>
  </si>
  <si>
    <t>County</t>
  </si>
  <si>
    <t>Date</t>
  </si>
  <si>
    <t>Designed by</t>
  </si>
  <si>
    <t>Page 2</t>
  </si>
  <si>
    <t>Checked by</t>
  </si>
  <si>
    <t>acres</t>
  </si>
  <si>
    <t>ft</t>
  </si>
  <si>
    <t>Depth of fill</t>
  </si>
  <si>
    <t>cfs</t>
  </si>
  <si>
    <t>:1</t>
  </si>
  <si>
    <t>ft/100 ft</t>
  </si>
  <si>
    <t>fps</t>
  </si>
  <si>
    <t>LJS 05/00</t>
  </si>
  <si>
    <t>Station</t>
  </si>
  <si>
    <t>From</t>
  </si>
  <si>
    <t>To</t>
  </si>
  <si>
    <t>Reach</t>
  </si>
  <si>
    <t>Rod</t>
  </si>
  <si>
    <t>Layout by</t>
  </si>
  <si>
    <t>Diversion No.</t>
  </si>
  <si>
    <t>Channel</t>
  </si>
  <si>
    <t>Ridge</t>
  </si>
  <si>
    <t>Type of Measuring Device</t>
  </si>
  <si>
    <t>Calibration Factor</t>
  </si>
  <si>
    <t>Diversion</t>
  </si>
  <si>
    <t>a</t>
  </si>
  <si>
    <t>Design Data:</t>
  </si>
  <si>
    <t>Storm</t>
  </si>
  <si>
    <t>Rainfall</t>
  </si>
  <si>
    <t>Runoff</t>
  </si>
  <si>
    <t>inches</t>
  </si>
  <si>
    <t>b</t>
  </si>
  <si>
    <t>c</t>
  </si>
  <si>
    <t>d</t>
  </si>
  <si>
    <t>pond.xlt ver. 1.0; 02/03/2001</t>
  </si>
  <si>
    <t>DWR</t>
  </si>
  <si>
    <t>Acres</t>
  </si>
  <si>
    <t>2yr</t>
  </si>
  <si>
    <t>10yr</t>
  </si>
  <si>
    <t>25yr</t>
  </si>
  <si>
    <t>c/d</t>
  </si>
  <si>
    <t>b/d</t>
  </si>
  <si>
    <t>b/c</t>
  </si>
  <si>
    <t>b/c/d</t>
  </si>
  <si>
    <t>a/d</t>
  </si>
  <si>
    <t>a/c</t>
  </si>
  <si>
    <t>a/c/d</t>
  </si>
  <si>
    <t>a/b</t>
  </si>
  <si>
    <t>a/b/d</t>
  </si>
  <si>
    <t>a/b/c</t>
  </si>
  <si>
    <t>a/b/c/d</t>
  </si>
  <si>
    <t>Legal  Desc.</t>
  </si>
  <si>
    <t xml:space="preserve"> acres</t>
  </si>
  <si>
    <t>362.xls</t>
  </si>
  <si>
    <t>la/p</t>
  </si>
  <si>
    <t>Ident. No.</t>
  </si>
  <si>
    <t>Approved by</t>
  </si>
  <si>
    <t xml:space="preserve">Scale 1" = </t>
  </si>
  <si>
    <t>Location Map</t>
  </si>
  <si>
    <t>N</t>
  </si>
  <si>
    <t>KS-ENG-8</t>
  </si>
  <si>
    <t>Layout</t>
  </si>
  <si>
    <t>Design</t>
  </si>
  <si>
    <t>Design Cross Section</t>
  </si>
  <si>
    <t>Design Volume Computations</t>
  </si>
  <si>
    <t>Discharge, Q</t>
  </si>
  <si>
    <t>(</t>
  </si>
  <si>
    <t>Channel and Ridge Profiles</t>
  </si>
  <si>
    <t>farmed</t>
  </si>
  <si>
    <t>vegetated</t>
  </si>
  <si>
    <t>Channel is</t>
  </si>
  <si>
    <t>Qv/Qc</t>
  </si>
  <si>
    <t>Capacity, "n" value</t>
  </si>
  <si>
    <t>Stability, "n" value</t>
  </si>
  <si>
    <t>Stability</t>
  </si>
  <si>
    <t>Capacity</t>
  </si>
  <si>
    <t xml:space="preserve">Avg. cut and front slope (AS) </t>
  </si>
  <si>
    <t xml:space="preserve">Avg. front and back slope (SS4) </t>
  </si>
  <si>
    <t>Fill</t>
  </si>
  <si>
    <t>Total Fill</t>
  </si>
  <si>
    <t>Counter</t>
  </si>
  <si>
    <t>Reading</t>
  </si>
  <si>
    <t>Length</t>
  </si>
  <si>
    <t>Checkout Volume Computations</t>
  </si>
  <si>
    <t>Total Const. Length</t>
  </si>
  <si>
    <t>Checkout by</t>
  </si>
  <si>
    <t>Audited by</t>
  </si>
  <si>
    <t>Land</t>
  </si>
  <si>
    <t>Slope</t>
  </si>
  <si>
    <t>C/F Ratio</t>
  </si>
  <si>
    <t>Cell G21 = CW (BW used in formulas)</t>
  </si>
  <si>
    <t>Cell G27 = LS (sp used in formulas)</t>
  </si>
  <si>
    <t>Diversion - 362 (Gradient)</t>
  </si>
  <si>
    <t>Desired Cut/Fill Ratio</t>
  </si>
  <si>
    <t>2,10,25 below used for data validation in G19</t>
  </si>
  <si>
    <t>Retardance</t>
  </si>
  <si>
    <t>E</t>
  </si>
  <si>
    <t xml:space="preserve">Velocity (Vc and Vs) </t>
  </si>
  <si>
    <t xml:space="preserve">Discharge (Qc and Qs) </t>
  </si>
  <si>
    <t>Diversion Type</t>
  </si>
  <si>
    <t>Method 2 Depth of cut (DC)</t>
  </si>
  <si>
    <t>I</t>
  </si>
  <si>
    <t>varies</t>
  </si>
  <si>
    <t>Length       (feet)</t>
  </si>
  <si>
    <t>Volume *</t>
  </si>
  <si>
    <t>KS-ENG-8 (Page 2)</t>
  </si>
  <si>
    <t>(feet)</t>
  </si>
  <si>
    <t>Checkout</t>
  </si>
  <si>
    <t>Cross Section</t>
  </si>
  <si>
    <t>to   Station</t>
  </si>
  <si>
    <t>Land Slope    %</t>
  </si>
  <si>
    <t>KS</t>
  </si>
  <si>
    <t>Diversion No. and Reach</t>
  </si>
  <si>
    <t>No. and</t>
  </si>
  <si>
    <t>General:</t>
  </si>
  <si>
    <t>Div. No.</t>
  </si>
  <si>
    <t>&amp; Reach</t>
  </si>
  <si>
    <t>Diversion No. &amp; Reach</t>
  </si>
  <si>
    <t>Design sheet:</t>
  </si>
  <si>
    <t>Overview:</t>
  </si>
  <si>
    <t xml:space="preserve">You can save with a .xlt extension (template) and use a shortcut icon on your screen to access the program (the "save" or "save as" will not copy over the template).  You can make changes to the template file by using Excel to load the file and save.  </t>
  </si>
  <si>
    <t>Fallow - Contoured and Gradient Terraces</t>
  </si>
  <si>
    <t>1/  Use estimated long-term land use condition</t>
  </si>
  <si>
    <t>4/  Includes flat pothole areas and other areas with significant storage</t>
  </si>
  <si>
    <t>6/  Includes meadow</t>
  </si>
  <si>
    <t>Row Crops - Straight Row  3/</t>
  </si>
  <si>
    <t>Row Crops - Contoured  3/</t>
  </si>
  <si>
    <t>Row Crops - Contoured and Gradient Terraces</t>
  </si>
  <si>
    <t>Small Grain - Straight Row  3/</t>
  </si>
  <si>
    <t>Small Grain - Contoured  3/</t>
  </si>
  <si>
    <t>Misc.  7/</t>
  </si>
  <si>
    <t>Woods - poor</t>
  </si>
  <si>
    <t>Woods - fair</t>
  </si>
  <si>
    <t>7/  Includes roads, farmsteads, urban areas, etc. (about 3% for most rural areas)</t>
  </si>
  <si>
    <t>3/  Use for designing individual gradient, open-end, storage, and underground outlet terraces</t>
  </si>
  <si>
    <t>5/  Use for designing structures downstream of underground outlet and storage-type terraces</t>
  </si>
  <si>
    <t xml:space="preserve">     ground cover being between a poor and good condition</t>
  </si>
  <si>
    <t>2/  Hydrologic condition for cultivated agriculture lands (including fallow) is based on the effectiveness of the</t>
  </si>
  <si>
    <t>Fallow - Crop Residue Cover</t>
  </si>
  <si>
    <t>Small Grain - Contoured and Gradient Terraces</t>
  </si>
  <si>
    <t>Land use (col C) and footnotes Rev. 4/05 gmb</t>
  </si>
  <si>
    <t xml:space="preserve">Design Frequency Storm </t>
  </si>
  <si>
    <t xml:space="preserve">Earthfill Volume </t>
  </si>
  <si>
    <t xml:space="preserve">"n" Value </t>
  </si>
  <si>
    <t>-year, 24-hour)</t>
  </si>
  <si>
    <t>(cubic feet/foot)</t>
  </si>
  <si>
    <t>(cubic yards)</t>
  </si>
  <si>
    <t>Cut/Fill (C/F) Ratio</t>
  </si>
  <si>
    <t>to Station</t>
  </si>
  <si>
    <t>(%)</t>
  </si>
  <si>
    <t>Antecedent Moisture</t>
  </si>
  <si>
    <t>Condition (AMC)</t>
  </si>
  <si>
    <t xml:space="preserve"> Flow Length</t>
  </si>
  <si>
    <t>feet</t>
  </si>
  <si>
    <t>Watershed Slope</t>
  </si>
  <si>
    <t>hours</t>
  </si>
  <si>
    <t>10-year, 24-hour</t>
  </si>
  <si>
    <t>25-year, 24-hour</t>
  </si>
  <si>
    <t xml:space="preserve"> 2-year, 24-hour</t>
  </si>
  <si>
    <t>Ia values for various CN's</t>
  </si>
  <si>
    <t>Zone No.</t>
  </si>
  <si>
    <t>true or false</t>
  </si>
  <si>
    <t>Ia/P</t>
  </si>
  <si>
    <t>Frequency Storm - Rainfall, inches</t>
  </si>
  <si>
    <t>Ia/P for CN</t>
  </si>
  <si>
    <r>
      <t>Unit Peak Discharge (qu)</t>
    </r>
    <r>
      <rPr>
        <sz val="10"/>
        <rFont val="Times New Roman"/>
        <family val="0"/>
      </rPr>
      <t xml:space="preserve"> for Tc = 0.1 to 10 hrs and Ia/P = 0.10 to 0.50; if Ia/P &lt; 0.10 use Ia/P = 0.10 and if Ia/P &gt; 0.50 use Ia/P = 0.50</t>
    </r>
  </si>
  <si>
    <t>qu</t>
  </si>
  <si>
    <t>Drainage Area</t>
  </si>
  <si>
    <t>Weighted Curve Number, CN</t>
  </si>
  <si>
    <t>Time of Concentration, Tc</t>
  </si>
  <si>
    <t>Drainage Area (acres)</t>
  </si>
  <si>
    <t>Weighted Runoff Curve Number, CN</t>
  </si>
  <si>
    <t>Discharge, Q (cfs)</t>
  </si>
  <si>
    <t>Channel Design Grade (%)</t>
  </si>
  <si>
    <t>Veg. Retardance or "n" (capacity~stability)</t>
  </si>
  <si>
    <t>Design Slopes</t>
  </si>
  <si>
    <t>Cut Slope</t>
  </si>
  <si>
    <t>Front Slope</t>
  </si>
  <si>
    <t>Back Slope</t>
  </si>
  <si>
    <t>Channel Width (feet)</t>
  </si>
  <si>
    <t>Hydraulic Flow Depth (feet)</t>
  </si>
  <si>
    <t>Velocity (feet/second)</t>
  </si>
  <si>
    <t>Freeboard (feet)</t>
  </si>
  <si>
    <t>Design Settled Height - with freeboard (feet)</t>
  </si>
  <si>
    <t>Minimum Const. Height - with 1.10 factor (feet)</t>
  </si>
  <si>
    <t xml:space="preserve">  "qu" is used in Q formula on Hyd Sum</t>
  </si>
  <si>
    <t>Ia</t>
  </si>
  <si>
    <t>(1st row is CN and 2nd row is Ia)</t>
  </si>
  <si>
    <t>Remarks</t>
  </si>
  <si>
    <t>Channel - farmed or vegetated</t>
  </si>
  <si>
    <t>Top Width of Ridge (feet)</t>
  </si>
  <si>
    <t>* Volume = (Length x Area) / 27</t>
  </si>
  <si>
    <t>Cultivated - Storage-Type Terraces  4/ 5/</t>
  </si>
  <si>
    <t>Pasture or Range  6/ - poor</t>
  </si>
  <si>
    <t>Pasture or Range  6/ - fair</t>
  </si>
  <si>
    <t>Pasture or Range  6/ - good</t>
  </si>
  <si>
    <t>Acres (ac) and Curve Number (CN) - Diversion - 362 (Gradient)</t>
  </si>
  <si>
    <t xml:space="preserve">Diversion No. and Reach </t>
  </si>
  <si>
    <t>Hydrologic Summary Sheet - Diversion - 362 (Gradient)</t>
  </si>
  <si>
    <t>USDA      NRCS</t>
  </si>
  <si>
    <t xml:space="preserve">Freeboard </t>
  </si>
  <si>
    <t xml:space="preserve">Stake Method </t>
  </si>
  <si>
    <t>USDA        NRCS</t>
  </si>
  <si>
    <t>Height</t>
  </si>
  <si>
    <t>Printing sheets:</t>
  </si>
  <si>
    <t>Clear Cells buttons:</t>
  </si>
  <si>
    <t>Hyd Sum sheet:</t>
  </si>
  <si>
    <r>
      <t>The "Hyd Sum" sheet is the starting point for the program.</t>
    </r>
    <r>
      <rPr>
        <sz val="10"/>
        <rFont val="Arial"/>
        <family val="0"/>
      </rPr>
      <t xml:space="preserve">  </t>
    </r>
    <r>
      <rPr>
        <b/>
        <sz val="10"/>
        <rFont val="Arial"/>
        <family val="2"/>
      </rPr>
      <t>The top portion of the sheet needs to be filled out because this information will transfer to the other sheets.</t>
    </r>
    <r>
      <rPr>
        <sz val="10"/>
        <rFont val="Arial"/>
        <family val="0"/>
      </rPr>
      <t xml:space="preserve">  Enter the diversion number and reach letter (1a and 1b or 1 and 2).  Use the "CN calc" sheet for calculating the drainage area and weighted curve number (CN) for each reach.  Enter the flow length and watershed slope for each diversion or reach.  The 10-year, 24-hour storm discharge (cfs) will carry to the "Design" sheets.  You can change to a 2-year or 25-year frequency storm on the "Design" sheets for special design situations.  There is a check to see if the lower reach has a cfs equal to or greater than the upper reach with the same diversion number.  If the lower reach cfs is less, the program uses the larger cfs from the upper reach.                                                                                             </t>
    </r>
  </si>
  <si>
    <t>CN calc sheet:</t>
  </si>
  <si>
    <r>
      <t xml:space="preserve">The "CN calc" sheet is set up to calculate curve numbers for each county in Kansas according to the CN tables in Chapter 2 of the National Engineering Handbook Part 650, Engineering Field Handbook.  The adjusted curve numbers between Antecedent Moisture Condition (AMC) I and AMC II will automatically load for each county that is eligible to use them.  The adjusted curve numbers are allowed for 10-year rainfall frequencies and less.  </t>
    </r>
    <r>
      <rPr>
        <b/>
        <sz val="10"/>
        <rFont val="Arial"/>
        <family val="2"/>
      </rPr>
      <t>AMC II CNs must be used for 25-year, 24-hour storms; all dams; and all irrigated land in Kansas.</t>
    </r>
    <r>
      <rPr>
        <sz val="10"/>
        <rFont val="Arial"/>
        <family val="0"/>
      </rPr>
      <t xml:space="preserve">  Enter the acres for each hydrologic soil group and land use.  If you want to use the same acres and curve number for the 2nd reach of the same diversion number (for a change of slope), you must enter at least 1 acre for the 2nd reach.  The total acres and the weighted CN will be transferred to the "Hyd Sum" sheet in the corresponding reach.   </t>
    </r>
  </si>
  <si>
    <t xml:space="preserve">Enter the allowable "Velocity" considering the soil type and vegetative cover, the freeboard, and the stake method.  The program will automatically adjust the depth of cut and the fill height to provide the required discharge and balance the cut/fill ratio to 1.35:1.  The "Minimum Construction Height" and other calculated values will show on the "Design" sheet.  If a different height, velocity, or other design item is desired, adjust the "Channel Width," "Channel Grade," etc., until an acceptable design is completed.  The "Minimum Construction Height" and "Depth of Cut" shown in blue-colored font can be changed, but the "Cut/Fill Ratio" will not be 1.35:1 and the capacity (cfs) will not be the required Q (cfs)--if you enter other data, it will automatically rebalance to 1.35:1.   </t>
  </si>
  <si>
    <r>
      <t>"Design (1)" sheet is used for the 1st diversion or reach and "Design (2)" for the 2nd diversion or reach.  Each sheet has option buttons to select a channel that is either "farmed" or "vegetated."  When you select the option button for "farmed," "</t>
    </r>
    <r>
      <rPr>
        <strike/>
        <sz val="10"/>
        <rFont val="Arial"/>
        <family val="2"/>
      </rPr>
      <t>vegetated</t>
    </r>
    <r>
      <rPr>
        <sz val="10"/>
        <rFont val="Arial"/>
        <family val="0"/>
      </rPr>
      <t xml:space="preserve">" is crossed out to show it was not selected.  The "farmed" and "vegetated" cells to the left of the option buttons are unprotected cells so do not delete or make changes to those cells.  If a farmed channel is selected, the Stability Velocity (fps) and Discharge (cfs) will be calculated using a Manning's equation roughness coefficient "n" value of 0.035; and the Capacity Discharge (cfs) will be calculated using an "n" value of 0.060.  If a vegetated channel is selected, a drop down menu for Retardance Factors is displayed.  Select the design Retardance Factors for both Capacity and Stability.  The capacity should be determined using the highest expected retardance.  </t>
    </r>
  </si>
  <si>
    <t>The "Designed by - Date" will update to the current date when a new "Name" is entered but will not change automatically when a saved file is loaded.  The "Clear Cells" button can be used to remove the data entry and start a new design.  The county is not cleared as most designers will be working in 1 county.  The county can be cleared using the Delete key.</t>
  </si>
  <si>
    <t xml:space="preserve"> Design (1) - Diversion - 362 (Gradient)</t>
  </si>
  <si>
    <t xml:space="preserve">Retardance Factor </t>
  </si>
  <si>
    <t xml:space="preserve"> Design (2) - Diversion - 362 (Gradient)</t>
  </si>
  <si>
    <r>
      <t xml:space="preserve">The </t>
    </r>
    <r>
      <rPr>
        <b/>
        <sz val="10"/>
        <rFont val="Arial"/>
        <family val="2"/>
      </rPr>
      <t>Design</t>
    </r>
    <r>
      <rPr>
        <sz val="10"/>
        <rFont val="Arial"/>
        <family val="0"/>
      </rPr>
      <t xml:space="preserve"> section will be filled in automatically using the Gradient Diversion Program data entry in the "Hyd Sum," "CN calc," "Design (1)," and "Design (2)" sheets as described above.  The "Location Map" allows use of the drawing toolbar or data entry but is not shown as a yellow area.  The </t>
    </r>
    <r>
      <rPr>
        <b/>
        <sz val="10"/>
        <rFont val="Arial"/>
        <family val="2"/>
      </rPr>
      <t>Layout</t>
    </r>
    <r>
      <rPr>
        <sz val="10"/>
        <rFont val="Arial"/>
        <family val="0"/>
      </rPr>
      <t xml:space="preserve"> section allows data entry.  The "Checked by" and "Date" and the "Approved by" and "Date" must be completed.     </t>
    </r>
  </si>
  <si>
    <t>Land Use and Treatment</t>
  </si>
  <si>
    <t>and/or Practice 1/ or Hydrologic Condition 2/</t>
  </si>
  <si>
    <t>The CN calc sheet has a "print CN sheet(s)" button.  Use normal print methods for the other sheets.  If you hold the Ctrl key as the tabs are clicked, you can select multiple sheets to print at one time.  For printing on both sides, print individual tabs.</t>
  </si>
  <si>
    <t>Hide columns AV to BA</t>
  </si>
  <si>
    <t xml:space="preserve">Hide columns AC to AN so the Tab key does not move to the unprotected cells </t>
  </si>
  <si>
    <t>Hide coluns AC to AN so the Tab key does not move to the unprotected cells</t>
  </si>
  <si>
    <t xml:space="preserve">Channel Width </t>
  </si>
  <si>
    <t>Top Width</t>
  </si>
  <si>
    <t xml:space="preserve">Cut Slope </t>
  </si>
  <si>
    <t xml:space="preserve">Front Slope </t>
  </si>
  <si>
    <t xml:space="preserve">Channel Grade </t>
  </si>
  <si>
    <t>Land Slope</t>
  </si>
  <si>
    <t>Diversion Length</t>
  </si>
  <si>
    <t xml:space="preserve">Allowable Velocity </t>
  </si>
  <si>
    <t xml:space="preserve">Designed Settled Height </t>
  </si>
  <si>
    <t xml:space="preserve">Hydraulic Flow Depth </t>
  </si>
  <si>
    <t xml:space="preserve">Wetted Perimeter </t>
  </si>
  <si>
    <t>cubic yards</t>
  </si>
  <si>
    <t>cu ft/ft</t>
  </si>
  <si>
    <t>-year, 24-hour</t>
  </si>
  <si>
    <t xml:space="preserve">Cut Area </t>
  </si>
  <si>
    <t xml:space="preserve">Flow Area </t>
  </si>
  <si>
    <t xml:space="preserve">Hydraulic Radius </t>
  </si>
  <si>
    <t xml:space="preserve">Fill Area </t>
  </si>
  <si>
    <t xml:space="preserve">Cut/Fill (C/F) Ratio </t>
  </si>
  <si>
    <t xml:space="preserve">Minimum Constructed Height </t>
  </si>
  <si>
    <t xml:space="preserve">Depth of Cut  </t>
  </si>
  <si>
    <t xml:space="preserve">Depth of Cut </t>
  </si>
  <si>
    <t xml:space="preserve">Required Discharge, Q </t>
  </si>
  <si>
    <t xml:space="preserve">Channel Width  </t>
  </si>
  <si>
    <t xml:space="preserve">Top Width </t>
  </si>
  <si>
    <t xml:space="preserve">Cut Slope  </t>
  </si>
  <si>
    <t xml:space="preserve">Front Slope  </t>
  </si>
  <si>
    <t xml:space="preserve">Back Slope  </t>
  </si>
  <si>
    <t xml:space="preserve">Land Slope </t>
  </si>
  <si>
    <t xml:space="preserve">Diversion Length  </t>
  </si>
  <si>
    <t xml:space="preserve">Allowable Velocity  </t>
  </si>
  <si>
    <t xml:space="preserve">Wetted Perimeter  </t>
  </si>
  <si>
    <t xml:space="preserve">Hydraulic Radius  </t>
  </si>
  <si>
    <t xml:space="preserve">Flow Area  </t>
  </si>
  <si>
    <t xml:space="preserve">Cut Area  </t>
  </si>
  <si>
    <t xml:space="preserve">Fill Area  </t>
  </si>
  <si>
    <t xml:space="preserve">Acres by Hydrologic Soil Group </t>
  </si>
  <si>
    <t xml:space="preserve">Drainage Area  </t>
  </si>
  <si>
    <t xml:space="preserve">Weighted Curve Number </t>
  </si>
  <si>
    <t xml:space="preserve">Acres by Hydrologic Soil Group  </t>
  </si>
  <si>
    <t xml:space="preserve">Drainage Area </t>
  </si>
  <si>
    <t>Rainfall Type II</t>
  </si>
  <si>
    <t>sq ft</t>
  </si>
  <si>
    <t>Flow Area (square feet)</t>
  </si>
  <si>
    <t>Rev. 5/05</t>
  </si>
  <si>
    <t xml:space="preserve"> Rev. 5/05</t>
  </si>
  <si>
    <t>KS              Rev. 5/05</t>
  </si>
  <si>
    <t xml:space="preserve">Enter the design frequency for a 24-hour storm of 2-, 10-, or 25-year and the corresponding discharge, Q (cfs) will transfer from the "Hyd Sum" sheet to the respective "Design" sheet.  If the "Diversion No. and Reach" is blank, 10 cfs will show for the required discharge to keep the program from malfunctioning.  Enter the information for channel width, top width, cut slope, front slope, back slope, channel grade, land slope, and diversions length in the yellow cells.  The Tab key will move to cells that are unprotected (to allow the sheet to operate correctly) so don't delete or make any changes in those cells. </t>
  </si>
  <si>
    <t>sq mi</t>
  </si>
  <si>
    <t xml:space="preserve">This spreadsheet program can be used to design farmed or vegetated diversions.  The spreadsheet will compute the weighted curve number (CN), the discharge, and the gradient diversion design and then complete the field sheet for the gradient diversion.  </t>
  </si>
  <si>
    <r>
      <t xml:space="preserve">As a general rule, the user will enter all data into yellow cells.  You can use the Tab key to move from one input to the next.  The rest of the spreadsheet is usually write-protected to prevent the accidental erasure of formulas.  </t>
    </r>
    <r>
      <rPr>
        <b/>
        <sz val="10"/>
        <rFont val="Arial"/>
        <family val="2"/>
      </rPr>
      <t xml:space="preserve">Save the file with another name to use as a working copy.  If you have problems or have lost information or formulas, retrieve the original file or your master county file.  The file has a ".xls" extension.                                       </t>
    </r>
  </si>
  <si>
    <t xml:space="preserve">  Instructions for Gradient Diversion Program                                              Page 2</t>
  </si>
  <si>
    <r>
      <t xml:space="preserve">Page 2 is for </t>
    </r>
    <r>
      <rPr>
        <b/>
        <sz val="10"/>
        <rFont val="Arial"/>
        <family val="2"/>
      </rPr>
      <t>Checkout</t>
    </r>
    <r>
      <rPr>
        <sz val="10"/>
        <rFont val="Arial"/>
        <family val="0"/>
      </rPr>
      <t xml:space="preserve"> and may be completed entirely with a pencil in the field as the checkout survey and measurements are completed.  No yellow cells are shown on Page 2, but data entry is allowed.  Select the cells and/or use the Tab key to move to cells to enter data.</t>
    </r>
  </si>
  <si>
    <r>
      <t xml:space="preserve">Press the "Clear Cells" button on the "Hyd Sum" sheet, and most of the data on the "KS-ENG-8" sheet Page 1 will be blank or delete the data on "Hyd Sum" sheet in both Diversion No. and Reach cells for the same results on the "KS-ENG-8" sheet.  Press the "Clear Cells" button on the "KS-ENG-8" sheet to clear Page 1 lower left - scale and the names and dates and Page 2 entries on the right half of the page.  If you want to delete the data in the Location Map and </t>
    </r>
    <r>
      <rPr>
        <b/>
        <sz val="10"/>
        <rFont val="Arial"/>
        <family val="2"/>
      </rPr>
      <t>Layout</t>
    </r>
    <r>
      <rPr>
        <sz val="10"/>
        <rFont val="Arial"/>
        <family val="0"/>
      </rPr>
      <t xml:space="preserve"> on Page 1 or the Channel and Ridge Profiles on Page 2, select the data by highlighting and press the Delete key.  It is easier to start a new job from a blank file.</t>
    </r>
  </si>
  <si>
    <t xml:space="preserve">NRCS                                   Instructions for Gradient Diversion Program                       Rev. 5/05   </t>
  </si>
  <si>
    <t xml:space="preserve">USDA                                                                                                                                          KS   </t>
  </si>
  <si>
    <t>KS-ENG-8 sheet:</t>
  </si>
  <si>
    <t xml:space="preserve">     ground cover being between a poor and good condition.</t>
  </si>
  <si>
    <t>Before any investigation or construction activity, the excavator is responsible for calling Kansas One-Call at 800-344-7233 (800-DIG-SAFE).</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</si>
</sst>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
    <numFmt numFmtId="168" formatCode="mm/dd/yy"/>
    <numFmt numFmtId="169" formatCode=";;;"/>
    <numFmt numFmtId="170" formatCode="0\+00"/>
    <numFmt numFmtId="171" formatCode="General_)"/>
    <numFmt numFmtId="172" formatCode="0.000_)"/>
    <numFmt numFmtId="173" formatCode="0.000000"/>
    <numFmt numFmtId="174" formatCode="0.0000000"/>
    <numFmt numFmtId="175" formatCode="0\ 0/0"/>
    <numFmt numFmtId="176" formatCode="0\-0"/>
    <numFmt numFmtId="177" formatCode="0\'"/>
    <numFmt numFmtId="178" formatCode="0.0\'"/>
    <numFmt numFmtId="179" formatCode="0\'\'"/>
    <numFmt numFmtId="180" formatCode="0.000\'\'"/>
    <numFmt numFmtId="181" formatCode="mmmm\ d\,\ yyyy"/>
    <numFmt numFmtId="182" formatCode="m/yy"/>
    <numFmt numFmtId="183" formatCode="##\+##"/>
    <numFmt numFmtId="184" formatCode="_(&quot;$&quot;* #,##0.0_);_(&quot;$&quot;* \(#,##0.0\);_(&quot;$&quot;* &quot;-&quot;??_);_(@_)"/>
    <numFmt numFmtId="185" formatCode="_(&quot;$&quot;* #,##0_);_(&quot;$&quot;* \(#,##0\);_(&quot;$&quot;* &quot;-&quot;??_);_(@_)"/>
    <numFmt numFmtId="186" formatCode="0.00000000"/>
    <numFmt numFmtId="187" formatCode="00000"/>
    <numFmt numFmtId="188" formatCode="##.0\+##"/>
    <numFmt numFmtId="189" formatCode="##.00\+##"/>
    <numFmt numFmtId="190" formatCode="##.000\+##"/>
    <numFmt numFmtId="191" formatCode="##.\+##"/>
    <numFmt numFmtId="192" formatCode="#.\+##"/>
    <numFmt numFmtId="193" formatCode=".\+;"/>
    <numFmt numFmtId="194" formatCode="00\+00"/>
    <numFmt numFmtId="195" formatCode="_([$$-409]* #,##0.00_);_([$$-409]* \(#,##0.00\);_([$$-409]* &quot;-&quot;??_);_(@_)"/>
    <numFmt numFmtId="196" formatCode="#\+##"/>
    <numFmt numFmtId="197" formatCode="#.0\+##"/>
    <numFmt numFmtId="198" formatCode="0.0%"/>
    <numFmt numFmtId="199" formatCode="_(&quot;$&quot;* #,##0.000_);_(&quot;$&quot;* \(#,##0.000\);_(&quot;$&quot;* &quot;-&quot;??_);_(@_)"/>
    <numFmt numFmtId="200" formatCode="m/d"/>
    <numFmt numFmtId="201" formatCode="m/d/yy;@"/>
    <numFmt numFmtId="202" formatCode="[$-409]dddd\,\ mmmm\ dd\,\ yyyy"/>
    <numFmt numFmtId="203" formatCode="[$-409]h:mm:ss\ AM/PM"/>
    <numFmt numFmtId="204" formatCode="m/d/yyyy;@"/>
  </numFmts>
  <fonts count="37">
    <font>
      <sz val="10"/>
      <name val="Arial"/>
      <family val="0"/>
    </font>
    <font>
      <sz val="10"/>
      <color indexed="12"/>
      <name val="Arial"/>
      <family val="2"/>
    </font>
    <font>
      <sz val="10"/>
      <color indexed="10"/>
      <name val="Arial"/>
      <family val="2"/>
    </font>
    <font>
      <b/>
      <sz val="12"/>
      <name val="Arial"/>
      <family val="2"/>
    </font>
    <font>
      <b/>
      <sz val="10"/>
      <name val="Arial"/>
      <family val="2"/>
    </font>
    <font>
      <sz val="12"/>
      <name val="Arial"/>
      <family val="2"/>
    </font>
    <font>
      <sz val="10"/>
      <name val="Times New Roman"/>
      <family val="0"/>
    </font>
    <font>
      <b/>
      <sz val="16"/>
      <name val="Arial"/>
      <family val="2"/>
    </font>
    <font>
      <b/>
      <sz val="12"/>
      <color indexed="10"/>
      <name val="Arial"/>
      <family val="2"/>
    </font>
    <font>
      <u val="single"/>
      <sz val="10"/>
      <color indexed="36"/>
      <name val="Times New Roman"/>
      <family val="0"/>
    </font>
    <font>
      <u val="single"/>
      <sz val="5"/>
      <color indexed="12"/>
      <name val="Times New Roman"/>
      <family val="0"/>
    </font>
    <font>
      <b/>
      <sz val="10"/>
      <name val="Times New Roman"/>
      <family val="1"/>
    </font>
    <font>
      <sz val="6"/>
      <name val="Small Fonts"/>
      <family val="2"/>
    </font>
    <font>
      <sz val="12"/>
      <name val="Times New Roman"/>
      <family val="1"/>
    </font>
    <font>
      <sz val="10"/>
      <color indexed="14"/>
      <name val="Arial"/>
      <family val="2"/>
    </font>
    <font>
      <b/>
      <sz val="10"/>
      <color indexed="14"/>
      <name val="Arial"/>
      <family val="2"/>
    </font>
    <font>
      <sz val="9"/>
      <name val="Arial"/>
      <family val="2"/>
    </font>
    <font>
      <sz val="11"/>
      <name val="Arial"/>
      <family val="2"/>
    </font>
    <font>
      <sz val="6"/>
      <name val="Arial"/>
      <family val="2"/>
    </font>
    <font>
      <sz val="12"/>
      <color indexed="12"/>
      <name val="Arial"/>
      <family val="2"/>
    </font>
    <font>
      <sz val="12"/>
      <color indexed="10"/>
      <name val="Arial"/>
      <family val="2"/>
    </font>
    <font>
      <u val="single"/>
      <sz val="10"/>
      <name val="Arial"/>
      <family val="2"/>
    </font>
    <font>
      <sz val="10"/>
      <color indexed="8"/>
      <name val="Arial"/>
      <family val="2"/>
    </font>
    <font>
      <strike/>
      <sz val="10"/>
      <name val="Arial"/>
      <family val="2"/>
    </font>
    <font>
      <sz val="10"/>
      <color indexed="48"/>
      <name val="Arial"/>
      <family val="2"/>
    </font>
    <font>
      <b/>
      <sz val="11"/>
      <name val="Arial"/>
      <family val="2"/>
    </font>
    <font>
      <b/>
      <sz val="11"/>
      <name val="Times New Roman"/>
      <family val="1"/>
    </font>
    <font>
      <sz val="11"/>
      <color indexed="10"/>
      <name val="Arial"/>
      <family val="2"/>
    </font>
    <font>
      <sz val="11"/>
      <name val="Times New Roman"/>
      <family val="1"/>
    </font>
    <font>
      <sz val="16"/>
      <name val="Arial"/>
      <family val="2"/>
    </font>
    <font>
      <b/>
      <sz val="11"/>
      <color indexed="10"/>
      <name val="Arial"/>
      <family val="2"/>
    </font>
    <font>
      <sz val="8"/>
      <name val="Tahoma"/>
      <family val="0"/>
    </font>
    <font>
      <sz val="10.5"/>
      <name val="Arial"/>
      <family val="2"/>
    </font>
    <font>
      <sz val="7"/>
      <name val="Arial"/>
      <family val="2"/>
    </font>
    <font>
      <sz val="8"/>
      <name val="Arial"/>
      <family val="0"/>
    </font>
    <font>
      <sz val="10.5"/>
      <name val="Times New Roman"/>
      <family val="1"/>
    </font>
    <font>
      <b/>
      <sz val="8"/>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53">
    <border>
      <left/>
      <right/>
      <top/>
      <bottom/>
      <diagonal/>
    </border>
    <border>
      <left style="medium"/>
      <right>
        <color indexed="63"/>
      </right>
      <top>
        <color indexed="63"/>
      </top>
      <bottom>
        <color indexed="63"/>
      </bottom>
    </border>
    <border>
      <left style="thin"/>
      <right style="medium"/>
      <top style="medium"/>
      <bottom style="thin"/>
    </border>
    <border>
      <left>
        <color indexed="63"/>
      </left>
      <right>
        <color indexed="63"/>
      </right>
      <top style="medium"/>
      <bottom style="thin"/>
    </border>
    <border>
      <left style="thin"/>
      <right style="medium"/>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thin"/>
    </border>
    <border>
      <left style="medium"/>
      <right style="thin"/>
      <top style="medium"/>
      <bottom style="thin"/>
    </border>
    <border>
      <left style="medium"/>
      <right style="thin"/>
      <top style="thin"/>
      <bottom style="thin"/>
    </border>
    <border>
      <left style="thin"/>
      <right>
        <color indexed="63"/>
      </right>
      <top style="thin"/>
      <bottom style="thin"/>
    </border>
    <border>
      <left style="thin"/>
      <right style="medium"/>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medium"/>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color indexed="63"/>
      </bottom>
    </border>
    <border>
      <left style="medium"/>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color indexed="63"/>
      </top>
      <bottom style="thin">
        <color indexed="22"/>
      </bottom>
    </border>
    <border>
      <left>
        <color indexed="63"/>
      </left>
      <right>
        <color indexed="63"/>
      </right>
      <top>
        <color indexed="63"/>
      </top>
      <bottom style="thin">
        <color indexed="22"/>
      </bottom>
    </border>
    <border>
      <left>
        <color indexed="63"/>
      </left>
      <right style="medium"/>
      <top>
        <color indexed="63"/>
      </top>
      <bottom style="thin">
        <color indexed="22"/>
      </bottom>
    </border>
    <border>
      <left>
        <color indexed="63"/>
      </left>
      <right style="thin"/>
      <top>
        <color indexed="63"/>
      </top>
      <bottom style="thin"/>
    </border>
    <border>
      <left style="thin"/>
      <right style="thin"/>
      <top style="thin"/>
      <bottom style="thin"/>
    </border>
    <border>
      <left>
        <color indexed="63"/>
      </left>
      <right>
        <color indexed="63"/>
      </right>
      <top style="thin">
        <color indexed="22"/>
      </top>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9" fontId="0" fillId="0" borderId="0" applyFont="0" applyFill="0" applyBorder="0" applyAlignment="0" applyProtection="0"/>
  </cellStyleXfs>
  <cellXfs count="827">
    <xf numFmtId="0" fontId="0" fillId="0" borderId="0" xfId="0" applyAlignment="1">
      <alignment/>
    </xf>
    <xf numFmtId="0" fontId="0" fillId="0" borderId="0" xfId="0" applyAlignment="1">
      <alignment horizontal="center"/>
    </xf>
    <xf numFmtId="0" fontId="4" fillId="0" borderId="0" xfId="0" applyFont="1" applyAlignment="1">
      <alignment/>
    </xf>
    <xf numFmtId="0" fontId="0" fillId="0" borderId="1" xfId="0" applyBorder="1" applyAlignment="1">
      <alignment/>
    </xf>
    <xf numFmtId="0" fontId="0" fillId="0" borderId="0" xfId="0" applyBorder="1" applyAlignment="1">
      <alignment/>
    </xf>
    <xf numFmtId="0" fontId="6" fillId="0" borderId="0" xfId="23" applyAlignment="1" applyProtection="1">
      <alignment horizontal="left"/>
      <protection/>
    </xf>
    <xf numFmtId="0" fontId="6" fillId="0" borderId="0" xfId="23" applyProtection="1">
      <alignment/>
      <protection/>
    </xf>
    <xf numFmtId="0" fontId="6" fillId="0" borderId="0" xfId="23" applyFont="1" applyProtection="1">
      <alignment/>
      <protection/>
    </xf>
    <xf numFmtId="167" fontId="6" fillId="0" borderId="0" xfId="23" applyNumberFormat="1" applyProtection="1">
      <alignment/>
      <protection/>
    </xf>
    <xf numFmtId="1" fontId="6" fillId="0" borderId="0" xfId="23" applyNumberFormat="1" applyProtection="1">
      <alignment/>
      <protection/>
    </xf>
    <xf numFmtId="0" fontId="6" fillId="0" borderId="0" xfId="0" applyFont="1" applyAlignment="1">
      <alignment/>
    </xf>
    <xf numFmtId="167" fontId="6" fillId="0" borderId="0" xfId="0" applyNumberFormat="1" applyFont="1" applyAlignment="1">
      <alignment/>
    </xf>
    <xf numFmtId="169" fontId="0" fillId="0" borderId="0" xfId="0" applyNumberFormat="1" applyAlignment="1">
      <alignment/>
    </xf>
    <xf numFmtId="0" fontId="0" fillId="0" borderId="0" xfId="0" applyFont="1" applyFill="1" applyBorder="1" applyAlignment="1">
      <alignment/>
    </xf>
    <xf numFmtId="0" fontId="0" fillId="0" borderId="2" xfId="0" applyFont="1" applyFill="1" applyBorder="1" applyAlignment="1">
      <alignment horizontal="center"/>
    </xf>
    <xf numFmtId="0" fontId="0" fillId="0" borderId="0" xfId="0" applyFont="1" applyFill="1" applyBorder="1" applyAlignment="1">
      <alignment horizontal="right"/>
    </xf>
    <xf numFmtId="0" fontId="0" fillId="0" borderId="0" xfId="0" applyFont="1" applyAlignment="1">
      <alignment/>
    </xf>
    <xf numFmtId="0" fontId="0" fillId="0" borderId="3" xfId="0" applyFont="1" applyFill="1" applyBorder="1" applyAlignment="1">
      <alignment horizontal="center"/>
    </xf>
    <xf numFmtId="0" fontId="0" fillId="0" borderId="4" xfId="0" applyFont="1" applyFill="1" applyBorder="1" applyAlignment="1">
      <alignment horizontal="center"/>
    </xf>
    <xf numFmtId="0" fontId="0" fillId="0" borderId="0" xfId="0" applyFont="1" applyFill="1" applyBorder="1" applyAlignment="1" applyProtection="1">
      <alignment horizontal="left"/>
      <protection/>
    </xf>
    <xf numFmtId="0" fontId="0" fillId="0" borderId="0" xfId="0" applyFont="1" applyFill="1" applyBorder="1" applyAlignment="1">
      <alignment horizontal="left"/>
    </xf>
    <xf numFmtId="0" fontId="0" fillId="0" borderId="0" xfId="0" applyFont="1" applyFill="1" applyBorder="1" applyAlignment="1" applyProtection="1">
      <alignment/>
      <protection/>
    </xf>
    <xf numFmtId="0" fontId="0" fillId="0" borderId="0" xfId="0" applyFont="1" applyBorder="1" applyAlignment="1">
      <alignment horizontal="center"/>
    </xf>
    <xf numFmtId="0" fontId="0" fillId="0" borderId="5" xfId="0" applyFont="1" applyFill="1" applyBorder="1" applyAlignment="1" applyProtection="1">
      <alignment horizontal="left"/>
      <protection/>
    </xf>
    <xf numFmtId="0" fontId="0" fillId="0" borderId="0" xfId="0" applyFont="1" applyFill="1" applyAlignment="1">
      <alignment/>
    </xf>
    <xf numFmtId="14" fontId="0" fillId="0" borderId="0" xfId="0" applyNumberFormat="1" applyFont="1" applyFill="1" applyBorder="1" applyAlignment="1" applyProtection="1">
      <alignment horizontal="left"/>
      <protection/>
    </xf>
    <xf numFmtId="2" fontId="0" fillId="0" borderId="6" xfId="0" applyNumberFormat="1" applyBorder="1" applyAlignment="1">
      <alignment/>
    </xf>
    <xf numFmtId="0" fontId="0" fillId="0" borderId="0" xfId="0" applyAlignment="1" applyProtection="1">
      <alignment/>
      <protection/>
    </xf>
    <xf numFmtId="0" fontId="0" fillId="0" borderId="0" xfId="0" applyFont="1" applyAlignment="1">
      <alignment horizontal="right"/>
    </xf>
    <xf numFmtId="0" fontId="0" fillId="0" borderId="0" xfId="0" applyAlignment="1">
      <alignment/>
    </xf>
    <xf numFmtId="0" fontId="7" fillId="0" borderId="0" xfId="0" applyFont="1" applyBorder="1" applyAlignment="1">
      <alignment horizontal="center"/>
    </xf>
    <xf numFmtId="0" fontId="0" fillId="0" borderId="7" xfId="0" applyBorder="1" applyAlignment="1">
      <alignment/>
    </xf>
    <xf numFmtId="0" fontId="0" fillId="0" borderId="8" xfId="0" applyBorder="1" applyAlignment="1">
      <alignment/>
    </xf>
    <xf numFmtId="0" fontId="0" fillId="0" borderId="0" xfId="0" applyBorder="1" applyAlignment="1">
      <alignment horizontal="right"/>
    </xf>
    <xf numFmtId="0" fontId="0" fillId="0" borderId="9" xfId="0" applyBorder="1" applyAlignment="1">
      <alignment/>
    </xf>
    <xf numFmtId="0" fontId="0" fillId="0" borderId="10" xfId="0" applyBorder="1" applyAlignment="1">
      <alignment/>
    </xf>
    <xf numFmtId="0" fontId="0" fillId="0" borderId="0" xfId="0" applyFont="1" applyBorder="1" applyAlignment="1">
      <alignment horizontal="right"/>
    </xf>
    <xf numFmtId="167" fontId="0" fillId="0" borderId="0" xfId="0" applyNumberFormat="1" applyBorder="1" applyAlignment="1">
      <alignment/>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lef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8" fillId="0" borderId="0" xfId="0" applyFont="1" applyBorder="1" applyAlignment="1">
      <alignment/>
    </xf>
    <xf numFmtId="0" fontId="11" fillId="0" borderId="0" xfId="22" applyFont="1">
      <alignment/>
      <protection/>
    </xf>
    <xf numFmtId="0" fontId="0" fillId="0" borderId="0" xfId="0" applyFont="1" applyBorder="1" applyAlignment="1" applyProtection="1">
      <alignment/>
      <protection/>
    </xf>
    <xf numFmtId="0" fontId="0" fillId="2" borderId="0" xfId="0" applyFill="1" applyAlignment="1" applyProtection="1">
      <alignment/>
      <protection/>
    </xf>
    <xf numFmtId="0" fontId="12" fillId="0" borderId="0" xfId="0" applyFont="1" applyAlignment="1" applyProtection="1">
      <alignment/>
      <protection/>
    </xf>
    <xf numFmtId="0" fontId="12" fillId="2" borderId="0" xfId="0" applyFont="1" applyFill="1" applyAlignment="1" applyProtection="1">
      <alignment/>
      <protection/>
    </xf>
    <xf numFmtId="0" fontId="13" fillId="0" borderId="0" xfId="0" applyFont="1" applyAlignment="1" applyProtection="1">
      <alignment/>
      <protection/>
    </xf>
    <xf numFmtId="0" fontId="13" fillId="2" borderId="0" xfId="0" applyFont="1" applyFill="1" applyAlignment="1" applyProtection="1">
      <alignment/>
      <protection/>
    </xf>
    <xf numFmtId="169" fontId="0" fillId="2" borderId="0" xfId="0" applyNumberFormat="1" applyFill="1" applyAlignment="1" applyProtection="1">
      <alignment/>
      <protection/>
    </xf>
    <xf numFmtId="0" fontId="0" fillId="2" borderId="0" xfId="0" applyFill="1" applyBorder="1" applyAlignment="1" applyProtection="1">
      <alignment/>
      <protection/>
    </xf>
    <xf numFmtId="169" fontId="6" fillId="0" borderId="0" xfId="23" applyNumberFormat="1" applyAlignment="1" quotePrefix="1">
      <alignment horizontal="left"/>
      <protection/>
    </xf>
    <xf numFmtId="0" fontId="6" fillId="0" borderId="0" xfId="23">
      <alignment/>
      <protection/>
    </xf>
    <xf numFmtId="172" fontId="6" fillId="0" borderId="0" xfId="23" applyNumberFormat="1" applyProtection="1">
      <alignment/>
      <protection/>
    </xf>
    <xf numFmtId="1" fontId="6" fillId="0" borderId="0" xfId="23" applyNumberFormat="1" applyFont="1" applyProtection="1">
      <alignment/>
      <protection/>
    </xf>
    <xf numFmtId="0" fontId="6" fillId="0" borderId="14" xfId="23" applyBorder="1">
      <alignment/>
      <protection/>
    </xf>
    <xf numFmtId="0" fontId="6" fillId="0" borderId="15" xfId="23" applyBorder="1">
      <alignment/>
      <protection/>
    </xf>
    <xf numFmtId="0" fontId="6" fillId="0" borderId="0" xfId="23" applyBorder="1">
      <alignment/>
      <protection/>
    </xf>
    <xf numFmtId="0" fontId="6" fillId="0" borderId="16" xfId="23" applyBorder="1">
      <alignment/>
      <protection/>
    </xf>
    <xf numFmtId="0" fontId="6" fillId="0" borderId="0" xfId="23" applyFont="1" applyBorder="1">
      <alignment/>
      <protection/>
    </xf>
    <xf numFmtId="165" fontId="6" fillId="0" borderId="0" xfId="23" applyNumberFormat="1" applyBorder="1">
      <alignment/>
      <protection/>
    </xf>
    <xf numFmtId="2" fontId="6" fillId="0" borderId="15" xfId="23" applyNumberFormat="1" applyBorder="1">
      <alignment/>
      <protection/>
    </xf>
    <xf numFmtId="2" fontId="6" fillId="0" borderId="0" xfId="23" applyNumberFormat="1" applyBorder="1">
      <alignment/>
      <protection/>
    </xf>
    <xf numFmtId="0" fontId="6" fillId="0" borderId="17" xfId="23" applyBorder="1">
      <alignment/>
      <protection/>
    </xf>
    <xf numFmtId="0" fontId="6" fillId="0" borderId="12" xfId="23" applyBorder="1">
      <alignment/>
      <protection/>
    </xf>
    <xf numFmtId="0" fontId="6" fillId="0" borderId="18" xfId="23" applyBorder="1">
      <alignment/>
      <protection/>
    </xf>
    <xf numFmtId="0" fontId="0" fillId="0" borderId="1" xfId="0" applyFill="1" applyBorder="1" applyAlignment="1">
      <alignment/>
    </xf>
    <xf numFmtId="0" fontId="0" fillId="0" borderId="0" xfId="0" applyFill="1" applyBorder="1" applyAlignment="1">
      <alignment/>
    </xf>
    <xf numFmtId="0" fontId="14" fillId="0" borderId="0" xfId="0" applyFont="1" applyFill="1" applyAlignment="1">
      <alignment/>
    </xf>
    <xf numFmtId="0" fontId="14" fillId="0" borderId="0" xfId="0"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xf>
    <xf numFmtId="0" fontId="15" fillId="0" borderId="0" xfId="0" applyFont="1" applyFill="1" applyBorder="1" applyAlignment="1">
      <alignment/>
    </xf>
    <xf numFmtId="0" fontId="14" fillId="0" borderId="9" xfId="0" applyFont="1" applyFill="1" applyBorder="1" applyAlignment="1">
      <alignment/>
    </xf>
    <xf numFmtId="0" fontId="0" fillId="0" borderId="9" xfId="0" applyFill="1" applyBorder="1" applyAlignment="1">
      <alignment/>
    </xf>
    <xf numFmtId="0" fontId="0" fillId="0" borderId="11" xfId="0" applyFill="1" applyBorder="1" applyAlignment="1" quotePrefix="1">
      <alignment horizontal="left"/>
    </xf>
    <xf numFmtId="0" fontId="0" fillId="0" borderId="12" xfId="0" applyFill="1" applyBorder="1" applyAlignment="1">
      <alignment/>
    </xf>
    <xf numFmtId="0" fontId="0" fillId="0" borderId="13" xfId="0" applyFill="1" applyBorder="1" applyAlignment="1">
      <alignment/>
    </xf>
    <xf numFmtId="0" fontId="0" fillId="0" borderId="0" xfId="0" applyFont="1" applyAlignment="1" applyProtection="1">
      <alignment/>
      <protection/>
    </xf>
    <xf numFmtId="0" fontId="0" fillId="2" borderId="0" xfId="0" applyFont="1" applyFill="1" applyAlignment="1" applyProtection="1">
      <alignment/>
      <protection/>
    </xf>
    <xf numFmtId="0" fontId="12" fillId="0" borderId="0" xfId="0" applyFont="1" applyBorder="1" applyAlignment="1" applyProtection="1">
      <alignment/>
      <protection/>
    </xf>
    <xf numFmtId="0" fontId="12" fillId="0" borderId="0" xfId="0" applyFont="1" applyBorder="1" applyAlignment="1" applyProtection="1">
      <alignment horizontal="centerContinuous"/>
      <protection/>
    </xf>
    <xf numFmtId="0" fontId="12" fillId="2" borderId="0" xfId="0" applyFont="1" applyFill="1" applyBorder="1" applyAlignment="1" applyProtection="1">
      <alignment/>
      <protection/>
    </xf>
    <xf numFmtId="0" fontId="0" fillId="0" borderId="0" xfId="0" applyFont="1" applyBorder="1" applyAlignment="1" applyProtection="1">
      <alignment horizontal="left"/>
      <protection/>
    </xf>
    <xf numFmtId="0" fontId="0" fillId="0" borderId="0" xfId="0" applyFont="1" applyFill="1" applyBorder="1" applyAlignment="1" applyProtection="1">
      <alignment horizontal="right"/>
      <protection/>
    </xf>
    <xf numFmtId="0" fontId="18" fillId="0" borderId="0" xfId="0" applyFont="1" applyBorder="1" applyAlignment="1" applyProtection="1">
      <alignment/>
      <protection/>
    </xf>
    <xf numFmtId="0" fontId="0" fillId="0" borderId="0" xfId="0" applyFont="1" applyFill="1" applyBorder="1" applyAlignment="1" applyProtection="1">
      <alignment horizontal="center"/>
      <protection/>
    </xf>
    <xf numFmtId="0" fontId="5" fillId="0" borderId="0" xfId="0" applyFont="1" applyBorder="1" applyAlignment="1" applyProtection="1">
      <alignment/>
      <protection/>
    </xf>
    <xf numFmtId="0" fontId="18" fillId="0" borderId="0" xfId="0" applyFont="1" applyBorder="1" applyAlignment="1" applyProtection="1">
      <alignment/>
      <protection/>
    </xf>
    <xf numFmtId="0" fontId="0" fillId="0" borderId="0" xfId="0" applyFont="1" applyBorder="1" applyAlignment="1" applyProtection="1">
      <alignment horizontal="center"/>
      <protection/>
    </xf>
    <xf numFmtId="0" fontId="19" fillId="0" borderId="0" xfId="0" applyFont="1" applyBorder="1" applyAlignment="1" applyProtection="1">
      <alignment horizontal="center"/>
      <protection/>
    </xf>
    <xf numFmtId="0" fontId="20" fillId="0" borderId="0" xfId="0" applyFont="1" applyBorder="1" applyAlignment="1" applyProtection="1">
      <alignment/>
      <protection/>
    </xf>
    <xf numFmtId="0" fontId="13" fillId="2"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21" fillId="0" borderId="0" xfId="0" applyFont="1" applyAlignment="1" applyProtection="1">
      <alignment/>
      <protection/>
    </xf>
    <xf numFmtId="0" fontId="0" fillId="0" borderId="0" xfId="0" applyFont="1" applyAlignment="1" applyProtection="1">
      <alignment horizontal="center"/>
      <protection/>
    </xf>
    <xf numFmtId="0" fontId="0" fillId="0" borderId="10" xfId="0" applyFont="1" applyBorder="1" applyAlignment="1" applyProtection="1">
      <alignment/>
      <protection/>
    </xf>
    <xf numFmtId="0" fontId="0" fillId="0" borderId="7" xfId="0" applyFont="1" applyBorder="1" applyAlignment="1" applyProtection="1">
      <alignment/>
      <protection/>
    </xf>
    <xf numFmtId="0" fontId="0" fillId="0" borderId="8" xfId="0" applyFont="1" applyBorder="1" applyAlignment="1" applyProtection="1">
      <alignment/>
      <protection/>
    </xf>
    <xf numFmtId="0" fontId="0" fillId="0" borderId="1" xfId="0" applyFont="1" applyBorder="1" applyAlignment="1" applyProtection="1">
      <alignment/>
      <protection/>
    </xf>
    <xf numFmtId="0" fontId="2" fillId="0" borderId="0" xfId="0" applyFont="1" applyBorder="1" applyAlignment="1" applyProtection="1">
      <alignment/>
      <protection/>
    </xf>
    <xf numFmtId="0" fontId="0" fillId="0" borderId="9" xfId="0" applyFont="1" applyBorder="1" applyAlignment="1" applyProtection="1">
      <alignment/>
      <protection/>
    </xf>
    <xf numFmtId="169" fontId="0" fillId="0" borderId="0" xfId="0" applyNumberFormat="1" applyFont="1" applyBorder="1" applyAlignment="1" applyProtection="1">
      <alignment horizontal="centerContinuous"/>
      <protection/>
    </xf>
    <xf numFmtId="0" fontId="23" fillId="0" borderId="1" xfId="0" applyFont="1" applyBorder="1" applyAlignment="1" applyProtection="1">
      <alignment/>
      <protection/>
    </xf>
    <xf numFmtId="169" fontId="0" fillId="0" borderId="0" xfId="0" applyNumberFormat="1" applyFont="1" applyBorder="1" applyAlignment="1" applyProtection="1">
      <alignment/>
      <protection/>
    </xf>
    <xf numFmtId="0" fontId="0" fillId="0" borderId="0" xfId="0" applyAlignment="1" applyProtection="1">
      <alignment/>
      <protection hidden="1"/>
    </xf>
    <xf numFmtId="0" fontId="0" fillId="0" borderId="11" xfId="0" applyFont="1" applyBorder="1" applyAlignment="1" applyProtection="1">
      <alignment/>
      <protection/>
    </xf>
    <xf numFmtId="0" fontId="0" fillId="0" borderId="12" xfId="0" applyFont="1" applyBorder="1" applyAlignment="1" applyProtection="1" quotePrefix="1">
      <alignment horizontal="left"/>
      <protection/>
    </xf>
    <xf numFmtId="0" fontId="0" fillId="0" borderId="12" xfId="0" applyFont="1" applyBorder="1" applyAlignment="1" applyProtection="1">
      <alignment/>
      <protection/>
    </xf>
    <xf numFmtId="169" fontId="0" fillId="0" borderId="12" xfId="0" applyNumberFormat="1" applyFont="1" applyBorder="1" applyAlignment="1" applyProtection="1">
      <alignment/>
      <protection/>
    </xf>
    <xf numFmtId="169" fontId="0" fillId="0" borderId="9" xfId="0" applyNumberFormat="1" applyFont="1" applyBorder="1" applyAlignment="1" applyProtection="1">
      <alignment/>
      <protection/>
    </xf>
    <xf numFmtId="0" fontId="0" fillId="0" borderId="12" xfId="0" applyFont="1" applyFill="1" applyBorder="1" applyAlignment="1" applyProtection="1">
      <alignment/>
      <protection/>
    </xf>
    <xf numFmtId="0" fontId="0" fillId="0" borderId="0" xfId="0" applyFont="1" applyFill="1" applyBorder="1" applyAlignment="1" applyProtection="1">
      <alignment horizontal="center" vertical="center"/>
      <protection/>
    </xf>
    <xf numFmtId="0" fontId="0" fillId="0" borderId="0" xfId="0" applyFont="1" applyBorder="1" applyAlignment="1">
      <alignment horizontal="center" vertical="center"/>
    </xf>
    <xf numFmtId="0" fontId="0" fillId="0" borderId="5" xfId="0" applyFont="1" applyBorder="1" applyAlignment="1">
      <alignment horizontal="left"/>
    </xf>
    <xf numFmtId="14" fontId="0" fillId="0" borderId="5" xfId="0" applyNumberFormat="1" applyFont="1" applyBorder="1" applyAlignment="1">
      <alignment horizontal="left"/>
    </xf>
    <xf numFmtId="0" fontId="0" fillId="0" borderId="0" xfId="0" applyBorder="1" applyAlignment="1">
      <alignment/>
    </xf>
    <xf numFmtId="14" fontId="0" fillId="0" borderId="0" xfId="0" applyNumberFormat="1" applyFont="1" applyBorder="1" applyAlignment="1">
      <alignment horizontal="left"/>
    </xf>
    <xf numFmtId="0" fontId="0" fillId="0" borderId="19" xfId="0" applyFont="1" applyFill="1" applyBorder="1" applyAlignment="1">
      <alignment/>
    </xf>
    <xf numFmtId="0" fontId="0" fillId="0" borderId="20" xfId="0" applyFont="1" applyFill="1" applyBorder="1" applyAlignment="1">
      <alignment horizontal="center"/>
    </xf>
    <xf numFmtId="0" fontId="0" fillId="0" borderId="21" xfId="0" applyFont="1" applyFill="1" applyBorder="1" applyAlignment="1" applyProtection="1">
      <alignment horizontal="center"/>
      <protection/>
    </xf>
    <xf numFmtId="0" fontId="0" fillId="0" borderId="22" xfId="0" applyFont="1" applyFill="1" applyBorder="1" applyAlignment="1" applyProtection="1">
      <alignment/>
      <protection/>
    </xf>
    <xf numFmtId="0" fontId="0" fillId="0" borderId="5" xfId="0" applyFill="1" applyBorder="1" applyAlignment="1">
      <alignment horizontal="center"/>
    </xf>
    <xf numFmtId="0" fontId="0" fillId="0" borderId="4" xfId="0" applyFill="1" applyBorder="1" applyAlignment="1">
      <alignment horizontal="center"/>
    </xf>
    <xf numFmtId="0" fontId="4" fillId="0" borderId="21" xfId="0" applyFont="1" applyFill="1" applyBorder="1" applyAlignment="1" applyProtection="1">
      <alignment horizontal="center"/>
      <protection/>
    </xf>
    <xf numFmtId="0" fontId="4" fillId="0" borderId="22" xfId="0" applyFont="1" applyFill="1" applyBorder="1" applyAlignment="1" applyProtection="1">
      <alignment/>
      <protection/>
    </xf>
    <xf numFmtId="0" fontId="4" fillId="0" borderId="5" xfId="0" applyFont="1" applyFill="1" applyBorder="1" applyAlignment="1" applyProtection="1">
      <alignment horizontal="center"/>
      <protection/>
    </xf>
    <xf numFmtId="0" fontId="4" fillId="0" borderId="4"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4" fillId="0" borderId="23" xfId="0" applyFont="1" applyFill="1" applyBorder="1" applyAlignment="1" applyProtection="1">
      <alignment horizontal="center"/>
      <protection/>
    </xf>
    <xf numFmtId="0" fontId="4" fillId="0" borderId="1" xfId="0" applyFont="1" applyFill="1" applyBorder="1" applyAlignment="1" applyProtection="1">
      <alignment/>
      <protection/>
    </xf>
    <xf numFmtId="0" fontId="4" fillId="0" borderId="0" xfId="0" applyFont="1" applyFill="1" applyBorder="1" applyAlignment="1" applyProtection="1">
      <alignment/>
      <protection/>
    </xf>
    <xf numFmtId="0" fontId="0" fillId="0" borderId="21" xfId="0" applyFont="1" applyFill="1" applyBorder="1" applyAlignment="1">
      <alignment horizontal="center"/>
    </xf>
    <xf numFmtId="0" fontId="0" fillId="0" borderId="5" xfId="0" applyFont="1" applyFill="1" applyBorder="1" applyAlignment="1">
      <alignment horizontal="center"/>
    </xf>
    <xf numFmtId="0" fontId="0" fillId="0" borderId="0" xfId="0" applyFont="1" applyFill="1" applyAlignment="1">
      <alignment horizontal="right"/>
    </xf>
    <xf numFmtId="0" fontId="0" fillId="0" borderId="0" xfId="0" applyAlignment="1">
      <alignment horizontal="right"/>
    </xf>
    <xf numFmtId="0" fontId="0" fillId="0" borderId="24" xfId="0" applyBorder="1" applyAlignment="1">
      <alignment horizontal="right"/>
    </xf>
    <xf numFmtId="0" fontId="0" fillId="0" borderId="0" xfId="0" applyFont="1" applyFill="1" applyAlignment="1" quotePrefix="1">
      <alignment horizontal="right"/>
    </xf>
    <xf numFmtId="0" fontId="4" fillId="0" borderId="6" xfId="0" applyNumberFormat="1" applyFont="1" applyFill="1" applyBorder="1" applyAlignment="1">
      <alignment horizontal="right"/>
    </xf>
    <xf numFmtId="0" fontId="4" fillId="0" borderId="5" xfId="0" applyFont="1" applyFill="1" applyBorder="1" applyAlignment="1">
      <alignment horizontal="right"/>
    </xf>
    <xf numFmtId="0" fontId="0" fillId="0" borderId="0" xfId="0" applyFill="1" applyBorder="1" applyAlignment="1" quotePrefix="1">
      <alignment horizontal="left"/>
    </xf>
    <xf numFmtId="0" fontId="0" fillId="0" borderId="6" xfId="0" applyFont="1" applyFill="1" applyBorder="1" applyAlignment="1">
      <alignment horizontal="left"/>
    </xf>
    <xf numFmtId="0" fontId="0" fillId="0" borderId="25" xfId="0" applyFont="1" applyFill="1" applyBorder="1" applyAlignment="1">
      <alignment/>
    </xf>
    <xf numFmtId="0" fontId="0" fillId="0" borderId="26" xfId="0" applyFont="1" applyFill="1" applyBorder="1" applyAlignment="1">
      <alignment/>
    </xf>
    <xf numFmtId="0" fontId="0" fillId="0" borderId="19" xfId="0" applyFont="1" applyFill="1" applyBorder="1" applyAlignment="1">
      <alignment horizontal="center"/>
    </xf>
    <xf numFmtId="0" fontId="0" fillId="0" borderId="6" xfId="0" applyFont="1" applyFill="1" applyBorder="1" applyAlignment="1">
      <alignment horizontal="center"/>
    </xf>
    <xf numFmtId="0" fontId="0" fillId="0" borderId="27" xfId="0" applyFont="1" applyFill="1" applyBorder="1" applyAlignment="1">
      <alignment horizontal="center"/>
    </xf>
    <xf numFmtId="0" fontId="0" fillId="0" borderId="28" xfId="0" applyFont="1" applyFill="1" applyBorder="1" applyAlignment="1">
      <alignment horizontal="center"/>
    </xf>
    <xf numFmtId="0" fontId="0" fillId="0" borderId="28" xfId="0" applyFill="1" applyBorder="1" applyAlignment="1">
      <alignment horizontal="center"/>
    </xf>
    <xf numFmtId="0" fontId="4" fillId="0" borderId="28" xfId="0" applyFont="1" applyFill="1" applyBorder="1" applyAlignment="1" applyProtection="1">
      <alignment horizontal="center"/>
      <protection/>
    </xf>
    <xf numFmtId="0" fontId="4" fillId="0" borderId="29" xfId="0" applyFont="1" applyFill="1" applyBorder="1" applyAlignment="1" applyProtection="1">
      <alignment/>
      <protection/>
    </xf>
    <xf numFmtId="0" fontId="0" fillId="0" borderId="14" xfId="0" applyFont="1" applyFill="1" applyBorder="1" applyAlignment="1" applyProtection="1">
      <alignment/>
      <protection/>
    </xf>
    <xf numFmtId="0" fontId="0" fillId="0" borderId="24" xfId="0" applyFont="1" applyBorder="1" applyAlignment="1">
      <alignment horizontal="right"/>
    </xf>
    <xf numFmtId="0" fontId="0" fillId="0" borderId="6"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5" xfId="0" applyFont="1" applyFill="1" applyBorder="1" applyAlignment="1">
      <alignment horizontal="center"/>
    </xf>
    <xf numFmtId="0" fontId="1" fillId="3" borderId="21" xfId="0" applyFont="1" applyFill="1" applyBorder="1" applyAlignment="1" applyProtection="1">
      <alignment/>
      <protection locked="0"/>
    </xf>
    <xf numFmtId="0" fontId="1" fillId="3" borderId="30" xfId="0" applyFont="1" applyFill="1" applyBorder="1" applyAlignment="1" applyProtection="1">
      <alignment/>
      <protection locked="0"/>
    </xf>
    <xf numFmtId="169" fontId="0" fillId="0" borderId="0" xfId="0" applyNumberFormat="1" applyAlignment="1" applyProtection="1">
      <alignment horizontal="left"/>
      <protection/>
    </xf>
    <xf numFmtId="0" fontId="0" fillId="0" borderId="0" xfId="0" applyBorder="1" applyAlignment="1" quotePrefix="1">
      <alignment horizontal="left"/>
    </xf>
    <xf numFmtId="0" fontId="3" fillId="0" borderId="0" xfId="0" applyFont="1" applyAlignment="1">
      <alignment/>
    </xf>
    <xf numFmtId="2" fontId="4" fillId="0" borderId="0" xfId="0" applyNumberFormat="1" applyFont="1" applyAlignment="1">
      <alignment/>
    </xf>
    <xf numFmtId="2" fontId="2" fillId="0" borderId="10" xfId="0" applyNumberFormat="1" applyFont="1" applyBorder="1" applyAlignment="1">
      <alignment/>
    </xf>
    <xf numFmtId="2" fontId="2" fillId="0" borderId="7" xfId="0" applyNumberFormat="1" applyFont="1" applyBorder="1" applyAlignment="1">
      <alignment/>
    </xf>
    <xf numFmtId="2" fontId="2" fillId="0" borderId="31" xfId="0" applyNumberFormat="1" applyFont="1" applyBorder="1" applyAlignment="1">
      <alignment/>
    </xf>
    <xf numFmtId="2" fontId="2" fillId="0" borderId="8" xfId="0" applyNumberFormat="1" applyFont="1" applyBorder="1" applyAlignment="1">
      <alignment/>
    </xf>
    <xf numFmtId="2" fontId="2" fillId="0" borderId="1" xfId="0" applyNumberFormat="1" applyFont="1" applyBorder="1" applyAlignment="1">
      <alignment/>
    </xf>
    <xf numFmtId="2" fontId="2" fillId="0" borderId="0" xfId="0" applyNumberFormat="1" applyFont="1" applyBorder="1" applyAlignment="1">
      <alignment/>
    </xf>
    <xf numFmtId="2" fontId="2" fillId="0" borderId="16" xfId="0" applyNumberFormat="1" applyFont="1" applyBorder="1" applyAlignment="1">
      <alignment/>
    </xf>
    <xf numFmtId="2" fontId="2" fillId="0" borderId="9" xfId="0" applyNumberFormat="1" applyFont="1" applyBorder="1" applyAlignment="1">
      <alignment/>
    </xf>
    <xf numFmtId="2" fontId="2" fillId="0" borderId="11" xfId="0" applyNumberFormat="1" applyFont="1" applyBorder="1" applyAlignment="1">
      <alignment/>
    </xf>
    <xf numFmtId="2" fontId="2" fillId="0" borderId="12" xfId="0" applyNumberFormat="1" applyFont="1" applyBorder="1" applyAlignment="1">
      <alignment/>
    </xf>
    <xf numFmtId="2" fontId="2" fillId="0" borderId="18" xfId="0" applyNumberFormat="1" applyFont="1" applyBorder="1" applyAlignment="1">
      <alignment/>
    </xf>
    <xf numFmtId="2" fontId="2" fillId="0" borderId="17" xfId="0" applyNumberFormat="1" applyFont="1" applyBorder="1" applyAlignment="1">
      <alignment/>
    </xf>
    <xf numFmtId="2" fontId="2" fillId="0" borderId="13" xfId="0" applyNumberFormat="1" applyFont="1" applyBorder="1" applyAlignment="1">
      <alignment/>
    </xf>
    <xf numFmtId="0" fontId="0" fillId="0" borderId="0" xfId="0" applyAlignment="1" applyProtection="1">
      <alignment/>
      <protection/>
    </xf>
    <xf numFmtId="0" fontId="0" fillId="3" borderId="6" xfId="0" applyFont="1" applyFill="1" applyBorder="1" applyAlignment="1" applyProtection="1">
      <alignment horizontal="center"/>
      <protection locked="0"/>
    </xf>
    <xf numFmtId="169" fontId="24" fillId="0" borderId="13" xfId="0" applyNumberFormat="1" applyFont="1" applyBorder="1" applyAlignment="1" applyProtection="1">
      <alignment horizontal="center"/>
      <protection/>
    </xf>
    <xf numFmtId="0" fontId="0" fillId="0" borderId="12" xfId="0" applyFont="1" applyBorder="1" applyAlignment="1" applyProtection="1">
      <alignment horizontal="center"/>
      <protection/>
    </xf>
    <xf numFmtId="0" fontId="22" fillId="0" borderId="12" xfId="0" applyFont="1" applyBorder="1" applyAlignment="1" applyProtection="1">
      <alignment horizontal="center"/>
      <protection/>
    </xf>
    <xf numFmtId="169" fontId="24" fillId="0" borderId="0" xfId="0" applyNumberFormat="1" applyFont="1" applyBorder="1" applyAlignment="1" applyProtection="1">
      <alignment horizontal="center"/>
      <protection/>
    </xf>
    <xf numFmtId="169" fontId="24" fillId="0" borderId="12" xfId="0" applyNumberFormat="1" applyFont="1" applyBorder="1" applyAlignment="1" applyProtection="1">
      <alignment horizontal="center"/>
      <protection/>
    </xf>
    <xf numFmtId="0" fontId="0" fillId="0" borderId="0" xfId="22" applyFont="1">
      <alignment/>
      <protection/>
    </xf>
    <xf numFmtId="0" fontId="0" fillId="0" borderId="0" xfId="22" applyFont="1" applyAlignment="1">
      <alignment horizontal="center" vertical="center"/>
      <protection/>
    </xf>
    <xf numFmtId="0" fontId="0" fillId="0" borderId="0" xfId="22" applyFont="1" applyAlignment="1">
      <alignment vertical="center"/>
      <protection/>
    </xf>
    <xf numFmtId="0" fontId="0" fillId="0" borderId="0" xfId="22" applyFont="1" applyBorder="1">
      <alignment/>
      <protection/>
    </xf>
    <xf numFmtId="0" fontId="0" fillId="0" borderId="0" xfId="22" applyFont="1" applyBorder="1" applyAlignment="1">
      <alignment horizontal="center"/>
      <protection/>
    </xf>
    <xf numFmtId="0" fontId="5" fillId="0" borderId="0" xfId="22" applyFont="1" applyAlignment="1">
      <alignment horizontal="center"/>
      <protection/>
    </xf>
    <xf numFmtId="0" fontId="0" fillId="0" borderId="32" xfId="22" applyFont="1" applyBorder="1">
      <alignment/>
      <protection/>
    </xf>
    <xf numFmtId="0" fontId="0" fillId="0" borderId="14" xfId="22" applyFont="1" applyBorder="1">
      <alignment/>
      <protection/>
    </xf>
    <xf numFmtId="0" fontId="0" fillId="0" borderId="33" xfId="22" applyFont="1" applyBorder="1">
      <alignment/>
      <protection/>
    </xf>
    <xf numFmtId="0" fontId="0" fillId="0" borderId="0" xfId="22" applyFont="1" applyAlignment="1">
      <alignment horizontal="center"/>
      <protection/>
    </xf>
    <xf numFmtId="0" fontId="0" fillId="0" borderId="0" xfId="22" applyFont="1" applyProtection="1">
      <alignment/>
      <protection/>
    </xf>
    <xf numFmtId="0" fontId="0" fillId="0" borderId="0" xfId="22" applyFont="1" applyBorder="1" applyAlignment="1">
      <alignment/>
      <protection/>
    </xf>
    <xf numFmtId="0" fontId="17" fillId="0" borderId="0" xfId="22" applyFont="1">
      <alignment/>
      <protection/>
    </xf>
    <xf numFmtId="0" fontId="25" fillId="0" borderId="0" xfId="22" applyFont="1">
      <alignment/>
      <protection/>
    </xf>
    <xf numFmtId="0" fontId="26" fillId="0" borderId="0" xfId="22" applyFont="1">
      <alignment/>
      <protection/>
    </xf>
    <xf numFmtId="0" fontId="17" fillId="0" borderId="0" xfId="22" applyFont="1" applyAlignment="1">
      <alignment horizontal="center" vertical="center"/>
      <protection/>
    </xf>
    <xf numFmtId="0" fontId="17" fillId="0" borderId="0" xfId="22" applyNumberFormat="1" applyFont="1" applyBorder="1" applyAlignment="1" applyProtection="1">
      <alignment horizontal="left"/>
      <protection/>
    </xf>
    <xf numFmtId="0" fontId="17" fillId="0" borderId="0" xfId="22" applyNumberFormat="1" applyFont="1" applyBorder="1" applyAlignment="1" applyProtection="1">
      <alignment horizontal="left" vertical="center"/>
      <protection/>
    </xf>
    <xf numFmtId="0" fontId="17" fillId="0" borderId="0" xfId="22" applyFont="1" applyBorder="1" applyProtection="1">
      <alignment/>
      <protection/>
    </xf>
    <xf numFmtId="0" fontId="17" fillId="0" borderId="0" xfId="22" applyNumberFormat="1" applyFont="1" applyBorder="1" applyAlignment="1" applyProtection="1">
      <alignment horizontal="center" vertical="center"/>
      <protection/>
    </xf>
    <xf numFmtId="0" fontId="17" fillId="0" borderId="0" xfId="0" applyFont="1" applyBorder="1" applyAlignment="1" applyProtection="1">
      <alignment horizontal="left" vertical="center"/>
      <protection/>
    </xf>
    <xf numFmtId="0" fontId="17" fillId="0" borderId="0" xfId="22" applyFont="1" applyFill="1" applyBorder="1" applyAlignment="1" applyProtection="1">
      <alignment horizontal="center" vertical="center"/>
      <protection/>
    </xf>
    <xf numFmtId="0" fontId="17" fillId="0" borderId="0" xfId="22" applyFont="1" applyAlignment="1">
      <alignment vertical="center"/>
      <protection/>
    </xf>
    <xf numFmtId="0" fontId="17" fillId="0" borderId="0" xfId="22" applyFont="1" applyBorder="1" applyAlignment="1">
      <alignment vertical="center"/>
      <protection/>
    </xf>
    <xf numFmtId="0" fontId="17" fillId="0" borderId="0" xfId="22" applyFont="1" applyBorder="1" applyAlignment="1" applyProtection="1">
      <alignment vertical="center"/>
      <protection/>
    </xf>
    <xf numFmtId="0" fontId="17" fillId="0" borderId="0" xfId="22" applyFont="1" applyBorder="1">
      <alignment/>
      <protection/>
    </xf>
    <xf numFmtId="0" fontId="17" fillId="0" borderId="6" xfId="22" applyFont="1" applyBorder="1">
      <alignment/>
      <protection/>
    </xf>
    <xf numFmtId="0" fontId="17" fillId="0" borderId="0" xfId="24" applyFont="1">
      <alignment/>
      <protection/>
    </xf>
    <xf numFmtId="0" fontId="17" fillId="0" borderId="0" xfId="24" applyFont="1" applyBorder="1">
      <alignment/>
      <protection/>
    </xf>
    <xf numFmtId="0" fontId="28" fillId="0" borderId="0" xfId="22" applyFont="1">
      <alignment/>
      <protection/>
    </xf>
    <xf numFmtId="0" fontId="17" fillId="0" borderId="0" xfId="22" applyFont="1" applyProtection="1">
      <alignment/>
      <protection/>
    </xf>
    <xf numFmtId="0" fontId="17" fillId="0" borderId="0" xfId="22" applyFont="1" applyFill="1" applyAlignment="1" applyProtection="1">
      <alignment horizontal="left"/>
      <protection/>
    </xf>
    <xf numFmtId="0" fontId="17" fillId="0" borderId="0" xfId="22" applyFont="1" applyFill="1" applyBorder="1" applyAlignment="1" applyProtection="1">
      <alignment horizontal="left"/>
      <protection/>
    </xf>
    <xf numFmtId="168" fontId="17" fillId="0" borderId="0" xfId="22" applyNumberFormat="1" applyFont="1" applyFill="1" applyAlignment="1" applyProtection="1">
      <alignment horizontal="left"/>
      <protection/>
    </xf>
    <xf numFmtId="0" fontId="25" fillId="0" borderId="0" xfId="22" applyFont="1" applyProtection="1">
      <alignment/>
      <protection/>
    </xf>
    <xf numFmtId="168" fontId="17" fillId="0" borderId="0" xfId="22" applyNumberFormat="1" applyFont="1" applyFill="1" applyBorder="1" applyAlignment="1" applyProtection="1">
      <alignment horizontal="left"/>
      <protection/>
    </xf>
    <xf numFmtId="0" fontId="25" fillId="0" borderId="0" xfId="22" applyFont="1" applyBorder="1" applyProtection="1">
      <alignment/>
      <protection/>
    </xf>
    <xf numFmtId="0" fontId="17" fillId="0" borderId="0" xfId="22" applyFont="1" applyBorder="1" applyAlignment="1">
      <alignment horizontal="left" vertical="center"/>
      <protection/>
    </xf>
    <xf numFmtId="0" fontId="17" fillId="0" borderId="14" xfId="22" applyFont="1" applyBorder="1" applyAlignment="1">
      <alignment horizontal="left" vertical="center"/>
      <protection/>
    </xf>
    <xf numFmtId="0" fontId="17" fillId="0" borderId="0" xfId="22" applyFont="1" applyBorder="1" applyAlignment="1" applyProtection="1">
      <alignment horizontal="left" vertical="center"/>
      <protection/>
    </xf>
    <xf numFmtId="0" fontId="17" fillId="0" borderId="0" xfId="22" applyFont="1" applyBorder="1" applyAlignment="1" applyProtection="1">
      <alignment horizontal="left"/>
      <protection/>
    </xf>
    <xf numFmtId="168" fontId="17" fillId="0" borderId="0" xfId="22" applyNumberFormat="1" applyFont="1" applyBorder="1" applyAlignment="1" applyProtection="1">
      <alignment horizontal="left"/>
      <protection/>
    </xf>
    <xf numFmtId="0" fontId="27" fillId="0" borderId="32" xfId="22" applyFont="1" applyBorder="1" applyAlignment="1" quotePrefix="1">
      <alignment horizontal="left" vertical="center" wrapText="1"/>
      <protection/>
    </xf>
    <xf numFmtId="0" fontId="17" fillId="0" borderId="15" xfId="0" applyFont="1" applyBorder="1" applyAlignment="1">
      <alignment wrapText="1"/>
    </xf>
    <xf numFmtId="0" fontId="0" fillId="0" borderId="15" xfId="0" applyBorder="1" applyAlignment="1">
      <alignment wrapText="1"/>
    </xf>
    <xf numFmtId="0" fontId="0" fillId="0" borderId="34" xfId="0" applyBorder="1" applyAlignment="1">
      <alignment wrapText="1"/>
    </xf>
    <xf numFmtId="0" fontId="17" fillId="0" borderId="15" xfId="22" applyFont="1" applyBorder="1">
      <alignment/>
      <protection/>
    </xf>
    <xf numFmtId="0" fontId="17" fillId="0" borderId="34" xfId="22" applyFont="1" applyBorder="1">
      <alignment/>
      <protection/>
    </xf>
    <xf numFmtId="0" fontId="0" fillId="0" borderId="15" xfId="22" applyFont="1" applyBorder="1">
      <alignment/>
      <protection/>
    </xf>
    <xf numFmtId="0" fontId="0" fillId="0" borderId="16" xfId="22" applyFont="1" applyBorder="1">
      <alignment/>
      <protection/>
    </xf>
    <xf numFmtId="0" fontId="0" fillId="0" borderId="0" xfId="0" applyFont="1" applyBorder="1" applyAlignment="1" applyProtection="1" quotePrefix="1">
      <alignment horizontal="left"/>
      <protection/>
    </xf>
    <xf numFmtId="0" fontId="22" fillId="0" borderId="0" xfId="0" applyFont="1" applyBorder="1" applyAlignment="1" applyProtection="1">
      <alignment horizontal="center"/>
      <protection/>
    </xf>
    <xf numFmtId="0" fontId="0" fillId="0" borderId="0" xfId="0" applyNumberFormat="1" applyFont="1" applyBorder="1" applyAlignment="1" applyProtection="1">
      <alignment/>
      <protection/>
    </xf>
    <xf numFmtId="0" fontId="0" fillId="0" borderId="0" xfId="0" applyNumberFormat="1" applyBorder="1" applyAlignment="1">
      <alignment/>
    </xf>
    <xf numFmtId="0" fontId="0" fillId="0" borderId="0" xfId="0" applyNumberFormat="1" applyFont="1" applyBorder="1" applyAlignment="1" applyProtection="1">
      <alignment/>
      <protection/>
    </xf>
    <xf numFmtId="0" fontId="0" fillId="0" borderId="9" xfId="0" applyNumberFormat="1" applyFont="1" applyBorder="1" applyAlignment="1" applyProtection="1">
      <alignment/>
      <protection/>
    </xf>
    <xf numFmtId="0" fontId="0" fillId="0" borderId="35" xfId="0" applyFont="1" applyBorder="1" applyAlignment="1" applyProtection="1">
      <alignment/>
      <protection/>
    </xf>
    <xf numFmtId="0" fontId="0" fillId="0" borderId="36" xfId="0" applyFont="1" applyBorder="1" applyAlignment="1" applyProtection="1" quotePrefix="1">
      <alignment horizontal="left"/>
      <protection/>
    </xf>
    <xf numFmtId="0" fontId="0" fillId="0" borderId="36" xfId="0" applyFont="1" applyBorder="1" applyAlignment="1" applyProtection="1">
      <alignment/>
      <protection/>
    </xf>
    <xf numFmtId="0" fontId="0" fillId="0" borderId="36" xfId="0" applyFont="1" applyBorder="1" applyAlignment="1" applyProtection="1">
      <alignment horizontal="center"/>
      <protection/>
    </xf>
    <xf numFmtId="0" fontId="22" fillId="0" borderId="36" xfId="0" applyFont="1" applyBorder="1" applyAlignment="1" applyProtection="1">
      <alignment horizontal="center"/>
      <protection/>
    </xf>
    <xf numFmtId="169" fontId="0" fillId="0" borderId="36" xfId="0" applyNumberFormat="1" applyFont="1" applyBorder="1" applyAlignment="1" applyProtection="1">
      <alignment/>
      <protection/>
    </xf>
    <xf numFmtId="169" fontId="24" fillId="0" borderId="36" xfId="0" applyNumberFormat="1" applyFont="1" applyBorder="1" applyAlignment="1" applyProtection="1">
      <alignment horizontal="center"/>
      <protection/>
    </xf>
    <xf numFmtId="169" fontId="24" fillId="0" borderId="37" xfId="0" applyNumberFormat="1" applyFont="1" applyBorder="1" applyAlignment="1" applyProtection="1">
      <alignment horizontal="center"/>
      <protection/>
    </xf>
    <xf numFmtId="0" fontId="0" fillId="0" borderId="12" xfId="0" applyNumberFormat="1" applyFont="1" applyBorder="1" applyAlignment="1" applyProtection="1">
      <alignment/>
      <protection/>
    </xf>
    <xf numFmtId="0" fontId="0" fillId="0" borderId="12" xfId="0" applyNumberFormat="1" applyBorder="1" applyAlignment="1">
      <alignment/>
    </xf>
    <xf numFmtId="0" fontId="17" fillId="0" borderId="0" xfId="22" applyFont="1" applyAlignment="1">
      <alignment horizontal="center"/>
      <protection/>
    </xf>
    <xf numFmtId="0" fontId="17" fillId="0" borderId="0" xfId="22" applyFont="1" applyAlignment="1">
      <alignment horizontal="center" vertical="justify"/>
      <protection/>
    </xf>
    <xf numFmtId="0" fontId="0" fillId="0" borderId="0" xfId="0" applyAlignment="1">
      <alignment horizontal="center" vertical="justify"/>
    </xf>
    <xf numFmtId="0" fontId="17" fillId="0" borderId="14" xfId="0" applyFont="1" applyBorder="1" applyAlignment="1">
      <alignment wrapText="1"/>
    </xf>
    <xf numFmtId="0" fontId="17" fillId="0" borderId="33" xfId="0" applyFont="1" applyBorder="1" applyAlignment="1">
      <alignment wrapText="1"/>
    </xf>
    <xf numFmtId="0" fontId="17" fillId="0" borderId="16" xfId="0" applyFont="1" applyBorder="1" applyAlignment="1">
      <alignment wrapText="1"/>
    </xf>
    <xf numFmtId="0" fontId="17" fillId="0" borderId="38" xfId="0" applyFont="1" applyBorder="1" applyAlignment="1">
      <alignment wrapText="1"/>
    </xf>
    <xf numFmtId="0" fontId="0" fillId="0" borderId="0" xfId="0" applyBorder="1" applyAlignment="1" applyProtection="1">
      <alignment/>
      <protection hidden="1"/>
    </xf>
    <xf numFmtId="0" fontId="14" fillId="0" borderId="0" xfId="0" applyFont="1" applyBorder="1" applyAlignment="1">
      <alignment horizontal="right"/>
    </xf>
    <xf numFmtId="0" fontId="14" fillId="0" borderId="0" xfId="0" applyFont="1" applyBorder="1" applyAlignment="1">
      <alignment/>
    </xf>
    <xf numFmtId="0" fontId="30" fillId="0" borderId="0" xfId="0" applyFont="1" applyBorder="1" applyAlignment="1">
      <alignment/>
    </xf>
    <xf numFmtId="0" fontId="0" fillId="0" borderId="0" xfId="22" applyFont="1" applyBorder="1" applyAlignment="1" applyProtection="1">
      <alignment horizontal="center"/>
      <protection/>
    </xf>
    <xf numFmtId="0" fontId="14" fillId="0" borderId="0" xfId="0" applyFont="1" applyBorder="1" applyAlignment="1">
      <alignment horizontal="center"/>
    </xf>
    <xf numFmtId="0" fontId="0" fillId="0" borderId="0" xfId="0" applyBorder="1" applyAlignment="1" applyProtection="1">
      <alignment horizontal="left"/>
      <protection/>
    </xf>
    <xf numFmtId="0" fontId="2" fillId="0" borderId="0" xfId="0" applyFont="1" applyAlignment="1">
      <alignment/>
    </xf>
    <xf numFmtId="2" fontId="1" fillId="0" borderId="5" xfId="0" applyNumberFormat="1" applyFont="1" applyFill="1" applyBorder="1" applyAlignment="1" applyProtection="1">
      <alignment/>
      <protection locked="0"/>
    </xf>
    <xf numFmtId="0" fontId="0" fillId="0" borderId="0" xfId="0" applyBorder="1" applyAlignment="1" quotePrefix="1">
      <alignment/>
    </xf>
    <xf numFmtId="2" fontId="0" fillId="0" borderId="6" xfId="0" applyNumberFormat="1" applyFont="1" applyBorder="1" applyAlignment="1" applyProtection="1">
      <alignment/>
      <protection/>
    </xf>
    <xf numFmtId="0" fontId="0" fillId="0" borderId="0" xfId="0" applyFont="1" applyBorder="1" applyAlignment="1">
      <alignment/>
    </xf>
    <xf numFmtId="0" fontId="0" fillId="0" borderId="0" xfId="0" applyFill="1" applyBorder="1" applyAlignment="1">
      <alignment horizontal="right"/>
    </xf>
    <xf numFmtId="0" fontId="0" fillId="0" borderId="0" xfId="0" applyFill="1" applyBorder="1" applyAlignment="1">
      <alignment/>
    </xf>
    <xf numFmtId="0" fontId="4" fillId="0" borderId="0" xfId="0" applyFont="1" applyBorder="1" applyAlignment="1">
      <alignment horizontal="right"/>
    </xf>
    <xf numFmtId="1" fontId="0" fillId="3" borderId="5" xfId="0" applyNumberFormat="1" applyFont="1" applyFill="1" applyBorder="1" applyAlignment="1" applyProtection="1">
      <alignment/>
      <protection locked="0"/>
    </xf>
    <xf numFmtId="0" fontId="0" fillId="0" borderId="0" xfId="0" applyAlignment="1" quotePrefix="1">
      <alignment/>
    </xf>
    <xf numFmtId="0" fontId="0" fillId="0" borderId="39" xfId="0" applyBorder="1" applyAlignment="1">
      <alignment/>
    </xf>
    <xf numFmtId="0" fontId="0" fillId="0" borderId="0" xfId="0" applyFont="1" applyBorder="1" applyAlignment="1" quotePrefix="1">
      <alignment horizontal="right"/>
    </xf>
    <xf numFmtId="0" fontId="0" fillId="0" borderId="0" xfId="0" applyAlignment="1" applyProtection="1">
      <alignment/>
      <protection locked="0"/>
    </xf>
    <xf numFmtId="0" fontId="0" fillId="0" borderId="3" xfId="0" applyFont="1" applyFill="1" applyBorder="1" applyAlignment="1" applyProtection="1">
      <alignment horizontal="center"/>
      <protection/>
    </xf>
    <xf numFmtId="2" fontId="0" fillId="0" borderId="6" xfId="0" applyNumberFormat="1" applyBorder="1" applyAlignment="1" applyProtection="1">
      <alignment/>
      <protection locked="0"/>
    </xf>
    <xf numFmtId="0" fontId="0" fillId="0" borderId="0" xfId="0" applyFont="1" applyFill="1" applyBorder="1" applyAlignment="1" applyProtection="1" quotePrefix="1">
      <alignment horizontal="right"/>
      <protection locked="0"/>
    </xf>
    <xf numFmtId="0" fontId="0" fillId="0" borderId="0" xfId="0" applyBorder="1" applyAlignment="1" applyProtection="1">
      <alignment/>
      <protection/>
    </xf>
    <xf numFmtId="2" fontId="0" fillId="0" borderId="6" xfId="0" applyNumberFormat="1" applyBorder="1" applyAlignment="1" applyProtection="1">
      <alignment/>
      <protection/>
    </xf>
    <xf numFmtId="167" fontId="0" fillId="0" borderId="5" xfId="0" applyNumberFormat="1" applyBorder="1" applyAlignment="1" applyProtection="1">
      <alignment/>
      <protection/>
    </xf>
    <xf numFmtId="2" fontId="0" fillId="0" borderId="5" xfId="0" applyNumberFormat="1" applyBorder="1" applyAlignment="1" applyProtection="1">
      <alignment/>
      <protection/>
    </xf>
    <xf numFmtId="2" fontId="0" fillId="0" borderId="7" xfId="0" applyNumberFormat="1" applyFont="1" applyBorder="1" applyAlignment="1" applyProtection="1">
      <alignment/>
      <protection/>
    </xf>
    <xf numFmtId="0" fontId="0" fillId="0" borderId="8" xfId="0" applyBorder="1" applyAlignment="1" applyProtection="1">
      <alignment/>
      <protection/>
    </xf>
    <xf numFmtId="1" fontId="0" fillId="0" borderId="12" xfId="0" applyNumberFormat="1" applyFont="1" applyBorder="1" applyAlignment="1" applyProtection="1">
      <alignment horizontal="right"/>
      <protection/>
    </xf>
    <xf numFmtId="0" fontId="0" fillId="0" borderId="13" xfId="0" applyFont="1" applyBorder="1" applyAlignment="1" applyProtection="1">
      <alignment/>
      <protection/>
    </xf>
    <xf numFmtId="1" fontId="0" fillId="0" borderId="6" xfId="0" applyNumberFormat="1" applyFont="1" applyFill="1" applyBorder="1" applyAlignment="1" applyProtection="1">
      <alignment/>
      <protection/>
    </xf>
    <xf numFmtId="2" fontId="0" fillId="0" borderId="0" xfId="0" applyNumberFormat="1" applyFont="1" applyBorder="1" applyAlignment="1" applyProtection="1">
      <alignment/>
      <protection locked="0"/>
    </xf>
    <xf numFmtId="164" fontId="0" fillId="0" borderId="39" xfId="0" applyNumberFormat="1" applyBorder="1" applyAlignment="1">
      <alignment horizontal="center"/>
    </xf>
    <xf numFmtId="0" fontId="0" fillId="0" borderId="39" xfId="0" applyBorder="1" applyAlignment="1" quotePrefix="1">
      <alignment horizontal="center"/>
    </xf>
    <xf numFmtId="0" fontId="0" fillId="0" borderId="39" xfId="0" applyBorder="1" applyAlignment="1">
      <alignment horizontal="center"/>
    </xf>
    <xf numFmtId="164" fontId="0" fillId="0" borderId="6" xfId="0" applyNumberFormat="1" applyFont="1" applyBorder="1" applyAlignment="1" applyProtection="1" quotePrefix="1">
      <alignment horizontal="right"/>
      <protection/>
    </xf>
    <xf numFmtId="164" fontId="0" fillId="0" borderId="6" xfId="0" applyNumberFormat="1" applyFont="1" applyBorder="1" applyAlignment="1" applyProtection="1">
      <alignment horizontal="right"/>
      <protection/>
    </xf>
    <xf numFmtId="1" fontId="0" fillId="0" borderId="12" xfId="0" applyNumberFormat="1" applyFont="1" applyBorder="1" applyAlignment="1" applyProtection="1">
      <alignment/>
      <protection/>
    </xf>
    <xf numFmtId="0" fontId="0" fillId="0" borderId="6" xfId="22" applyFont="1" applyBorder="1" applyAlignment="1">
      <alignment horizontal="center" vertical="center"/>
      <protection/>
    </xf>
    <xf numFmtId="0" fontId="0" fillId="0" borderId="0" xfId="22" applyFont="1" applyAlignment="1">
      <alignment horizontal="left"/>
      <protection/>
    </xf>
    <xf numFmtId="0" fontId="17" fillId="0" borderId="14" xfId="22" applyFont="1" applyBorder="1" applyAlignment="1">
      <alignment horizontal="center"/>
      <protection/>
    </xf>
    <xf numFmtId="0" fontId="17" fillId="0" borderId="33" xfId="22" applyFont="1" applyBorder="1" applyAlignment="1">
      <alignment horizontal="center"/>
      <protection/>
    </xf>
    <xf numFmtId="0" fontId="17" fillId="0" borderId="16" xfId="22" applyFont="1" applyBorder="1" applyAlignment="1">
      <alignment horizontal="center"/>
      <protection/>
    </xf>
    <xf numFmtId="0" fontId="0" fillId="0" borderId="6" xfId="0" applyNumberFormat="1" applyBorder="1" applyAlignment="1" applyProtection="1">
      <alignment horizontal="right"/>
      <protection locked="0"/>
    </xf>
    <xf numFmtId="0" fontId="0" fillId="0" borderId="14" xfId="0" applyBorder="1" applyAlignment="1">
      <alignment/>
    </xf>
    <xf numFmtId="0" fontId="0" fillId="0" borderId="14" xfId="0" applyBorder="1" applyAlignment="1">
      <alignment wrapText="1"/>
    </xf>
    <xf numFmtId="0" fontId="0" fillId="0" borderId="0" xfId="22" applyFont="1" applyBorder="1" applyAlignment="1">
      <alignment vertical="center"/>
      <protection/>
    </xf>
    <xf numFmtId="0" fontId="0" fillId="0" borderId="14" xfId="22" applyFont="1" applyBorder="1" applyAlignment="1">
      <alignment horizontal="center"/>
      <protection/>
    </xf>
    <xf numFmtId="0" fontId="0" fillId="0" borderId="33" xfId="22" applyFont="1" applyBorder="1" applyAlignment="1">
      <alignment horizontal="center"/>
      <protection/>
    </xf>
    <xf numFmtId="0" fontId="0" fillId="0" borderId="16" xfId="22" applyFont="1" applyBorder="1" applyAlignment="1">
      <alignment horizontal="center"/>
      <protection/>
    </xf>
    <xf numFmtId="0" fontId="11" fillId="0" borderId="14" xfId="22" applyFont="1" applyBorder="1">
      <alignment/>
      <protection/>
    </xf>
    <xf numFmtId="0" fontId="16" fillId="0" borderId="6" xfId="0" applyFont="1" applyBorder="1" applyAlignment="1">
      <alignment/>
    </xf>
    <xf numFmtId="0" fontId="17" fillId="0" borderId="0" xfId="0" applyFont="1" applyBorder="1" applyAlignment="1">
      <alignment wrapText="1"/>
    </xf>
    <xf numFmtId="0" fontId="33" fillId="0" borderId="32" xfId="22" applyFont="1" applyBorder="1" applyProtection="1">
      <alignment/>
      <protection locked="0"/>
    </xf>
    <xf numFmtId="0" fontId="33" fillId="0" borderId="14" xfId="22" applyFont="1" applyBorder="1" applyProtection="1">
      <alignment/>
      <protection locked="0"/>
    </xf>
    <xf numFmtId="0" fontId="33" fillId="0" borderId="33" xfId="22" applyFont="1" applyBorder="1" applyProtection="1">
      <alignment/>
      <protection locked="0"/>
    </xf>
    <xf numFmtId="0" fontId="33" fillId="0" borderId="15" xfId="22" applyFont="1" applyBorder="1" applyProtection="1">
      <alignment/>
      <protection locked="0"/>
    </xf>
    <xf numFmtId="0" fontId="33" fillId="0" borderId="0" xfId="22" applyFont="1" applyBorder="1" applyProtection="1">
      <alignment/>
      <protection locked="0"/>
    </xf>
    <xf numFmtId="0" fontId="33" fillId="0" borderId="16" xfId="22" applyFont="1" applyBorder="1" applyProtection="1">
      <alignment/>
      <protection locked="0"/>
    </xf>
    <xf numFmtId="0" fontId="33" fillId="0" borderId="34" xfId="22" applyFont="1" applyBorder="1" applyProtection="1">
      <alignment/>
      <protection locked="0"/>
    </xf>
    <xf numFmtId="0" fontId="33" fillId="0" borderId="6" xfId="22" applyFont="1" applyBorder="1" applyProtection="1">
      <alignment/>
      <protection locked="0"/>
    </xf>
    <xf numFmtId="0" fontId="33" fillId="0" borderId="38" xfId="22" applyFont="1" applyBorder="1" applyProtection="1">
      <alignment/>
      <protection locked="0"/>
    </xf>
    <xf numFmtId="0" fontId="17" fillId="0" borderId="0" xfId="22" applyFont="1" applyBorder="1" applyAlignment="1" applyProtection="1">
      <alignment horizontal="center"/>
      <protection/>
    </xf>
    <xf numFmtId="0" fontId="0" fillId="0" borderId="0" xfId="22" applyFont="1" applyAlignment="1">
      <alignment horizontal="left" vertical="center"/>
      <protection/>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0" fillId="0" borderId="0" xfId="0" applyAlignment="1">
      <alignment horizontal="center" vertical="center"/>
    </xf>
    <xf numFmtId="0" fontId="0" fillId="0" borderId="6" xfId="0" applyBorder="1" applyAlignment="1">
      <alignment horizontal="center" vertical="center"/>
    </xf>
    <xf numFmtId="0" fontId="0" fillId="0" borderId="6" xfId="22" applyFont="1" applyBorder="1" applyAlignment="1" applyProtection="1">
      <alignment horizontal="center" vertical="center"/>
      <protection/>
    </xf>
    <xf numFmtId="0" fontId="0" fillId="0" borderId="0" xfId="22" applyFont="1" applyAlignment="1">
      <alignment/>
      <protection/>
    </xf>
    <xf numFmtId="2" fontId="0" fillId="0" borderId="14" xfId="22" applyNumberFormat="1" applyFont="1" applyBorder="1" applyAlignment="1" applyProtection="1">
      <alignment horizontal="center"/>
      <protection/>
    </xf>
    <xf numFmtId="0" fontId="0" fillId="0" borderId="14" xfId="22" applyFont="1" applyBorder="1" applyAlignment="1" applyProtection="1">
      <alignment horizontal="center"/>
      <protection/>
    </xf>
    <xf numFmtId="0" fontId="0" fillId="0" borderId="0" xfId="21" applyFont="1">
      <alignment/>
      <protection/>
    </xf>
    <xf numFmtId="0" fontId="0" fillId="0" borderId="0" xfId="21" applyFont="1" applyBorder="1" applyAlignment="1">
      <alignment/>
      <protection/>
    </xf>
    <xf numFmtId="0" fontId="0" fillId="0" borderId="0" xfId="21" applyFont="1" applyAlignment="1">
      <alignment/>
      <protection/>
    </xf>
    <xf numFmtId="0" fontId="0" fillId="0" borderId="0" xfId="21" applyFont="1" applyAlignment="1">
      <alignment vertical="center"/>
      <protection/>
    </xf>
    <xf numFmtId="0" fontId="0" fillId="0" borderId="0" xfId="22" applyFont="1" applyFill="1" applyBorder="1" applyAlignment="1" applyProtection="1">
      <alignment horizontal="left"/>
      <protection/>
    </xf>
    <xf numFmtId="0" fontId="11" fillId="0" borderId="0" xfId="22" applyFont="1" applyBorder="1">
      <alignment/>
      <protection/>
    </xf>
    <xf numFmtId="0" fontId="11" fillId="0" borderId="0" xfId="22" applyFont="1" applyAlignment="1">
      <alignment/>
      <protection/>
    </xf>
    <xf numFmtId="0" fontId="2" fillId="0" borderId="0" xfId="0" applyFont="1" applyFill="1" applyBorder="1" applyAlignment="1">
      <alignment horizontal="left"/>
    </xf>
    <xf numFmtId="0" fontId="2" fillId="0" borderId="0" xfId="0" applyFont="1" applyBorder="1" applyAlignment="1">
      <alignment/>
    </xf>
    <xf numFmtId="0" fontId="17" fillId="0" borderId="6" xfId="22" applyFont="1" applyBorder="1" applyAlignment="1">
      <alignment horizontal="center" vertical="center"/>
      <protection/>
    </xf>
    <xf numFmtId="0" fontId="17" fillId="0" borderId="0" xfId="22" applyFont="1" applyBorder="1" applyAlignment="1">
      <alignment horizontal="center"/>
      <protection/>
    </xf>
    <xf numFmtId="0" fontId="17" fillId="0" borderId="15" xfId="22" applyFont="1" applyBorder="1" applyAlignment="1">
      <alignment horizontal="center" vertical="center"/>
      <protection/>
    </xf>
    <xf numFmtId="0" fontId="17" fillId="0" borderId="0" xfId="22" applyFont="1" applyBorder="1" applyAlignment="1">
      <alignment horizontal="center" vertical="center"/>
      <protection/>
    </xf>
    <xf numFmtId="0" fontId="17" fillId="0" borderId="34" xfId="22" applyFont="1" applyBorder="1" applyAlignment="1">
      <alignment horizontal="center" vertical="center"/>
      <protection/>
    </xf>
    <xf numFmtId="0" fontId="17" fillId="0" borderId="6" xfId="22" applyFont="1" applyBorder="1" applyAlignment="1">
      <alignment horizontal="center"/>
      <protection/>
    </xf>
    <xf numFmtId="49" fontId="0" fillId="3" borderId="6" xfId="0" applyNumberFormat="1" applyFont="1" applyFill="1" applyBorder="1" applyAlignment="1" applyProtection="1">
      <alignment horizontal="center"/>
      <protection/>
    </xf>
    <xf numFmtId="0" fontId="0" fillId="0" borderId="7" xfId="0" applyBorder="1" applyAlignment="1" applyProtection="1">
      <alignment/>
      <protection/>
    </xf>
    <xf numFmtId="0" fontId="0" fillId="0" borderId="0" xfId="0" applyAlignment="1">
      <alignment wrapText="1"/>
    </xf>
    <xf numFmtId="0" fontId="0" fillId="0" borderId="0" xfId="22" applyFont="1" applyAlignment="1" applyProtection="1">
      <alignment horizontal="center"/>
      <protection/>
    </xf>
    <xf numFmtId="0" fontId="0" fillId="0" borderId="0" xfId="21" applyFont="1" applyBorder="1" applyAlignment="1" applyProtection="1">
      <alignment/>
      <protection/>
    </xf>
    <xf numFmtId="0" fontId="11" fillId="0" borderId="0" xfId="22" applyFont="1" applyProtection="1">
      <alignment/>
      <protection/>
    </xf>
    <xf numFmtId="0" fontId="4" fillId="0" borderId="0" xfId="0" applyFont="1" applyAlignment="1">
      <alignment horizontal="left" wrapText="1"/>
    </xf>
    <xf numFmtId="16" fontId="4" fillId="0" borderId="0" xfId="0" applyNumberFormat="1" applyFont="1" applyAlignment="1">
      <alignment horizontal="center" wrapText="1"/>
    </xf>
    <xf numFmtId="0" fontId="4" fillId="0" borderId="0" xfId="0" applyFont="1" applyAlignment="1">
      <alignment wrapText="1"/>
    </xf>
    <xf numFmtId="0" fontId="0" fillId="0" borderId="0" xfId="0" applyAlignment="1" quotePrefix="1">
      <alignment horizontal="left" wrapText="1"/>
    </xf>
    <xf numFmtId="0" fontId="0" fillId="0" borderId="0" xfId="0" applyAlignment="1">
      <alignment horizontal="left" wrapText="1"/>
    </xf>
    <xf numFmtId="0" fontId="4" fillId="0" borderId="0" xfId="0" applyFont="1" applyAlignment="1" quotePrefix="1">
      <alignment horizontal="left" wrapText="1"/>
    </xf>
    <xf numFmtId="0" fontId="6" fillId="0" borderId="15" xfId="23" applyBorder="1" applyAlignment="1">
      <alignment horizontal="center"/>
      <protection/>
    </xf>
    <xf numFmtId="0" fontId="6" fillId="0" borderId="0" xfId="23" applyBorder="1" applyAlignment="1">
      <alignment horizontal="center"/>
      <protection/>
    </xf>
    <xf numFmtId="0" fontId="0" fillId="0" borderId="40" xfId="0" applyFont="1" applyBorder="1" applyAlignment="1" applyProtection="1">
      <alignment horizontal="center"/>
      <protection/>
    </xf>
    <xf numFmtId="0" fontId="0" fillId="0" borderId="0" xfId="20" applyFont="1" applyBorder="1" applyAlignment="1" applyProtection="1" quotePrefix="1">
      <alignment horizontal="left"/>
      <protection/>
    </xf>
    <xf numFmtId="169" fontId="24" fillId="0" borderId="9" xfId="0" applyNumberFormat="1" applyFont="1" applyBorder="1" applyAlignment="1" applyProtection="1">
      <alignment horizontal="center"/>
      <protection/>
    </xf>
    <xf numFmtId="2" fontId="1" fillId="0" borderId="0" xfId="0" applyNumberFormat="1" applyFont="1" applyBorder="1" applyAlignment="1" applyProtection="1">
      <alignment horizontal="center"/>
      <protection/>
    </xf>
    <xf numFmtId="0" fontId="16" fillId="0" borderId="13" xfId="0" applyFont="1" applyFill="1" applyBorder="1" applyAlignment="1" applyProtection="1">
      <alignment horizontal="center"/>
      <protection/>
    </xf>
    <xf numFmtId="0" fontId="0" fillId="0" borderId="1" xfId="0" applyFill="1" applyBorder="1" applyAlignment="1">
      <alignment horizontal="left"/>
    </xf>
    <xf numFmtId="169" fontId="0" fillId="0" borderId="0" xfId="0" applyNumberFormat="1" applyFont="1" applyBorder="1" applyAlignment="1" applyProtection="1">
      <alignment horizontal="center"/>
      <protection/>
    </xf>
    <xf numFmtId="0" fontId="0" fillId="0" borderId="0" xfId="0" applyAlignment="1">
      <alignment horizontal="left"/>
    </xf>
    <xf numFmtId="0" fontId="0" fillId="0" borderId="0" xfId="0" applyFill="1" applyBorder="1" applyAlignment="1">
      <alignment horizontal="left"/>
    </xf>
    <xf numFmtId="0" fontId="16" fillId="0" borderId="41" xfId="0" applyFont="1" applyFill="1" applyBorder="1" applyAlignment="1">
      <alignment horizontal="center"/>
    </xf>
    <xf numFmtId="0" fontId="16" fillId="0" borderId="42" xfId="0" applyFont="1" applyFill="1" applyBorder="1" applyAlignment="1">
      <alignment horizontal="center"/>
    </xf>
    <xf numFmtId="0" fontId="0" fillId="2" borderId="0" xfId="0" applyFill="1" applyBorder="1" applyAlignment="1" applyProtection="1">
      <alignment horizontal="center"/>
      <protection/>
    </xf>
    <xf numFmtId="0" fontId="22" fillId="0" borderId="0" xfId="0" applyNumberFormat="1" applyFont="1" applyBorder="1" applyAlignment="1" applyProtection="1">
      <alignment horizontal="center"/>
      <protection/>
    </xf>
    <xf numFmtId="0" fontId="0" fillId="0" borderId="0" xfId="0" applyFill="1" applyBorder="1" applyAlignment="1" applyProtection="1">
      <alignment/>
      <protection/>
    </xf>
    <xf numFmtId="0" fontId="0" fillId="0" borderId="40" xfId="0" applyFont="1" applyBorder="1" applyAlignment="1" applyProtection="1" quotePrefix="1">
      <alignment horizontal="left"/>
      <protection/>
    </xf>
    <xf numFmtId="0" fontId="0" fillId="0" borderId="40" xfId="0" applyFont="1" applyBorder="1" applyAlignment="1" applyProtection="1">
      <alignment/>
      <protection/>
    </xf>
    <xf numFmtId="0" fontId="6" fillId="0" borderId="0" xfId="23" applyFont="1">
      <alignment/>
      <protection/>
    </xf>
    <xf numFmtId="0" fontId="0" fillId="0" borderId="9" xfId="0" applyBorder="1" applyAlignment="1" applyProtection="1">
      <alignment/>
      <protection/>
    </xf>
    <xf numFmtId="169" fontId="0" fillId="2" borderId="39" xfId="0" applyNumberFormat="1" applyFill="1" applyBorder="1" applyAlignment="1" applyProtection="1">
      <alignment/>
      <protection/>
    </xf>
    <xf numFmtId="169" fontId="0" fillId="0" borderId="39" xfId="0" applyNumberFormat="1" applyFont="1" applyBorder="1" applyAlignment="1" applyProtection="1">
      <alignment horizontal="centerContinuous"/>
      <protection/>
    </xf>
    <xf numFmtId="0" fontId="11" fillId="0" borderId="0" xfId="23" applyFont="1">
      <alignment/>
      <protection/>
    </xf>
    <xf numFmtId="0" fontId="6" fillId="0" borderId="0" xfId="23" applyFont="1" applyBorder="1" applyAlignment="1">
      <alignment horizontal="center"/>
      <protection/>
    </xf>
    <xf numFmtId="0" fontId="6" fillId="0" borderId="32" xfId="23" applyFont="1" applyBorder="1" applyAlignment="1">
      <alignment horizontal="center"/>
      <protection/>
    </xf>
    <xf numFmtId="0" fontId="6" fillId="0" borderId="0" xfId="23" applyAlignment="1">
      <alignment horizontal="center"/>
      <protection/>
    </xf>
    <xf numFmtId="0" fontId="6" fillId="0" borderId="17" xfId="23" applyBorder="1" applyAlignment="1">
      <alignment horizontal="center"/>
      <protection/>
    </xf>
    <xf numFmtId="0" fontId="0" fillId="0" borderId="0" xfId="0" applyFill="1" applyAlignment="1" applyProtection="1">
      <alignment/>
      <protection/>
    </xf>
    <xf numFmtId="49" fontId="0" fillId="0" borderId="0" xfId="0" applyNumberFormat="1" applyFont="1" applyFill="1" applyBorder="1" applyAlignment="1" applyProtection="1">
      <alignment horizontal="left"/>
      <protection locked="0"/>
    </xf>
    <xf numFmtId="0" fontId="11" fillId="0" borderId="0" xfId="23" applyFont="1" applyAlignment="1">
      <alignment horizontal="center"/>
      <protection/>
    </xf>
    <xf numFmtId="0" fontId="6" fillId="0" borderId="7" xfId="23" applyBorder="1">
      <alignment/>
      <protection/>
    </xf>
    <xf numFmtId="0" fontId="11" fillId="0" borderId="33" xfId="23" applyFont="1" applyBorder="1" applyAlignment="1">
      <alignment horizontal="center"/>
      <protection/>
    </xf>
    <xf numFmtId="0" fontId="11" fillId="0" borderId="15" xfId="23" applyFont="1" applyBorder="1" applyAlignment="1">
      <alignment horizontal="center"/>
      <protection/>
    </xf>
    <xf numFmtId="0" fontId="11" fillId="0" borderId="14" xfId="23" applyFont="1" applyBorder="1">
      <alignment/>
      <protection/>
    </xf>
    <xf numFmtId="0" fontId="11" fillId="0" borderId="0" xfId="23" applyFont="1" applyBorder="1">
      <alignment/>
      <protection/>
    </xf>
    <xf numFmtId="0" fontId="11" fillId="0" borderId="32" xfId="23" applyFont="1" applyBorder="1" applyAlignment="1">
      <alignment horizontal="center"/>
      <protection/>
    </xf>
    <xf numFmtId="0" fontId="11" fillId="0" borderId="16" xfId="23" applyFont="1" applyBorder="1">
      <alignment/>
      <protection/>
    </xf>
    <xf numFmtId="0" fontId="17" fillId="0" borderId="14" xfId="22" applyFont="1" applyBorder="1" applyAlignment="1" applyProtection="1">
      <alignment horizontal="left" vertical="center"/>
      <protection/>
    </xf>
    <xf numFmtId="0" fontId="0" fillId="0" borderId="0" xfId="22" applyFont="1" applyAlignment="1" applyProtection="1">
      <alignment horizontal="center" vertical="center"/>
      <protection/>
    </xf>
    <xf numFmtId="0" fontId="0" fillId="0" borderId="0" xfId="22" applyFont="1" applyAlignment="1" applyProtection="1">
      <alignment vertical="center"/>
      <protection/>
    </xf>
    <xf numFmtId="0" fontId="0" fillId="0" borderId="0" xfId="0" applyNumberFormat="1" applyAlignment="1">
      <alignment wrapText="1"/>
    </xf>
    <xf numFmtId="0" fontId="0" fillId="0" borderId="0" xfId="0" applyBorder="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protection/>
    </xf>
    <xf numFmtId="0" fontId="0" fillId="3" borderId="5" xfId="0" applyFont="1" applyFill="1" applyBorder="1" applyAlignment="1" applyProtection="1">
      <alignment/>
      <protection locked="0"/>
    </xf>
    <xf numFmtId="2" fontId="0" fillId="3" borderId="5" xfId="0" applyNumberFormat="1" applyFont="1" applyFill="1" applyBorder="1" applyAlignment="1" applyProtection="1">
      <alignment/>
      <protection locked="0"/>
    </xf>
    <xf numFmtId="0" fontId="11" fillId="0" borderId="33" xfId="22" applyFont="1" applyBorder="1">
      <alignment/>
      <protection/>
    </xf>
    <xf numFmtId="0" fontId="11" fillId="0" borderId="16" xfId="22" applyFont="1" applyBorder="1">
      <alignment/>
      <protection/>
    </xf>
    <xf numFmtId="0" fontId="11" fillId="0" borderId="38" xfId="22" applyFont="1" applyBorder="1">
      <alignment/>
      <protection/>
    </xf>
    <xf numFmtId="0" fontId="11" fillId="0" borderId="6" xfId="22" applyFont="1" applyBorder="1">
      <alignment/>
      <protection/>
    </xf>
    <xf numFmtId="0" fontId="0" fillId="0" borderId="0" xfId="0" applyNumberFormat="1" applyFont="1" applyAlignment="1">
      <alignment horizontal="left" wrapText="1"/>
    </xf>
    <xf numFmtId="0" fontId="0" fillId="0" borderId="0" xfId="0" applyNumberFormat="1" applyAlignment="1">
      <alignment horizontal="left" wrapText="1"/>
    </xf>
    <xf numFmtId="0" fontId="0" fillId="0" borderId="6" xfId="0" applyFont="1" applyFill="1" applyBorder="1" applyAlignment="1" applyProtection="1">
      <alignment horizontal="center"/>
      <protection/>
    </xf>
    <xf numFmtId="0" fontId="16" fillId="0" borderId="43" xfId="0" applyFont="1" applyFill="1" applyBorder="1" applyAlignment="1" applyProtection="1">
      <alignment horizontal="center"/>
      <protection/>
    </xf>
    <xf numFmtId="0" fontId="0" fillId="0" borderId="0" xfId="0" applyFont="1" applyAlignment="1" applyProtection="1">
      <alignment horizontal="left"/>
      <protection/>
    </xf>
    <xf numFmtId="0" fontId="6" fillId="0" borderId="17" xfId="23" applyFont="1" applyBorder="1" applyAlignment="1">
      <alignment horizontal="center"/>
      <protection/>
    </xf>
    <xf numFmtId="0" fontId="6" fillId="0" borderId="12" xfId="23" applyFont="1" applyBorder="1" applyAlignment="1">
      <alignment horizontal="center"/>
      <protection/>
    </xf>
    <xf numFmtId="0" fontId="11" fillId="0" borderId="18" xfId="23" applyFont="1" applyBorder="1" applyAlignment="1">
      <alignment horizontal="center"/>
      <protection/>
    </xf>
    <xf numFmtId="2" fontId="1" fillId="0" borderId="0" xfId="0" applyNumberFormat="1" applyFont="1" applyBorder="1" applyAlignment="1" applyProtection="1">
      <alignment/>
      <protection locked="0"/>
    </xf>
    <xf numFmtId="0" fontId="0" fillId="0" borderId="0" xfId="0" applyFill="1" applyBorder="1" applyAlignment="1" applyProtection="1">
      <alignment horizontal="center"/>
      <protection locked="0"/>
    </xf>
    <xf numFmtId="0" fontId="0" fillId="3" borderId="5" xfId="0" applyFont="1" applyFill="1" applyBorder="1" applyAlignment="1" applyProtection="1">
      <alignment vertical="center"/>
      <protection locked="0"/>
    </xf>
    <xf numFmtId="0" fontId="0" fillId="0" borderId="0" xfId="0" applyBorder="1" applyAlignment="1">
      <alignment vertical="center"/>
    </xf>
    <xf numFmtId="167" fontId="0" fillId="0" borderId="14" xfId="0" applyNumberFormat="1" applyBorder="1" applyAlignment="1" applyProtection="1">
      <alignment vertical="center"/>
      <protection/>
    </xf>
    <xf numFmtId="0" fontId="0" fillId="0" borderId="0" xfId="0" applyBorder="1" applyAlignment="1" applyProtection="1">
      <alignment vertical="center"/>
      <protection/>
    </xf>
    <xf numFmtId="2" fontId="0" fillId="0" borderId="14" xfId="0" applyNumberFormat="1" applyBorder="1" applyAlignment="1" applyProtection="1">
      <alignment vertical="center"/>
      <protection/>
    </xf>
    <xf numFmtId="169" fontId="0" fillId="0" borderId="0" xfId="0" applyNumberFormat="1" applyBorder="1" applyAlignment="1" applyProtection="1">
      <alignment horizontal="right"/>
      <protection locked="0"/>
    </xf>
    <xf numFmtId="1" fontId="17" fillId="0" borderId="14" xfId="22" applyNumberFormat="1" applyFont="1" applyBorder="1" applyAlignment="1" applyProtection="1">
      <alignment horizontal="center"/>
      <protection locked="0"/>
    </xf>
    <xf numFmtId="0" fontId="0" fillId="0" borderId="13" xfId="0" applyBorder="1" applyAlignment="1" applyProtection="1">
      <alignment/>
      <protection/>
    </xf>
    <xf numFmtId="1" fontId="17" fillId="0" borderId="0" xfId="22" applyNumberFormat="1" applyFont="1" applyBorder="1" applyAlignment="1" applyProtection="1">
      <alignment horizontal="center"/>
      <protection locked="0"/>
    </xf>
    <xf numFmtId="0" fontId="0" fillId="0" borderId="0" xfId="0" applyNumberFormat="1" applyAlignment="1">
      <alignment horizontal="right" wrapText="1"/>
    </xf>
    <xf numFmtId="0" fontId="0" fillId="0" borderId="0" xfId="0" applyFont="1" applyAlignment="1">
      <alignment horizontal="justify"/>
    </xf>
    <xf numFmtId="0" fontId="0" fillId="0" borderId="0" xfId="0" applyFont="1" applyAlignment="1">
      <alignment horizontal="justify" wrapText="1"/>
    </xf>
    <xf numFmtId="0" fontId="4" fillId="0" borderId="0" xfId="0" applyFont="1" applyFill="1" applyBorder="1" applyAlignment="1">
      <alignment horizontal="center"/>
    </xf>
    <xf numFmtId="0" fontId="16" fillId="0" borderId="3" xfId="0" applyFont="1" applyFill="1" applyBorder="1" applyAlignment="1" applyProtection="1">
      <alignment horizontal="center"/>
      <protection/>
    </xf>
    <xf numFmtId="0" fontId="16" fillId="0" borderId="44" xfId="0" applyFont="1" applyFill="1" applyBorder="1" applyAlignment="1" applyProtection="1">
      <alignment horizontal="center"/>
      <protection/>
    </xf>
    <xf numFmtId="0" fontId="0" fillId="0" borderId="0" xfId="0" applyFont="1" applyAlignment="1">
      <alignment horizontal="right"/>
    </xf>
    <xf numFmtId="0" fontId="0" fillId="0" borderId="45" xfId="0" applyFont="1" applyFill="1" applyBorder="1" applyAlignment="1" applyProtection="1">
      <alignment horizontal="center"/>
      <protection/>
    </xf>
    <xf numFmtId="0" fontId="0" fillId="0" borderId="46" xfId="0" applyFont="1" applyBorder="1" applyAlignment="1" applyProtection="1">
      <alignment horizontal="center"/>
      <protection/>
    </xf>
    <xf numFmtId="0" fontId="0" fillId="0" borderId="0" xfId="0" applyFont="1" applyFill="1" applyBorder="1" applyAlignment="1">
      <alignment horizontal="left"/>
    </xf>
    <xf numFmtId="0" fontId="0" fillId="0" borderId="16" xfId="0" applyFont="1" applyFill="1" applyBorder="1" applyAlignment="1">
      <alignment horizontal="left"/>
    </xf>
    <xf numFmtId="0" fontId="6" fillId="0" borderId="16" xfId="23" applyBorder="1" applyAlignment="1">
      <alignment horizontal="center"/>
      <protection/>
    </xf>
    <xf numFmtId="0" fontId="6" fillId="0" borderId="15" xfId="23" applyBorder="1" applyAlignment="1">
      <alignment horizontal="center"/>
      <protection/>
    </xf>
    <xf numFmtId="0" fontId="6" fillId="0" borderId="15" xfId="23" applyFont="1" applyBorder="1" applyAlignment="1">
      <alignment horizontal="center"/>
      <protection/>
    </xf>
    <xf numFmtId="0" fontId="6" fillId="0" borderId="16" xfId="23" applyFont="1" applyBorder="1" applyAlignment="1">
      <alignment horizontal="center"/>
      <protection/>
    </xf>
    <xf numFmtId="201" fontId="0" fillId="0" borderId="5" xfId="0" applyNumberFormat="1" applyFont="1" applyFill="1" applyBorder="1" applyAlignment="1" applyProtection="1">
      <alignment horizontal="left"/>
      <protection/>
    </xf>
    <xf numFmtId="0" fontId="0" fillId="0" borderId="5" xfId="0" applyBorder="1" applyAlignment="1">
      <alignment horizontal="left"/>
    </xf>
    <xf numFmtId="0" fontId="16" fillId="0" borderId="47" xfId="0" applyFont="1" applyFill="1" applyBorder="1" applyAlignment="1" applyProtection="1">
      <alignment horizontal="center"/>
      <protection/>
    </xf>
    <xf numFmtId="0" fontId="17" fillId="0" borderId="0" xfId="0" applyFont="1" applyBorder="1" applyAlignment="1">
      <alignment horizontal="center"/>
    </xf>
    <xf numFmtId="0" fontId="0" fillId="0" borderId="0" xfId="0" applyNumberFormat="1" applyAlignment="1">
      <alignment/>
    </xf>
    <xf numFmtId="0" fontId="0" fillId="3" borderId="6" xfId="0" applyFont="1" applyFill="1" applyBorder="1" applyAlignment="1" applyProtection="1">
      <alignment horizontal="center"/>
      <protection locked="0"/>
    </xf>
    <xf numFmtId="0" fontId="0" fillId="0" borderId="0" xfId="0" applyFont="1" applyAlignment="1" applyProtection="1">
      <alignment horizontal="left"/>
      <protection/>
    </xf>
    <xf numFmtId="0" fontId="0" fillId="0" borderId="0" xfId="0" applyFont="1" applyAlignment="1">
      <alignment/>
    </xf>
    <xf numFmtId="0" fontId="0" fillId="0" borderId="0" xfId="0" applyFont="1" applyBorder="1" applyAlignment="1">
      <alignment horizontal="left"/>
    </xf>
    <xf numFmtId="201" fontId="0" fillId="3" borderId="5" xfId="0" applyNumberFormat="1" applyFont="1" applyFill="1" applyBorder="1" applyAlignment="1" applyProtection="1">
      <alignment horizontal="left"/>
      <protection locked="0"/>
    </xf>
    <xf numFmtId="49" fontId="0" fillId="3" borderId="0" xfId="0" applyNumberFormat="1" applyFont="1" applyFill="1" applyBorder="1" applyAlignment="1" applyProtection="1">
      <alignment horizontal="left"/>
      <protection locked="0"/>
    </xf>
    <xf numFmtId="201" fontId="0" fillId="3" borderId="14" xfId="0" applyNumberFormat="1" applyFont="1" applyFill="1" applyBorder="1" applyAlignment="1" applyProtection="1">
      <alignment horizontal="left"/>
      <protection locked="0"/>
    </xf>
    <xf numFmtId="201" fontId="0" fillId="3" borderId="6" xfId="0" applyNumberFormat="1" applyFont="1" applyFill="1" applyBorder="1" applyAlignment="1" applyProtection="1">
      <alignment horizontal="left"/>
      <protection locked="0"/>
    </xf>
    <xf numFmtId="0" fontId="6" fillId="0" borderId="0" xfId="23" applyBorder="1" applyAlignment="1">
      <alignment horizontal="center"/>
      <protection/>
    </xf>
    <xf numFmtId="0" fontId="22" fillId="0" borderId="5" xfId="0" applyFont="1" applyBorder="1" applyAlignment="1" applyProtection="1">
      <alignment horizontal="center"/>
      <protection/>
    </xf>
    <xf numFmtId="0" fontId="0" fillId="0" borderId="0" xfId="0" applyNumberFormat="1" applyFont="1" applyBorder="1" applyAlignment="1" applyProtection="1">
      <alignment horizontal="center"/>
      <protection/>
    </xf>
    <xf numFmtId="0" fontId="0" fillId="0" borderId="0" xfId="0" applyNumberFormat="1" applyFont="1" applyBorder="1" applyAlignment="1" applyProtection="1">
      <alignment/>
      <protection/>
    </xf>
    <xf numFmtId="0" fontId="0" fillId="0" borderId="0" xfId="0" applyNumberFormat="1" applyBorder="1" applyAlignment="1">
      <alignment/>
    </xf>
    <xf numFmtId="0" fontId="0" fillId="0" borderId="0" xfId="0" applyFont="1" applyAlignment="1" applyProtection="1">
      <alignment horizontal="right"/>
      <protection/>
    </xf>
    <xf numFmtId="16" fontId="0" fillId="0" borderId="0" xfId="0" applyNumberFormat="1" applyFont="1" applyBorder="1" applyAlignment="1" applyProtection="1">
      <alignment horizontal="right"/>
      <protection/>
    </xf>
    <xf numFmtId="0" fontId="17" fillId="0" borderId="0" xfId="0" applyFont="1" applyAlignment="1" applyProtection="1">
      <alignment horizontal="center"/>
      <protection/>
    </xf>
    <xf numFmtId="0" fontId="17" fillId="0" borderId="0" xfId="0" applyFont="1" applyAlignment="1">
      <alignment horizontal="center"/>
    </xf>
    <xf numFmtId="0" fontId="0" fillId="2" borderId="0" xfId="0" applyFill="1" applyBorder="1" applyAlignment="1" applyProtection="1">
      <alignment horizontal="center"/>
      <protection/>
    </xf>
    <xf numFmtId="0" fontId="22" fillId="0" borderId="6" xfId="0" applyNumberFormat="1" applyFont="1" applyBorder="1" applyAlignment="1" applyProtection="1">
      <alignment horizontal="center"/>
      <protection/>
    </xf>
    <xf numFmtId="3" fontId="0" fillId="3" borderId="6" xfId="0" applyNumberFormat="1" applyFont="1" applyFill="1" applyBorder="1" applyAlignment="1" applyProtection="1">
      <alignment horizontal="center"/>
      <protection locked="0"/>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5" xfId="0" applyFont="1" applyFill="1" applyBorder="1" applyAlignment="1" applyProtection="1">
      <alignment horizontal="center"/>
      <protection/>
    </xf>
    <xf numFmtId="169" fontId="24" fillId="0" borderId="38" xfId="0" applyNumberFormat="1" applyFont="1" applyBorder="1" applyAlignment="1" applyProtection="1">
      <alignment horizontal="center"/>
      <protection/>
    </xf>
    <xf numFmtId="0" fontId="0" fillId="0" borderId="0" xfId="0" applyAlignment="1" applyProtection="1">
      <alignment horizontal="left"/>
      <protection/>
    </xf>
    <xf numFmtId="0" fontId="0" fillId="0" borderId="9" xfId="0" applyBorder="1" applyAlignment="1">
      <alignment horizontal="left"/>
    </xf>
    <xf numFmtId="0" fontId="0" fillId="3" borderId="6" xfId="0" applyNumberFormat="1" applyFont="1" applyFill="1" applyBorder="1" applyAlignment="1" applyProtection="1">
      <alignment horizontal="center"/>
      <protection locked="0"/>
    </xf>
    <xf numFmtId="169" fontId="24" fillId="0" borderId="34" xfId="0" applyNumberFormat="1" applyFont="1" applyBorder="1" applyAlignment="1" applyProtection="1">
      <alignment horizontal="center"/>
      <protection/>
    </xf>
    <xf numFmtId="169" fontId="24" fillId="0" borderId="6" xfId="0" applyNumberFormat="1" applyFont="1" applyBorder="1" applyAlignment="1" applyProtection="1">
      <alignment horizontal="center"/>
      <protection/>
    </xf>
    <xf numFmtId="169" fontId="24" fillId="0" borderId="33" xfId="0" applyNumberFormat="1" applyFont="1" applyBorder="1" applyAlignment="1" applyProtection="1">
      <alignment horizontal="center"/>
      <protection/>
    </xf>
    <xf numFmtId="0" fontId="0" fillId="0" borderId="6" xfId="0" applyFont="1" applyBorder="1" applyAlignment="1" applyProtection="1">
      <alignment horizontal="center"/>
      <protection/>
    </xf>
    <xf numFmtId="0" fontId="0" fillId="0" borderId="5" xfId="0" applyFont="1" applyBorder="1" applyAlignment="1" applyProtection="1">
      <alignment horizontal="center"/>
      <protection/>
    </xf>
    <xf numFmtId="2" fontId="22" fillId="0" borderId="6" xfId="0" applyNumberFormat="1" applyFont="1" applyBorder="1" applyAlignment="1" applyProtection="1">
      <alignment horizontal="center"/>
      <protection/>
    </xf>
    <xf numFmtId="2" fontId="22" fillId="0" borderId="5" xfId="0" applyNumberFormat="1" applyFont="1" applyBorder="1" applyAlignment="1" applyProtection="1">
      <alignment horizontal="center"/>
      <protection/>
    </xf>
    <xf numFmtId="169" fontId="24" fillId="0" borderId="0" xfId="0" applyNumberFormat="1" applyFont="1" applyBorder="1" applyAlignment="1" applyProtection="1">
      <alignment horizontal="center"/>
      <protection/>
    </xf>
    <xf numFmtId="169" fontId="24" fillId="0" borderId="16" xfId="0" applyNumberFormat="1" applyFont="1" applyBorder="1" applyAlignment="1" applyProtection="1">
      <alignment horizontal="center"/>
      <protection/>
    </xf>
    <xf numFmtId="0" fontId="22" fillId="0" borderId="6" xfId="0" applyFont="1" applyBorder="1" applyAlignment="1" applyProtection="1">
      <alignment horizontal="center"/>
      <protection/>
    </xf>
    <xf numFmtId="169" fontId="24" fillId="0" borderId="32" xfId="0" applyNumberFormat="1" applyFont="1" applyBorder="1" applyAlignment="1" applyProtection="1">
      <alignment horizontal="center"/>
      <protection/>
    </xf>
    <xf numFmtId="169" fontId="24" fillId="0" borderId="14" xfId="0" applyNumberFormat="1" applyFont="1" applyBorder="1" applyAlignment="1" applyProtection="1">
      <alignment horizontal="center"/>
      <protection/>
    </xf>
    <xf numFmtId="0" fontId="0" fillId="0" borderId="0" xfId="0" applyAlignment="1">
      <alignment/>
    </xf>
    <xf numFmtId="49" fontId="0" fillId="3" borderId="14" xfId="0" applyNumberFormat="1" applyFont="1" applyFill="1" applyBorder="1" applyAlignment="1" applyProtection="1">
      <alignment horizontal="left"/>
      <protection locked="0"/>
    </xf>
    <xf numFmtId="49" fontId="0" fillId="3" borderId="6" xfId="0" applyNumberFormat="1" applyFont="1" applyFill="1" applyBorder="1" applyAlignment="1" applyProtection="1">
      <alignment horizontal="left"/>
      <protection locked="0"/>
    </xf>
    <xf numFmtId="49" fontId="0" fillId="3" borderId="5" xfId="0" applyNumberFormat="1" applyFill="1" applyBorder="1" applyAlignment="1" applyProtection="1">
      <alignment/>
      <protection locked="0"/>
    </xf>
    <xf numFmtId="0" fontId="0" fillId="0" borderId="0" xfId="0" applyFont="1" applyBorder="1" applyAlignment="1" applyProtection="1">
      <alignment horizontal="right"/>
      <protection/>
    </xf>
    <xf numFmtId="0" fontId="0" fillId="0" borderId="0" xfId="0" applyFont="1" applyAlignment="1" applyProtection="1">
      <alignment/>
      <protection/>
    </xf>
    <xf numFmtId="169" fontId="24" fillId="0" borderId="15" xfId="0" applyNumberFormat="1" applyFont="1" applyBorder="1" applyAlignment="1" applyProtection="1">
      <alignment horizontal="center"/>
      <protection/>
    </xf>
    <xf numFmtId="0" fontId="0" fillId="0" borderId="0" xfId="0" applyFont="1" applyBorder="1" applyAlignment="1" applyProtection="1">
      <alignment horizontal="left"/>
      <protection/>
    </xf>
    <xf numFmtId="0" fontId="0" fillId="0" borderId="0" xfId="0" applyAlignment="1">
      <alignment horizontal="left"/>
    </xf>
    <xf numFmtId="0" fontId="0" fillId="0" borderId="0" xfId="0" applyFont="1" applyBorder="1" applyAlignment="1" applyProtection="1">
      <alignment horizontal="center"/>
      <protection/>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horizontal="left"/>
    </xf>
    <xf numFmtId="169" fontId="0" fillId="0" borderId="0" xfId="0" applyNumberFormat="1" applyFont="1" applyBorder="1" applyAlignment="1" applyProtection="1">
      <alignment horizontal="center"/>
      <protection/>
    </xf>
    <xf numFmtId="0" fontId="4" fillId="0" borderId="0" xfId="0" applyFont="1" applyAlignment="1" applyProtection="1">
      <alignment vertical="center" wrapText="1"/>
      <protection/>
    </xf>
    <xf numFmtId="0" fontId="4" fillId="0" borderId="0" xfId="0" applyFont="1" applyAlignment="1">
      <alignment vertical="center" wrapText="1"/>
    </xf>
    <xf numFmtId="0" fontId="0" fillId="0" borderId="0" xfId="20" applyFont="1" applyBorder="1" applyAlignment="1" applyProtection="1" quotePrefix="1">
      <alignment horizontal="left"/>
      <protection/>
    </xf>
    <xf numFmtId="0" fontId="0" fillId="0" borderId="0" xfId="0" applyFont="1" applyBorder="1" applyAlignment="1" applyProtection="1">
      <alignment/>
      <protection/>
    </xf>
    <xf numFmtId="0" fontId="0" fillId="0" borderId="6"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Border="1" applyAlignment="1">
      <alignment/>
    </xf>
    <xf numFmtId="0" fontId="0" fillId="0" borderId="15" xfId="0" applyFont="1" applyFill="1" applyBorder="1" applyAlignment="1">
      <alignment horizontal="left"/>
    </xf>
    <xf numFmtId="0" fontId="0" fillId="0" borderId="0" xfId="0" applyFont="1" applyFill="1" applyBorder="1" applyAlignment="1" applyProtection="1">
      <alignment horizontal="right"/>
      <protection/>
    </xf>
    <xf numFmtId="0" fontId="0" fillId="0" borderId="0" xfId="0" applyFont="1" applyBorder="1" applyAlignment="1">
      <alignment horizontal="right"/>
    </xf>
    <xf numFmtId="0" fontId="0" fillId="0" borderId="0" xfId="0" applyAlignment="1">
      <alignment horizontal="right"/>
    </xf>
    <xf numFmtId="14" fontId="17" fillId="0" borderId="0" xfId="0" applyNumberFormat="1" applyFont="1" applyBorder="1" applyAlignment="1" quotePrefix="1">
      <alignment horizontal="center"/>
    </xf>
    <xf numFmtId="0" fontId="0" fillId="0" borderId="0" xfId="0" applyFont="1" applyFill="1" applyBorder="1" applyAlignment="1" applyProtection="1">
      <alignment horizontal="right" vertical="center"/>
      <protection/>
    </xf>
    <xf numFmtId="0" fontId="0" fillId="0" borderId="0" xfId="0" applyFont="1" applyBorder="1" applyAlignment="1">
      <alignment horizontal="right" vertical="center"/>
    </xf>
    <xf numFmtId="0" fontId="0" fillId="0" borderId="6" xfId="0" applyFont="1" applyFill="1" applyBorder="1" applyAlignment="1" applyProtection="1">
      <alignment horizontal="left"/>
      <protection/>
    </xf>
    <xf numFmtId="0" fontId="0" fillId="0" borderId="6" xfId="0" applyBorder="1" applyAlignment="1">
      <alignment horizontal="left"/>
    </xf>
    <xf numFmtId="0" fontId="0" fillId="0" borderId="45" xfId="0" applyFont="1" applyFill="1" applyBorder="1" applyAlignment="1">
      <alignment horizontal="center"/>
    </xf>
    <xf numFmtId="0" fontId="0" fillId="0" borderId="48" xfId="0" applyFont="1" applyBorder="1" applyAlignment="1">
      <alignment horizontal="center"/>
    </xf>
    <xf numFmtId="0" fontId="0" fillId="0" borderId="5" xfId="0" applyFont="1" applyFill="1" applyBorder="1" applyAlignment="1" applyProtection="1">
      <alignment horizontal="left"/>
      <protection/>
    </xf>
    <xf numFmtId="0" fontId="0" fillId="0" borderId="46" xfId="0" applyFont="1" applyBorder="1" applyAlignment="1">
      <alignment horizontal="center"/>
    </xf>
    <xf numFmtId="0" fontId="0" fillId="0" borderId="0" xfId="0" applyFont="1" applyBorder="1" applyAlignment="1">
      <alignment horizontal="right" vertical="center" wrapText="1"/>
    </xf>
    <xf numFmtId="201" fontId="0" fillId="0" borderId="6" xfId="0" applyNumberFormat="1" applyFont="1" applyBorder="1" applyAlignment="1" applyProtection="1">
      <alignment horizontal="left"/>
      <protection locked="0"/>
    </xf>
    <xf numFmtId="0" fontId="0" fillId="0" borderId="5" xfId="0" applyNumberFormat="1" applyFont="1" applyFill="1" applyBorder="1" applyAlignment="1" applyProtection="1">
      <alignment horizontal="left"/>
      <protection/>
    </xf>
    <xf numFmtId="0" fontId="0" fillId="0" borderId="6" xfId="0" applyFont="1" applyBorder="1" applyAlignment="1" applyProtection="1">
      <alignment/>
      <protection locked="0"/>
    </xf>
    <xf numFmtId="0" fontId="0" fillId="0" borderId="6" xfId="0" applyBorder="1" applyAlignment="1" applyProtection="1">
      <alignment/>
      <protection/>
    </xf>
    <xf numFmtId="169" fontId="0" fillId="0" borderId="0" xfId="0" applyNumberFormat="1" applyFill="1" applyBorder="1" applyAlignment="1">
      <alignment horizontal="left"/>
    </xf>
    <xf numFmtId="0" fontId="0" fillId="0" borderId="0" xfId="0" applyFill="1" applyBorder="1" applyAlignment="1">
      <alignment horizontal="left"/>
    </xf>
    <xf numFmtId="0" fontId="0" fillId="0" borderId="0" xfId="0" applyBorder="1" applyAlignment="1" applyProtection="1">
      <alignment horizontal="left"/>
      <protection/>
    </xf>
    <xf numFmtId="201" fontId="0" fillId="0" borderId="6" xfId="0" applyNumberFormat="1" applyFont="1" applyBorder="1" applyAlignment="1" applyProtection="1">
      <alignment horizontal="left"/>
      <protection/>
    </xf>
    <xf numFmtId="0" fontId="0" fillId="0" borderId="0" xfId="0" applyFill="1" applyBorder="1" applyAlignment="1" quotePrefix="1">
      <alignment horizontal="left"/>
    </xf>
    <xf numFmtId="0" fontId="0" fillId="0" borderId="11" xfId="0" applyBorder="1" applyAlignment="1" applyProtection="1">
      <alignment horizontal="left"/>
      <protection/>
    </xf>
    <xf numFmtId="0" fontId="0" fillId="0" borderId="12" xfId="0" applyBorder="1" applyAlignment="1" applyProtection="1">
      <alignment horizontal="left"/>
      <protection/>
    </xf>
    <xf numFmtId="0" fontId="0" fillId="0" borderId="10" xfId="0" applyBorder="1" applyAlignment="1" applyProtection="1">
      <alignment horizontal="left"/>
      <protection/>
    </xf>
    <xf numFmtId="0" fontId="0" fillId="0" borderId="7" xfId="0" applyBorder="1" applyAlignment="1" applyProtection="1">
      <alignment horizontal="left"/>
      <protection/>
    </xf>
    <xf numFmtId="0" fontId="0" fillId="0" borderId="12" xfId="0" applyBorder="1" applyAlignment="1" applyProtection="1">
      <alignment horizontal="left" vertical="center"/>
      <protection/>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NumberFormat="1" applyBorder="1" applyAlignment="1">
      <alignment horizontal="left"/>
    </xf>
    <xf numFmtId="0" fontId="0" fillId="0" borderId="6" xfId="0" applyBorder="1" applyAlignment="1" applyProtection="1">
      <alignment/>
      <protection locked="0"/>
    </xf>
    <xf numFmtId="0" fontId="0" fillId="0" borderId="0" xfId="22" applyFont="1" applyBorder="1" applyAlignment="1" applyProtection="1">
      <alignment horizontal="left"/>
      <protection locked="0"/>
    </xf>
    <xf numFmtId="0" fontId="0" fillId="0" borderId="6" xfId="22" applyFont="1" applyBorder="1" applyAlignment="1" applyProtection="1">
      <alignment horizontal="left"/>
      <protection locked="0"/>
    </xf>
    <xf numFmtId="0" fontId="0" fillId="0" borderId="14" xfId="22" applyFont="1" applyBorder="1" applyAlignment="1" applyProtection="1">
      <alignment horizontal="left"/>
      <protection locked="0"/>
    </xf>
    <xf numFmtId="0" fontId="0" fillId="0" borderId="0" xfId="0" applyAlignment="1" applyProtection="1">
      <alignment horizontal="left"/>
      <protection locked="0"/>
    </xf>
    <xf numFmtId="0" fontId="0" fillId="0" borderId="6" xfId="0" applyBorder="1" applyAlignment="1" applyProtection="1">
      <alignment horizontal="left"/>
      <protection locked="0"/>
    </xf>
    <xf numFmtId="0" fontId="0" fillId="0" borderId="0" xfId="22" applyFont="1" applyBorder="1" applyAlignment="1" applyProtection="1">
      <alignment horizontal="center"/>
      <protection locked="0"/>
    </xf>
    <xf numFmtId="0" fontId="0" fillId="0" borderId="6" xfId="22" applyFont="1" applyBorder="1" applyAlignment="1" applyProtection="1">
      <alignment horizontal="center"/>
      <protection locked="0"/>
    </xf>
    <xf numFmtId="0" fontId="0" fillId="0" borderId="32" xfId="22" applyFont="1" applyBorder="1" applyAlignment="1">
      <alignment horizontal="center" vertical="center" shrinkToFit="1"/>
      <protection/>
    </xf>
    <xf numFmtId="0" fontId="0" fillId="0" borderId="14" xfId="22" applyFont="1" applyBorder="1" applyAlignment="1">
      <alignment horizontal="center" vertical="center" shrinkToFit="1"/>
      <protection/>
    </xf>
    <xf numFmtId="0" fontId="0" fillId="0" borderId="33" xfId="22" applyFont="1" applyBorder="1" applyAlignment="1">
      <alignment horizontal="center" vertical="center" shrinkToFit="1"/>
      <protection/>
    </xf>
    <xf numFmtId="0" fontId="0" fillId="0" borderId="34" xfId="22" applyFont="1" applyBorder="1" applyAlignment="1">
      <alignment horizontal="center" vertical="center" shrinkToFit="1"/>
      <protection/>
    </xf>
    <xf numFmtId="0" fontId="0" fillId="0" borderId="6" xfId="22" applyFont="1" applyBorder="1" applyAlignment="1">
      <alignment horizontal="center" vertical="center" shrinkToFit="1"/>
      <protection/>
    </xf>
    <xf numFmtId="0" fontId="0" fillId="0" borderId="38" xfId="22" applyFont="1" applyBorder="1" applyAlignment="1">
      <alignment horizontal="center" vertical="center" shrinkToFit="1"/>
      <protection/>
    </xf>
    <xf numFmtId="167" fontId="0" fillId="0" borderId="39" xfId="22" applyNumberFormat="1" applyFont="1" applyBorder="1" applyAlignment="1" applyProtection="1">
      <alignment horizontal="center"/>
      <protection locked="0"/>
    </xf>
    <xf numFmtId="167" fontId="17" fillId="0" borderId="39" xfId="22" applyNumberFormat="1" applyFont="1" applyBorder="1" applyAlignment="1" applyProtection="1">
      <alignment horizontal="center"/>
      <protection/>
    </xf>
    <xf numFmtId="0" fontId="0" fillId="0" borderId="34" xfId="22" applyFont="1" applyBorder="1" applyAlignment="1">
      <alignment horizontal="center" vertical="center"/>
      <protection/>
    </xf>
    <xf numFmtId="0" fontId="0" fillId="0" borderId="6" xfId="22" applyFont="1" applyBorder="1" applyAlignment="1">
      <alignment horizontal="center" vertical="center"/>
      <protection/>
    </xf>
    <xf numFmtId="0" fontId="0" fillId="0" borderId="38" xfId="22" applyFont="1" applyBorder="1" applyAlignment="1">
      <alignment horizontal="center" vertical="center"/>
      <protection/>
    </xf>
    <xf numFmtId="0" fontId="0" fillId="0" borderId="32" xfId="22" applyFont="1" applyBorder="1" applyAlignment="1">
      <alignment horizontal="center" vertical="center"/>
      <protection/>
    </xf>
    <xf numFmtId="0" fontId="0" fillId="0" borderId="14" xfId="22" applyFont="1" applyBorder="1" applyAlignment="1">
      <alignment horizontal="center" vertical="center"/>
      <protection/>
    </xf>
    <xf numFmtId="0" fontId="0" fillId="0" borderId="33" xfId="22" applyFont="1" applyBorder="1" applyAlignment="1">
      <alignment horizontal="center" vertical="center"/>
      <protection/>
    </xf>
    <xf numFmtId="0" fontId="17" fillId="0" borderId="0" xfId="22" applyFont="1" applyBorder="1" applyAlignment="1">
      <alignment horizontal="center"/>
      <protection/>
    </xf>
    <xf numFmtId="0" fontId="0" fillId="0" borderId="14" xfId="0" applyBorder="1" applyAlignment="1">
      <alignment/>
    </xf>
    <xf numFmtId="0" fontId="0" fillId="0" borderId="32" xfId="22" applyFont="1" applyBorder="1" applyAlignment="1" applyProtection="1">
      <alignment horizontal="center"/>
      <protection locked="0"/>
    </xf>
    <xf numFmtId="0" fontId="0" fillId="0" borderId="14" xfId="22" applyFont="1" applyBorder="1" applyAlignment="1" applyProtection="1">
      <alignment horizontal="center"/>
      <protection locked="0"/>
    </xf>
    <xf numFmtId="0" fontId="0" fillId="0" borderId="33" xfId="22" applyFont="1" applyBorder="1" applyAlignment="1" applyProtection="1">
      <alignment horizontal="center"/>
      <protection locked="0"/>
    </xf>
    <xf numFmtId="0" fontId="0" fillId="0" borderId="34" xfId="22" applyFont="1" applyBorder="1" applyAlignment="1" applyProtection="1">
      <alignment horizontal="center"/>
      <protection locked="0"/>
    </xf>
    <xf numFmtId="0" fontId="0" fillId="0" borderId="38" xfId="22" applyFont="1" applyBorder="1" applyAlignment="1" applyProtection="1">
      <alignment horizontal="center"/>
      <protection locked="0"/>
    </xf>
    <xf numFmtId="0" fontId="17" fillId="0" borderId="32" xfId="22" applyFont="1" applyBorder="1" applyAlignment="1">
      <alignment horizontal="left"/>
      <protection/>
    </xf>
    <xf numFmtId="0" fontId="0" fillId="0" borderId="14" xfId="0" applyBorder="1" applyAlignment="1">
      <alignment horizontal="left"/>
    </xf>
    <xf numFmtId="0" fontId="0" fillId="0" borderId="15" xfId="0" applyBorder="1" applyAlignment="1">
      <alignment horizontal="left"/>
    </xf>
    <xf numFmtId="49" fontId="17" fillId="0" borderId="16" xfId="22" applyNumberFormat="1" applyFont="1" applyBorder="1" applyAlignment="1">
      <alignment/>
      <protection/>
    </xf>
    <xf numFmtId="49" fontId="17" fillId="0" borderId="49" xfId="22" applyNumberFormat="1" applyFont="1" applyBorder="1" applyAlignment="1">
      <alignment/>
      <protection/>
    </xf>
    <xf numFmtId="0" fontId="17" fillId="0" borderId="15" xfId="22" applyFont="1" applyBorder="1" applyAlignment="1">
      <alignment horizontal="left"/>
      <protection/>
    </xf>
    <xf numFmtId="0" fontId="17" fillId="0" borderId="0" xfId="22" applyFont="1" applyBorder="1" applyAlignment="1">
      <alignment horizontal="left"/>
      <protection/>
    </xf>
    <xf numFmtId="0" fontId="17" fillId="0" borderId="16" xfId="22" applyFont="1" applyBorder="1" applyAlignment="1">
      <alignment horizontal="left"/>
      <protection/>
    </xf>
    <xf numFmtId="0" fontId="17" fillId="0" borderId="34" xfId="22" applyFont="1" applyBorder="1" applyAlignment="1">
      <alignment horizontal="left"/>
      <protection/>
    </xf>
    <xf numFmtId="0" fontId="17" fillId="0" borderId="6" xfId="22" applyFont="1" applyBorder="1" applyAlignment="1">
      <alignment horizontal="left"/>
      <protection/>
    </xf>
    <xf numFmtId="0" fontId="17" fillId="0" borderId="38" xfId="22" applyFont="1" applyBorder="1" applyAlignment="1">
      <alignment horizontal="left"/>
      <protection/>
    </xf>
    <xf numFmtId="0" fontId="29" fillId="0" borderId="0" xfId="24" applyFont="1" applyBorder="1" applyAlignment="1">
      <alignment horizontal="center" vertical="center"/>
      <protection/>
    </xf>
    <xf numFmtId="0" fontId="0" fillId="0" borderId="32" xfId="22" applyFont="1" applyBorder="1" applyAlignment="1" quotePrefix="1">
      <alignment horizontal="center" wrapText="1"/>
      <protection/>
    </xf>
    <xf numFmtId="0" fontId="0" fillId="0" borderId="14" xfId="22" applyFont="1" applyBorder="1" applyAlignment="1">
      <alignment horizontal="center" wrapText="1"/>
      <protection/>
    </xf>
    <xf numFmtId="0" fontId="0" fillId="0" borderId="33" xfId="22" applyFont="1" applyBorder="1" applyAlignment="1">
      <alignment horizontal="center" wrapText="1"/>
      <protection/>
    </xf>
    <xf numFmtId="0" fontId="0" fillId="0" borderId="15" xfId="22" applyFont="1" applyBorder="1" applyAlignment="1">
      <alignment horizontal="center" wrapText="1"/>
      <protection/>
    </xf>
    <xf numFmtId="0" fontId="0" fillId="0" borderId="0" xfId="22" applyFont="1" applyBorder="1" applyAlignment="1">
      <alignment horizontal="center" wrapText="1"/>
      <protection/>
    </xf>
    <xf numFmtId="0" fontId="0" fillId="0" borderId="16" xfId="22" applyFont="1" applyBorder="1" applyAlignment="1">
      <alignment horizontal="center" wrapText="1"/>
      <protection/>
    </xf>
    <xf numFmtId="0" fontId="0" fillId="0" borderId="34" xfId="22" applyFont="1" applyBorder="1" applyAlignment="1">
      <alignment horizontal="center" wrapText="1"/>
      <protection/>
    </xf>
    <xf numFmtId="0" fontId="0" fillId="0" borderId="6" xfId="22" applyFont="1" applyBorder="1" applyAlignment="1">
      <alignment horizontal="center" wrapText="1"/>
      <protection/>
    </xf>
    <xf numFmtId="0" fontId="0" fillId="0" borderId="38" xfId="22" applyFont="1" applyBorder="1" applyAlignment="1">
      <alignment horizontal="center" wrapText="1"/>
      <protection/>
    </xf>
    <xf numFmtId="170" fontId="17" fillId="0" borderId="39" xfId="22" applyNumberFormat="1" applyFont="1" applyBorder="1" applyAlignment="1" applyProtection="1">
      <alignment horizontal="center"/>
      <protection/>
    </xf>
    <xf numFmtId="0" fontId="25" fillId="0" borderId="0" xfId="22" applyFont="1" applyAlignment="1">
      <alignment horizontal="center" vertical="center"/>
      <protection/>
    </xf>
    <xf numFmtId="0" fontId="25" fillId="0" borderId="0" xfId="0" applyFont="1" applyAlignment="1">
      <alignment/>
    </xf>
    <xf numFmtId="0" fontId="0" fillId="0" borderId="6" xfId="22" applyFont="1" applyBorder="1">
      <alignment/>
      <protection/>
    </xf>
    <xf numFmtId="0" fontId="0" fillId="0" borderId="38" xfId="22" applyFont="1" applyBorder="1">
      <alignment/>
      <protection/>
    </xf>
    <xf numFmtId="0" fontId="32" fillId="0" borderId="32" xfId="22" applyFont="1" applyBorder="1" applyAlignment="1">
      <alignment horizontal="left"/>
      <protection/>
    </xf>
    <xf numFmtId="0" fontId="32" fillId="0" borderId="14" xfId="22" applyFont="1" applyBorder="1" applyAlignment="1">
      <alignment horizontal="left"/>
      <protection/>
    </xf>
    <xf numFmtId="0" fontId="32" fillId="0" borderId="33" xfId="22" applyFont="1" applyBorder="1" applyAlignment="1">
      <alignment horizontal="left"/>
      <protection/>
    </xf>
    <xf numFmtId="0" fontId="32" fillId="0" borderId="15" xfId="22" applyFont="1" applyBorder="1" applyAlignment="1">
      <alignment horizontal="left"/>
      <protection/>
    </xf>
    <xf numFmtId="0" fontId="32" fillId="0" borderId="0" xfId="22" applyFont="1" applyBorder="1" applyAlignment="1">
      <alignment horizontal="left"/>
      <protection/>
    </xf>
    <xf numFmtId="0" fontId="32" fillId="0" borderId="16" xfId="22" applyFont="1" applyBorder="1" applyAlignment="1">
      <alignment horizontal="left"/>
      <protection/>
    </xf>
    <xf numFmtId="0" fontId="32" fillId="0" borderId="34" xfId="22" applyFont="1" applyBorder="1" applyAlignment="1">
      <alignment horizontal="left"/>
      <protection/>
    </xf>
    <xf numFmtId="0" fontId="32" fillId="0" borderId="6" xfId="22" applyFont="1" applyBorder="1" applyAlignment="1">
      <alignment horizontal="left"/>
      <protection/>
    </xf>
    <xf numFmtId="0" fontId="32" fillId="0" borderId="38" xfId="22" applyFont="1" applyBorder="1" applyAlignment="1">
      <alignment horizontal="left"/>
      <protection/>
    </xf>
    <xf numFmtId="49" fontId="17" fillId="0" borderId="0" xfId="22" applyNumberFormat="1" applyFont="1" applyBorder="1" applyAlignment="1">
      <alignment horizontal="left" vertical="top"/>
      <protection/>
    </xf>
    <xf numFmtId="49" fontId="17" fillId="0" borderId="16" xfId="22" applyNumberFormat="1" applyFont="1" applyBorder="1" applyAlignment="1">
      <alignment horizontal="left" vertical="top"/>
      <protection/>
    </xf>
    <xf numFmtId="0" fontId="0" fillId="0" borderId="0" xfId="22" applyFont="1" applyAlignment="1">
      <alignment horizontal="left"/>
      <protection/>
    </xf>
    <xf numFmtId="0" fontId="0" fillId="0" borderId="14" xfId="0" applyBorder="1" applyAlignment="1" applyProtection="1">
      <alignment horizontal="left"/>
      <protection locked="0"/>
    </xf>
    <xf numFmtId="0" fontId="0" fillId="0" borderId="0" xfId="22" applyFont="1" applyBorder="1" applyAlignment="1" applyProtection="1">
      <alignment horizontal="left"/>
      <protection/>
    </xf>
    <xf numFmtId="0" fontId="0" fillId="0" borderId="0" xfId="0" applyBorder="1" applyAlignment="1" applyProtection="1">
      <alignment/>
      <protection/>
    </xf>
    <xf numFmtId="170" fontId="0" fillId="0" borderId="39" xfId="22" applyNumberFormat="1" applyFont="1" applyBorder="1" applyAlignment="1" applyProtection="1">
      <alignment horizontal="center"/>
      <protection locked="0"/>
    </xf>
    <xf numFmtId="0" fontId="0" fillId="0" borderId="0" xfId="22" applyFont="1" applyFill="1" applyBorder="1" applyAlignment="1" applyProtection="1">
      <alignment horizontal="left"/>
      <protection/>
    </xf>
    <xf numFmtId="0" fontId="0" fillId="0" borderId="0" xfId="22" applyFont="1" applyBorder="1" applyAlignment="1">
      <alignment horizontal="left"/>
      <protection/>
    </xf>
    <xf numFmtId="0" fontId="0" fillId="0" borderId="0" xfId="0" applyFont="1" applyAlignment="1">
      <alignment horizontal="left"/>
    </xf>
    <xf numFmtId="0" fontId="0" fillId="0" borderId="0" xfId="22" applyFont="1" applyAlignment="1" applyProtection="1">
      <alignment horizontal="left"/>
      <protection locked="0"/>
    </xf>
    <xf numFmtId="0" fontId="0" fillId="0" borderId="39" xfId="22" applyFont="1" applyBorder="1" applyAlignment="1" applyProtection="1">
      <alignment horizontal="center"/>
      <protection locked="0"/>
    </xf>
    <xf numFmtId="1" fontId="0" fillId="0" borderId="39" xfId="22" applyNumberFormat="1" applyFont="1" applyBorder="1" applyAlignment="1" applyProtection="1">
      <alignment horizontal="center"/>
      <protection/>
    </xf>
    <xf numFmtId="0" fontId="0" fillId="0" borderId="0" xfId="22" applyFont="1" applyAlignment="1">
      <alignment horizontal="right"/>
      <protection/>
    </xf>
    <xf numFmtId="170" fontId="0" fillId="0" borderId="32" xfId="22" applyNumberFormat="1" applyFont="1" applyBorder="1" applyAlignment="1" applyProtection="1">
      <alignment horizontal="center"/>
      <protection locked="0"/>
    </xf>
    <xf numFmtId="170" fontId="0" fillId="0" borderId="14" xfId="22" applyNumberFormat="1" applyFont="1" applyBorder="1" applyAlignment="1" applyProtection="1">
      <alignment horizontal="center"/>
      <protection locked="0"/>
    </xf>
    <xf numFmtId="170" fontId="0" fillId="0" borderId="33" xfId="22" applyNumberFormat="1" applyFont="1" applyBorder="1" applyAlignment="1" applyProtection="1">
      <alignment horizontal="center"/>
      <protection locked="0"/>
    </xf>
    <xf numFmtId="170" fontId="0" fillId="0" borderId="34" xfId="22" applyNumberFormat="1" applyFont="1" applyBorder="1" applyAlignment="1" applyProtection="1">
      <alignment horizontal="center"/>
      <protection locked="0"/>
    </xf>
    <xf numFmtId="170" fontId="0" fillId="0" borderId="6" xfId="22" applyNumberFormat="1" applyFont="1" applyBorder="1" applyAlignment="1" applyProtection="1">
      <alignment horizontal="center"/>
      <protection locked="0"/>
    </xf>
    <xf numFmtId="170" fontId="0" fillId="0" borderId="38" xfId="22" applyNumberFormat="1" applyFont="1" applyBorder="1" applyAlignment="1" applyProtection="1">
      <alignment horizontal="center"/>
      <protection locked="0"/>
    </xf>
    <xf numFmtId="0" fontId="0" fillId="0" borderId="39" xfId="22" applyFont="1" applyBorder="1" applyAlignment="1" applyProtection="1">
      <alignment horizontal="center"/>
      <protection/>
    </xf>
    <xf numFmtId="0" fontId="0" fillId="0" borderId="14" xfId="22" applyFont="1" applyBorder="1" applyAlignment="1">
      <alignment horizontal="right"/>
      <protection/>
    </xf>
    <xf numFmtId="0" fontId="0" fillId="0" borderId="14" xfId="0" applyBorder="1" applyAlignment="1">
      <alignment horizontal="right"/>
    </xf>
    <xf numFmtId="2" fontId="0" fillId="0" borderId="39" xfId="22" applyNumberFormat="1" applyFont="1" applyBorder="1" applyAlignment="1" applyProtection="1">
      <alignment horizontal="center"/>
      <protection/>
    </xf>
    <xf numFmtId="167" fontId="0" fillId="0" borderId="32" xfId="22" applyNumberFormat="1" applyFont="1" applyBorder="1" applyAlignment="1" applyProtection="1">
      <alignment horizontal="center" vertical="center"/>
      <protection locked="0"/>
    </xf>
    <xf numFmtId="167" fontId="0" fillId="0" borderId="14" xfId="22" applyNumberFormat="1" applyFont="1" applyBorder="1" applyAlignment="1" applyProtection="1">
      <alignment horizontal="center" vertical="center"/>
      <protection locked="0"/>
    </xf>
    <xf numFmtId="167" fontId="0" fillId="0" borderId="33" xfId="22" applyNumberFormat="1" applyFont="1" applyBorder="1" applyAlignment="1" applyProtection="1">
      <alignment horizontal="center" vertical="center"/>
      <protection locked="0"/>
    </xf>
    <xf numFmtId="167" fontId="0" fillId="0" borderId="34" xfId="22" applyNumberFormat="1" applyFont="1" applyBorder="1" applyAlignment="1" applyProtection="1">
      <alignment horizontal="center" vertical="center"/>
      <protection locked="0"/>
    </xf>
    <xf numFmtId="167" fontId="0" fillId="0" borderId="6" xfId="22" applyNumberFormat="1" applyFont="1" applyBorder="1" applyAlignment="1" applyProtection="1">
      <alignment horizontal="center" vertical="center"/>
      <protection locked="0"/>
    </xf>
    <xf numFmtId="167" fontId="0" fillId="0" borderId="38" xfId="22" applyNumberFormat="1" applyFont="1" applyBorder="1" applyAlignment="1" applyProtection="1">
      <alignment horizontal="center" vertical="center"/>
      <protection locked="0"/>
    </xf>
    <xf numFmtId="0" fontId="0" fillId="0" borderId="32" xfId="22" applyFont="1" applyBorder="1" applyAlignment="1">
      <alignment horizontal="center"/>
      <protection/>
    </xf>
    <xf numFmtId="0" fontId="0" fillId="0" borderId="14" xfId="22" applyFont="1" applyBorder="1" applyAlignment="1">
      <alignment horizontal="center"/>
      <protection/>
    </xf>
    <xf numFmtId="0" fontId="0" fillId="0" borderId="33" xfId="22" applyFont="1" applyBorder="1" applyAlignment="1">
      <alignment horizontal="center"/>
      <protection/>
    </xf>
    <xf numFmtId="0" fontId="0" fillId="0" borderId="34" xfId="22" applyFont="1" applyBorder="1" applyAlignment="1">
      <alignment horizontal="center"/>
      <protection/>
    </xf>
    <xf numFmtId="0" fontId="0" fillId="0" borderId="6" xfId="22" applyFont="1" applyBorder="1" applyAlignment="1">
      <alignment horizontal="center"/>
      <protection/>
    </xf>
    <xf numFmtId="0" fontId="0" fillId="0" borderId="38" xfId="22" applyFont="1" applyBorder="1" applyAlignment="1">
      <alignment horizontal="center"/>
      <protection/>
    </xf>
    <xf numFmtId="0" fontId="0" fillId="0" borderId="15" xfId="22" applyFont="1" applyBorder="1" applyAlignment="1">
      <alignment horizontal="center" vertical="center"/>
      <protection/>
    </xf>
    <xf numFmtId="0" fontId="0" fillId="0" borderId="0" xfId="22" applyFont="1" applyBorder="1" applyAlignment="1">
      <alignment horizontal="center" vertical="center"/>
      <protection/>
    </xf>
    <xf numFmtId="0" fontId="0" fillId="0" borderId="16" xfId="22" applyFont="1" applyBorder="1" applyAlignment="1">
      <alignment horizontal="center" vertical="center"/>
      <protection/>
    </xf>
    <xf numFmtId="0" fontId="16" fillId="0" borderId="32" xfId="22" applyFont="1" applyBorder="1" applyAlignment="1">
      <alignment horizontal="center" wrapText="1"/>
      <protection/>
    </xf>
    <xf numFmtId="0" fontId="16" fillId="0" borderId="14" xfId="0" applyFont="1" applyBorder="1" applyAlignment="1">
      <alignment horizontal="center" wrapText="1"/>
    </xf>
    <xf numFmtId="0" fontId="16" fillId="0" borderId="33" xfId="0" applyFont="1" applyBorder="1" applyAlignment="1">
      <alignment horizontal="center" wrapText="1"/>
    </xf>
    <xf numFmtId="0" fontId="16" fillId="0" borderId="15" xfId="0" applyFont="1" applyBorder="1" applyAlignment="1">
      <alignment horizontal="center" wrapText="1"/>
    </xf>
    <xf numFmtId="0" fontId="16" fillId="0" borderId="0" xfId="0" applyFont="1" applyAlignment="1">
      <alignment horizontal="center" wrapText="1"/>
    </xf>
    <xf numFmtId="0" fontId="16" fillId="0" borderId="16" xfId="0" applyFont="1" applyBorder="1" applyAlignment="1">
      <alignment horizontal="center" wrapText="1"/>
    </xf>
    <xf numFmtId="0" fontId="16" fillId="0" borderId="34" xfId="0" applyFont="1" applyBorder="1" applyAlignment="1">
      <alignment horizontal="center" wrapText="1"/>
    </xf>
    <xf numFmtId="0" fontId="16" fillId="0" borderId="6" xfId="0" applyFont="1" applyBorder="1" applyAlignment="1">
      <alignment horizontal="center" wrapText="1"/>
    </xf>
    <xf numFmtId="0" fontId="16" fillId="0" borderId="38" xfId="0" applyFont="1" applyBorder="1" applyAlignment="1">
      <alignment horizontal="center" wrapText="1"/>
    </xf>
    <xf numFmtId="0" fontId="0" fillId="0" borderId="14" xfId="0" applyBorder="1" applyAlignment="1">
      <alignment horizontal="center"/>
    </xf>
    <xf numFmtId="0" fontId="0" fillId="0" borderId="33"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34" xfId="0" applyBorder="1" applyAlignment="1">
      <alignment horizontal="center"/>
    </xf>
    <xf numFmtId="0" fontId="0" fillId="0" borderId="6" xfId="0" applyBorder="1" applyAlignment="1">
      <alignment horizontal="center"/>
    </xf>
    <xf numFmtId="0" fontId="0" fillId="0" borderId="38" xfId="0" applyBorder="1" applyAlignment="1">
      <alignment horizontal="center"/>
    </xf>
    <xf numFmtId="0" fontId="0" fillId="0" borderId="32" xfId="22" applyFont="1" applyBorder="1" applyAlignment="1">
      <alignment horizontal="center" wrapText="1"/>
      <protection/>
    </xf>
    <xf numFmtId="0" fontId="0" fillId="0" borderId="14" xfId="0" applyBorder="1" applyAlignment="1">
      <alignment horizontal="center" wrapText="1"/>
    </xf>
    <xf numFmtId="0" fontId="0" fillId="0" borderId="33" xfId="0" applyBorder="1" applyAlignment="1">
      <alignment horizontal="center" wrapText="1"/>
    </xf>
    <xf numFmtId="0" fontId="0" fillId="0" borderId="15" xfId="0" applyBorder="1" applyAlignment="1">
      <alignment horizontal="center" wrapText="1"/>
    </xf>
    <xf numFmtId="0" fontId="0" fillId="0" borderId="0" xfId="0" applyAlignment="1">
      <alignment horizontal="center" wrapText="1"/>
    </xf>
    <xf numFmtId="0" fontId="0" fillId="0" borderId="16" xfId="0" applyBorder="1" applyAlignment="1">
      <alignment horizontal="center" wrapText="1"/>
    </xf>
    <xf numFmtId="0" fontId="0" fillId="0" borderId="34" xfId="0" applyBorder="1" applyAlignment="1">
      <alignment horizontal="center" wrapText="1"/>
    </xf>
    <xf numFmtId="0" fontId="0" fillId="0" borderId="6" xfId="0" applyBorder="1" applyAlignment="1">
      <alignment horizontal="center" wrapText="1"/>
    </xf>
    <xf numFmtId="0" fontId="0" fillId="0" borderId="38" xfId="0" applyBorder="1" applyAlignment="1">
      <alignment horizontal="center" wrapText="1"/>
    </xf>
    <xf numFmtId="0" fontId="17" fillId="0" borderId="0" xfId="22" applyFont="1" applyAlignment="1" quotePrefix="1">
      <alignment horizontal="center"/>
      <protection/>
    </xf>
    <xf numFmtId="0" fontId="17" fillId="0" borderId="0" xfId="22" applyFont="1" applyAlignment="1">
      <alignment horizontal="center"/>
      <protection/>
    </xf>
    <xf numFmtId="0" fontId="0" fillId="0" borderId="0" xfId="22" applyFont="1" applyAlignment="1" quotePrefix="1">
      <alignment horizontal="left"/>
      <protection/>
    </xf>
    <xf numFmtId="0" fontId="0" fillId="0" borderId="0" xfId="0" applyFont="1" applyAlignment="1">
      <alignment/>
    </xf>
    <xf numFmtId="0" fontId="0" fillId="0" borderId="0" xfId="22" applyFont="1" applyAlignment="1">
      <alignment horizontal="center"/>
      <protection/>
    </xf>
    <xf numFmtId="0" fontId="0" fillId="0" borderId="16" xfId="22" applyFont="1" applyBorder="1" applyAlignment="1">
      <alignment horizontal="center"/>
      <protection/>
    </xf>
    <xf numFmtId="0" fontId="0" fillId="0" borderId="32" xfId="22" applyFont="1" applyBorder="1" applyAlignment="1" applyProtection="1">
      <alignment horizontal="center" vertical="center"/>
      <protection locked="0"/>
    </xf>
    <xf numFmtId="0" fontId="0" fillId="0" borderId="14" xfId="22" applyFont="1" applyBorder="1" applyAlignment="1" applyProtection="1">
      <alignment horizontal="center" vertical="center"/>
      <protection locked="0"/>
    </xf>
    <xf numFmtId="0" fontId="0" fillId="0" borderId="33" xfId="22" applyFont="1" applyBorder="1" applyAlignment="1" applyProtection="1">
      <alignment horizontal="center" vertical="center"/>
      <protection locked="0"/>
    </xf>
    <xf numFmtId="0" fontId="0" fillId="0" borderId="34" xfId="22" applyFont="1" applyBorder="1" applyAlignment="1" applyProtection="1">
      <alignment horizontal="center" vertical="center"/>
      <protection locked="0"/>
    </xf>
    <xf numFmtId="0" fontId="0" fillId="0" borderId="6" xfId="22" applyFont="1" applyBorder="1" applyAlignment="1" applyProtection="1">
      <alignment horizontal="center" vertical="center"/>
      <protection locked="0"/>
    </xf>
    <xf numFmtId="0" fontId="0" fillId="0" borderId="38" xfId="22" applyFont="1" applyBorder="1" applyAlignment="1" applyProtection="1">
      <alignment horizontal="center" vertical="center"/>
      <protection locked="0"/>
    </xf>
    <xf numFmtId="0" fontId="0" fillId="0" borderId="15" xfId="22" applyFont="1" applyBorder="1" applyAlignment="1">
      <alignment horizontal="left"/>
      <protection/>
    </xf>
    <xf numFmtId="170" fontId="0" fillId="0" borderId="0" xfId="22" applyNumberFormat="1" applyFont="1" applyAlignment="1" applyProtection="1">
      <alignment horizontal="center"/>
      <protection locked="0"/>
    </xf>
    <xf numFmtId="0" fontId="0" fillId="0" borderId="0" xfId="22" applyFont="1" applyAlignment="1">
      <alignment horizontal="left" vertical="justify"/>
      <protection/>
    </xf>
    <xf numFmtId="0" fontId="0" fillId="0" borderId="0" xfId="0" applyFont="1" applyAlignment="1">
      <alignment horizontal="left" vertical="justify"/>
    </xf>
    <xf numFmtId="0" fontId="0" fillId="0" borderId="0" xfId="0" applyFont="1" applyAlignment="1">
      <alignment horizontal="center"/>
    </xf>
    <xf numFmtId="0" fontId="0" fillId="0" borderId="32" xfId="22" applyFont="1" applyBorder="1" applyAlignment="1" quotePrefix="1">
      <alignment horizontal="center" vertical="center"/>
      <protection/>
    </xf>
    <xf numFmtId="0" fontId="0" fillId="0" borderId="14" xfId="22" applyFont="1" applyBorder="1" applyAlignment="1" quotePrefix="1">
      <alignment horizontal="center" vertical="center"/>
      <protection/>
    </xf>
    <xf numFmtId="0" fontId="0" fillId="0" borderId="33" xfId="22" applyFont="1" applyBorder="1" applyAlignment="1" quotePrefix="1">
      <alignment horizontal="center" vertical="center"/>
      <protection/>
    </xf>
    <xf numFmtId="0" fontId="0" fillId="0" borderId="0" xfId="0" applyFont="1" applyBorder="1" applyAlignment="1">
      <alignment horizontal="left"/>
    </xf>
    <xf numFmtId="0" fontId="0" fillId="0" borderId="0" xfId="0" applyFont="1" applyBorder="1" applyAlignment="1">
      <alignment/>
    </xf>
    <xf numFmtId="0" fontId="0" fillId="0" borderId="6" xfId="0" applyFont="1" applyBorder="1" applyAlignment="1">
      <alignment horizontal="left"/>
    </xf>
    <xf numFmtId="0" fontId="0" fillId="0" borderId="6" xfId="0" applyFont="1" applyBorder="1" applyAlignment="1">
      <alignment/>
    </xf>
    <xf numFmtId="0" fontId="0" fillId="0" borderId="0" xfId="22" applyFont="1" applyAlignment="1" applyProtection="1">
      <alignment horizontal="center"/>
      <protection/>
    </xf>
    <xf numFmtId="0" fontId="0" fillId="0" borderId="6" xfId="22" applyFont="1" applyBorder="1" applyAlignment="1" applyProtection="1">
      <alignment horizontal="center"/>
      <protection/>
    </xf>
    <xf numFmtId="0" fontId="0" fillId="0" borderId="0" xfId="22" applyFont="1" applyAlignment="1">
      <alignment horizontal="center" vertical="center"/>
      <protection/>
    </xf>
    <xf numFmtId="0" fontId="0" fillId="0" borderId="0" xfId="0" applyAlignment="1">
      <alignment horizontal="center" vertical="center"/>
    </xf>
    <xf numFmtId="0" fontId="0" fillId="0" borderId="6" xfId="0" applyBorder="1" applyAlignment="1">
      <alignment horizontal="center" vertical="center"/>
    </xf>
    <xf numFmtId="0" fontId="17" fillId="0" borderId="0" xfId="22" applyFont="1" applyBorder="1" applyAlignment="1" applyProtection="1">
      <alignment horizontal="left"/>
      <protection/>
    </xf>
    <xf numFmtId="0" fontId="17" fillId="0" borderId="0" xfId="0" applyFont="1" applyBorder="1" applyAlignment="1" applyProtection="1">
      <alignment horizontal="left"/>
      <protection/>
    </xf>
    <xf numFmtId="0" fontId="0" fillId="0" borderId="39" xfId="22" applyFont="1" applyBorder="1" applyAlignment="1">
      <alignment horizontal="center"/>
      <protection/>
    </xf>
    <xf numFmtId="0" fontId="0" fillId="0" borderId="0" xfId="22" applyFont="1" applyAlignment="1" applyProtection="1">
      <alignment horizontal="center" vertical="center"/>
      <protection/>
    </xf>
    <xf numFmtId="0" fontId="17" fillId="0" borderId="0" xfId="22" applyFont="1" applyFill="1" applyBorder="1" applyAlignment="1" applyProtection="1">
      <alignment horizontal="left"/>
      <protection/>
    </xf>
    <xf numFmtId="201" fontId="17" fillId="3" borderId="0" xfId="22" applyNumberFormat="1" applyFont="1" applyFill="1" applyBorder="1" applyAlignment="1" applyProtection="1">
      <alignment horizontal="left"/>
      <protection locked="0"/>
    </xf>
    <xf numFmtId="201" fontId="17" fillId="3" borderId="6" xfId="22" applyNumberFormat="1" applyFont="1" applyFill="1" applyBorder="1" applyAlignment="1" applyProtection="1">
      <alignment horizontal="left"/>
      <protection locked="0"/>
    </xf>
    <xf numFmtId="0" fontId="0" fillId="0" borderId="32" xfId="22" applyFont="1" applyBorder="1" applyAlignment="1">
      <alignment horizontal="center" vertical="center" wrapText="1"/>
      <protection/>
    </xf>
    <xf numFmtId="0" fontId="0" fillId="0" borderId="14" xfId="0" applyBorder="1" applyAlignment="1">
      <alignment wrapText="1"/>
    </xf>
    <xf numFmtId="0" fontId="0" fillId="0" borderId="33" xfId="0" applyBorder="1" applyAlignment="1">
      <alignment wrapText="1"/>
    </xf>
    <xf numFmtId="0" fontId="0" fillId="0" borderId="15" xfId="0" applyBorder="1" applyAlignment="1">
      <alignment wrapText="1"/>
    </xf>
    <xf numFmtId="0" fontId="0" fillId="0" borderId="0" xfId="0" applyAlignment="1">
      <alignment wrapText="1"/>
    </xf>
    <xf numFmtId="0" fontId="0" fillId="0" borderId="16" xfId="0" applyBorder="1" applyAlignment="1">
      <alignment wrapText="1"/>
    </xf>
    <xf numFmtId="0" fontId="0" fillId="0" borderId="34" xfId="0" applyBorder="1" applyAlignment="1">
      <alignment wrapText="1"/>
    </xf>
    <xf numFmtId="0" fontId="0" fillId="0" borderId="6" xfId="0" applyBorder="1" applyAlignment="1">
      <alignment wrapText="1"/>
    </xf>
    <xf numFmtId="0" fontId="0" fillId="0" borderId="38" xfId="0" applyBorder="1" applyAlignment="1">
      <alignment wrapText="1"/>
    </xf>
    <xf numFmtId="167" fontId="0" fillId="0" borderId="0" xfId="22" applyNumberFormat="1" applyFont="1" applyAlignment="1">
      <alignment horizontal="left" vertical="center"/>
      <protection/>
    </xf>
    <xf numFmtId="1" fontId="17" fillId="0" borderId="39" xfId="22" applyNumberFormat="1" applyFont="1" applyBorder="1" applyAlignment="1" applyProtection="1">
      <alignment horizontal="center"/>
      <protection/>
    </xf>
    <xf numFmtId="0" fontId="0" fillId="0" borderId="0" xfId="22" applyFont="1" applyBorder="1" applyAlignment="1" applyProtection="1">
      <alignment horizontal="center"/>
      <protection/>
    </xf>
    <xf numFmtId="2" fontId="17" fillId="0" borderId="0" xfId="22" applyNumberFormat="1" applyFont="1" applyBorder="1" applyAlignment="1" applyProtection="1">
      <alignment horizontal="center"/>
      <protection/>
    </xf>
    <xf numFmtId="2" fontId="17" fillId="0" borderId="0" xfId="0" applyNumberFormat="1" applyFont="1" applyAlignment="1">
      <alignment horizontal="center"/>
    </xf>
    <xf numFmtId="2" fontId="17" fillId="0" borderId="6" xfId="0" applyNumberFormat="1" applyFont="1" applyBorder="1" applyAlignment="1">
      <alignment horizontal="center"/>
    </xf>
    <xf numFmtId="0" fontId="17" fillId="0" borderId="39" xfId="22" applyFont="1" applyBorder="1" applyAlignment="1" applyProtection="1">
      <alignment horizontal="center"/>
      <protection/>
    </xf>
    <xf numFmtId="2" fontId="17" fillId="0" borderId="39" xfId="22" applyNumberFormat="1" applyFont="1" applyBorder="1" applyAlignment="1" applyProtection="1">
      <alignment horizontal="center"/>
      <protection/>
    </xf>
    <xf numFmtId="0" fontId="17" fillId="0" borderId="14" xfId="22" applyFont="1" applyBorder="1" applyAlignment="1">
      <alignment horizontal="right"/>
      <protection/>
    </xf>
    <xf numFmtId="0" fontId="17" fillId="0" borderId="14" xfId="0" applyFont="1" applyBorder="1" applyAlignment="1">
      <alignment horizontal="right"/>
    </xf>
    <xf numFmtId="0" fontId="17" fillId="0" borderId="0" xfId="0" applyFont="1" applyAlignment="1">
      <alignment horizontal="right"/>
    </xf>
    <xf numFmtId="0" fontId="17" fillId="0" borderId="39" xfId="22" applyFont="1" applyBorder="1" applyAlignment="1" applyProtection="1">
      <alignment horizontal="center"/>
      <protection locked="0"/>
    </xf>
    <xf numFmtId="170" fontId="17" fillId="0" borderId="39" xfId="22" applyNumberFormat="1" applyFont="1" applyBorder="1" applyAlignment="1" applyProtection="1">
      <alignment horizontal="center"/>
      <protection locked="0"/>
    </xf>
    <xf numFmtId="0" fontId="17" fillId="0" borderId="0" xfId="22" applyFont="1" applyAlignment="1">
      <alignment horizontal="left"/>
      <protection/>
    </xf>
    <xf numFmtId="0" fontId="17" fillId="0" borderId="0" xfId="0" applyFont="1" applyAlignment="1">
      <alignment horizontal="left"/>
    </xf>
    <xf numFmtId="0" fontId="17" fillId="0" borderId="14" xfId="22" applyFont="1" applyBorder="1" applyAlignment="1">
      <alignment horizontal="left"/>
      <protection/>
    </xf>
    <xf numFmtId="0" fontId="0" fillId="0" borderId="15" xfId="22" applyFont="1" applyBorder="1" applyAlignment="1">
      <alignment horizontal="center"/>
      <protection/>
    </xf>
    <xf numFmtId="0" fontId="0" fillId="0" borderId="0" xfId="22" applyFont="1" applyBorder="1" applyAlignment="1">
      <alignment horizontal="center"/>
      <protection/>
    </xf>
    <xf numFmtId="0" fontId="17" fillId="0" borderId="39" xfId="22" applyFont="1" applyBorder="1" applyAlignment="1">
      <alignment horizontal="left"/>
      <protection/>
    </xf>
    <xf numFmtId="0" fontId="25" fillId="0" borderId="6" xfId="22" applyFont="1" applyBorder="1" applyAlignment="1">
      <alignment horizontal="center" vertical="center"/>
      <protection/>
    </xf>
    <xf numFmtId="0" fontId="17" fillId="0" borderId="39" xfId="22" applyFont="1" applyFill="1" applyBorder="1" applyAlignment="1" applyProtection="1">
      <alignment horizontal="center"/>
      <protection/>
    </xf>
    <xf numFmtId="167" fontId="17" fillId="3" borderId="39" xfId="22" applyNumberFormat="1" applyFont="1" applyFill="1" applyBorder="1" applyAlignment="1" applyProtection="1">
      <alignment horizontal="center"/>
      <protection locked="0"/>
    </xf>
    <xf numFmtId="170" fontId="17" fillId="3" borderId="39" xfId="22" applyNumberFormat="1" applyFont="1" applyFill="1" applyBorder="1" applyAlignment="1" applyProtection="1">
      <alignment horizontal="center"/>
      <protection locked="0"/>
    </xf>
    <xf numFmtId="167" fontId="17" fillId="0" borderId="32" xfId="22" applyNumberFormat="1" applyFont="1" applyBorder="1" applyAlignment="1" applyProtection="1">
      <alignment horizontal="center"/>
      <protection/>
    </xf>
    <xf numFmtId="167" fontId="17" fillId="0" borderId="14" xfId="22" applyNumberFormat="1" applyFont="1" applyBorder="1" applyAlignment="1" applyProtection="1">
      <alignment horizontal="center"/>
      <protection/>
    </xf>
    <xf numFmtId="167" fontId="17" fillId="0" borderId="33" xfId="22" applyNumberFormat="1" applyFont="1" applyBorder="1" applyAlignment="1" applyProtection="1">
      <alignment horizontal="center"/>
      <protection/>
    </xf>
    <xf numFmtId="167" fontId="17" fillId="0" borderId="34" xfId="22" applyNumberFormat="1" applyFont="1" applyBorder="1" applyAlignment="1" applyProtection="1">
      <alignment horizontal="center"/>
      <protection/>
    </xf>
    <xf numFmtId="167" fontId="17" fillId="0" borderId="6" xfId="22" applyNumberFormat="1" applyFont="1" applyBorder="1" applyAlignment="1" applyProtection="1">
      <alignment horizontal="center"/>
      <protection/>
    </xf>
    <xf numFmtId="167" fontId="17" fillId="0" borderId="38" xfId="22" applyNumberFormat="1" applyFont="1" applyBorder="1" applyAlignment="1" applyProtection="1">
      <alignment horizontal="center"/>
      <protection/>
    </xf>
    <xf numFmtId="0" fontId="17" fillId="0" borderId="32" xfId="22" applyFont="1" applyBorder="1" applyAlignment="1" applyProtection="1">
      <alignment horizontal="right"/>
      <protection/>
    </xf>
    <xf numFmtId="0" fontId="17" fillId="0" borderId="14" xfId="22" applyFont="1" applyBorder="1" applyAlignment="1" applyProtection="1">
      <alignment horizontal="right"/>
      <protection/>
    </xf>
    <xf numFmtId="0" fontId="17" fillId="0" borderId="34" xfId="22" applyFont="1" applyBorder="1" applyAlignment="1" applyProtection="1">
      <alignment horizontal="right"/>
      <protection/>
    </xf>
    <xf numFmtId="0" fontId="17" fillId="0" borderId="6" xfId="22" applyFont="1" applyBorder="1" applyAlignment="1" applyProtection="1">
      <alignment horizontal="right"/>
      <protection/>
    </xf>
    <xf numFmtId="0" fontId="17" fillId="0" borderId="14" xfId="22" applyFont="1" applyBorder="1" applyAlignment="1" applyProtection="1">
      <alignment horizontal="left"/>
      <protection/>
    </xf>
    <xf numFmtId="0" fontId="0" fillId="0" borderId="14" xfId="0" applyBorder="1" applyAlignment="1" applyProtection="1">
      <alignment horizontal="left"/>
      <protection/>
    </xf>
    <xf numFmtId="0" fontId="0" fillId="0" borderId="33" xfId="0" applyBorder="1" applyAlignment="1" applyProtection="1">
      <alignment horizontal="left"/>
      <protection/>
    </xf>
    <xf numFmtId="0" fontId="0" fillId="0" borderId="6" xfId="0" applyBorder="1" applyAlignment="1" applyProtection="1">
      <alignment horizontal="left"/>
      <protection/>
    </xf>
    <xf numFmtId="0" fontId="0" fillId="0" borderId="38" xfId="0" applyBorder="1" applyAlignment="1" applyProtection="1">
      <alignment horizontal="left"/>
      <protection/>
    </xf>
    <xf numFmtId="0" fontId="17" fillId="0" borderId="15" xfId="22" applyFont="1" applyBorder="1" applyAlignment="1">
      <alignment horizontal="center"/>
      <protection/>
    </xf>
    <xf numFmtId="0" fontId="17" fillId="0" borderId="33" xfId="22" applyFont="1" applyBorder="1" applyAlignment="1">
      <alignment horizontal="left"/>
      <protection/>
    </xf>
    <xf numFmtId="0" fontId="0" fillId="0" borderId="14" xfId="0" applyBorder="1" applyAlignment="1" applyProtection="1">
      <alignment/>
      <protection/>
    </xf>
    <xf numFmtId="0" fontId="0" fillId="0" borderId="34" xfId="0" applyBorder="1" applyAlignment="1" applyProtection="1">
      <alignment/>
      <protection/>
    </xf>
    <xf numFmtId="0" fontId="0" fillId="0" borderId="50" xfId="22" applyFont="1" applyBorder="1" applyAlignment="1">
      <alignment horizontal="center"/>
      <protection/>
    </xf>
    <xf numFmtId="170" fontId="17" fillId="0" borderId="39" xfId="22" applyNumberFormat="1" applyFont="1" applyFill="1" applyBorder="1" applyAlignment="1" applyProtection="1">
      <alignment horizontal="center"/>
      <protection/>
    </xf>
    <xf numFmtId="0" fontId="0" fillId="0" borderId="33" xfId="0" applyBorder="1" applyAlignment="1">
      <alignment horizontal="left"/>
    </xf>
    <xf numFmtId="0" fontId="0" fillId="0" borderId="38" xfId="0" applyBorder="1" applyAlignment="1">
      <alignment horizontal="left"/>
    </xf>
    <xf numFmtId="0" fontId="35" fillId="0" borderId="14" xfId="22" applyFont="1" applyBorder="1" applyAlignment="1">
      <alignment/>
      <protection/>
    </xf>
    <xf numFmtId="0" fontId="32" fillId="0" borderId="6" xfId="0" applyFont="1" applyBorder="1" applyAlignment="1">
      <alignment/>
    </xf>
    <xf numFmtId="0" fontId="32" fillId="0" borderId="14" xfId="22" applyFont="1" applyBorder="1" applyAlignment="1" quotePrefix="1">
      <alignment horizontal="left"/>
      <protection/>
    </xf>
    <xf numFmtId="0" fontId="32" fillId="0" borderId="33" xfId="22" applyFont="1" applyBorder="1" applyAlignment="1" quotePrefix="1">
      <alignment horizontal="left"/>
      <protection/>
    </xf>
    <xf numFmtId="0" fontId="32" fillId="0" borderId="6" xfId="22" applyFont="1" applyBorder="1" applyAlignment="1" quotePrefix="1">
      <alignment horizontal="left"/>
      <protection/>
    </xf>
    <xf numFmtId="0" fontId="32" fillId="0" borderId="38" xfId="22" applyFont="1" applyBorder="1" applyAlignment="1" quotePrefix="1">
      <alignment horizontal="left"/>
      <protection/>
    </xf>
    <xf numFmtId="0" fontId="32" fillId="0" borderId="14" xfId="22" applyFont="1" applyBorder="1" applyAlignment="1">
      <alignment horizontal="right"/>
      <protection/>
    </xf>
    <xf numFmtId="0" fontId="32" fillId="0" borderId="14" xfId="0" applyFont="1" applyBorder="1" applyAlignment="1">
      <alignment horizontal="right"/>
    </xf>
    <xf numFmtId="0" fontId="32" fillId="0" borderId="6" xfId="0" applyFont="1" applyBorder="1" applyAlignment="1">
      <alignment horizontal="right"/>
    </xf>
    <xf numFmtId="0" fontId="0" fillId="0" borderId="51" xfId="22" applyFont="1" applyBorder="1" applyAlignment="1" applyProtection="1">
      <alignment horizontal="center"/>
      <protection/>
    </xf>
    <xf numFmtId="0" fontId="0" fillId="0" borderId="32" xfId="22" applyFont="1" applyBorder="1" applyAlignment="1">
      <alignment vertical="center"/>
      <protection/>
    </xf>
    <xf numFmtId="0" fontId="0" fillId="0" borderId="14" xfId="22" applyFont="1" applyBorder="1" applyAlignment="1">
      <alignment vertical="center"/>
      <protection/>
    </xf>
    <xf numFmtId="0" fontId="0" fillId="0" borderId="33" xfId="22" applyFont="1" applyBorder="1" applyAlignment="1">
      <alignment vertical="center"/>
      <protection/>
    </xf>
    <xf numFmtId="0" fontId="0" fillId="0" borderId="15" xfId="22" applyFont="1" applyBorder="1" applyAlignment="1">
      <alignment vertical="center"/>
      <protection/>
    </xf>
    <xf numFmtId="0" fontId="0" fillId="0" borderId="0" xfId="22" applyFont="1" applyBorder="1" applyAlignment="1">
      <alignment vertical="center"/>
      <protection/>
    </xf>
    <xf numFmtId="0" fontId="0" fillId="0" borderId="16" xfId="22" applyFont="1" applyBorder="1" applyAlignment="1">
      <alignment vertical="center"/>
      <protection/>
    </xf>
    <xf numFmtId="0" fontId="0" fillId="0" borderId="34" xfId="22" applyFont="1" applyBorder="1" applyAlignment="1">
      <alignment vertical="center"/>
      <protection/>
    </xf>
    <xf numFmtId="0" fontId="0" fillId="0" borderId="6" xfId="22" applyFont="1" applyBorder="1" applyAlignment="1">
      <alignment vertical="center"/>
      <protection/>
    </xf>
    <xf numFmtId="0" fontId="0" fillId="0" borderId="38" xfId="22" applyFont="1" applyBorder="1" applyAlignment="1">
      <alignment vertical="center"/>
      <protection/>
    </xf>
    <xf numFmtId="49" fontId="17" fillId="0" borderId="0" xfId="22" applyNumberFormat="1" applyFont="1" applyBorder="1" applyAlignment="1">
      <alignment horizontal="center" vertical="center"/>
      <protection/>
    </xf>
    <xf numFmtId="49" fontId="17" fillId="0" borderId="16" xfId="22" applyNumberFormat="1" applyFont="1" applyBorder="1" applyAlignment="1">
      <alignment horizontal="center" vertical="center"/>
      <protection/>
    </xf>
    <xf numFmtId="0" fontId="17" fillId="0" borderId="0" xfId="22" applyFont="1" applyAlignment="1">
      <alignment horizontal="right" vertical="center"/>
      <protection/>
    </xf>
    <xf numFmtId="0" fontId="17" fillId="0" borderId="0" xfId="22" applyNumberFormat="1" applyFont="1" applyBorder="1" applyAlignment="1" applyProtection="1">
      <alignment horizontal="left"/>
      <protection/>
    </xf>
    <xf numFmtId="0" fontId="17" fillId="0" borderId="14" xfId="22" applyNumberFormat="1" applyFont="1" applyBorder="1" applyAlignment="1" applyProtection="1">
      <alignment horizontal="left"/>
      <protection/>
    </xf>
    <xf numFmtId="0" fontId="17" fillId="0" borderId="0" xfId="22" applyFont="1" applyAlignment="1">
      <alignment horizontal="left" vertical="center"/>
      <protection/>
    </xf>
    <xf numFmtId="0" fontId="17" fillId="0" borderId="0" xfId="22" applyFont="1" applyBorder="1" applyAlignment="1" applyProtection="1">
      <alignment/>
      <protection/>
    </xf>
    <xf numFmtId="0" fontId="17" fillId="0" borderId="0" xfId="0" applyFont="1" applyBorder="1" applyAlignment="1" applyProtection="1">
      <alignment/>
      <protection/>
    </xf>
    <xf numFmtId="0" fontId="0" fillId="0" borderId="0" xfId="0" applyAlignment="1">
      <alignment horizontal="left" vertical="center"/>
    </xf>
    <xf numFmtId="0" fontId="0" fillId="0" borderId="0" xfId="22" applyFont="1" applyBorder="1" applyAlignment="1">
      <alignment horizontal="left" vertical="center" wrapText="1"/>
      <protection/>
    </xf>
    <xf numFmtId="0" fontId="0" fillId="0" borderId="0" xfId="0" applyFont="1" applyBorder="1" applyAlignment="1">
      <alignment wrapText="1"/>
    </xf>
    <xf numFmtId="0" fontId="17" fillId="3" borderId="0" xfId="22" applyFont="1" applyFill="1" applyAlignment="1" applyProtection="1">
      <alignment horizontal="left"/>
      <protection locked="0"/>
    </xf>
    <xf numFmtId="0" fontId="17" fillId="3" borderId="6" xfId="22" applyFont="1" applyFill="1" applyBorder="1" applyAlignment="1" applyProtection="1">
      <alignment horizontal="left"/>
      <protection locked="0"/>
    </xf>
    <xf numFmtId="0" fontId="17" fillId="0" borderId="0" xfId="22" applyFont="1" applyAlignment="1" applyProtection="1">
      <alignment horizontal="left"/>
      <protection/>
    </xf>
    <xf numFmtId="0" fontId="0" fillId="0" borderId="0" xfId="0" applyAlignment="1" applyProtection="1">
      <alignment/>
      <protection/>
    </xf>
    <xf numFmtId="0" fontId="17" fillId="0" borderId="0" xfId="22" applyFont="1" applyAlignment="1">
      <alignment horizontal="right"/>
      <protection/>
    </xf>
    <xf numFmtId="0" fontId="0" fillId="0" borderId="0" xfId="0" applyFont="1" applyAlignment="1">
      <alignment horizontal="left"/>
    </xf>
    <xf numFmtId="201" fontId="17" fillId="0" borderId="0" xfId="22" applyNumberFormat="1" applyFont="1" applyBorder="1" applyAlignment="1" applyProtection="1">
      <alignment horizontal="left"/>
      <protection/>
    </xf>
    <xf numFmtId="201" fontId="17" fillId="0" borderId="0" xfId="0" applyNumberFormat="1" applyFont="1" applyBorder="1" applyAlignment="1" applyProtection="1">
      <alignment/>
      <protection/>
    </xf>
    <xf numFmtId="201" fontId="17" fillId="0" borderId="6" xfId="0" applyNumberFormat="1" applyFont="1" applyBorder="1" applyAlignment="1" applyProtection="1">
      <alignment/>
      <protection/>
    </xf>
    <xf numFmtId="0" fontId="17" fillId="0" borderId="0" xfId="22" applyNumberFormat="1" applyFont="1" applyAlignment="1" applyProtection="1">
      <alignment horizontal="left"/>
      <protection/>
    </xf>
    <xf numFmtId="0" fontId="17" fillId="0" borderId="0" xfId="0" applyFont="1" applyAlignment="1" applyProtection="1">
      <alignment horizontal="left"/>
      <protection/>
    </xf>
    <xf numFmtId="0" fontId="17" fillId="0" borderId="6" xfId="0" applyFont="1" applyBorder="1" applyAlignment="1" applyProtection="1">
      <alignment horizontal="left"/>
      <protection/>
    </xf>
    <xf numFmtId="0" fontId="5" fillId="0" borderId="0" xfId="22" applyFont="1" applyAlignment="1">
      <alignment horizontal="center"/>
      <protection/>
    </xf>
    <xf numFmtId="0" fontId="5" fillId="0" borderId="0" xfId="0" applyFont="1" applyAlignment="1">
      <alignment horizontal="center"/>
    </xf>
    <xf numFmtId="0" fontId="25" fillId="0" borderId="0" xfId="22" applyFont="1" applyAlignment="1">
      <alignment horizontal="center" vertical="justify"/>
      <protection/>
    </xf>
    <xf numFmtId="0" fontId="25" fillId="0" borderId="6" xfId="22" applyFont="1" applyBorder="1" applyAlignment="1">
      <alignment horizontal="center" vertical="justify"/>
      <protection/>
    </xf>
    <xf numFmtId="0" fontId="17" fillId="0" borderId="14" xfId="0" applyFont="1" applyBorder="1" applyAlignment="1">
      <alignment horizontal="left"/>
    </xf>
    <xf numFmtId="0" fontId="17" fillId="0" borderId="6" xfId="0" applyFont="1" applyBorder="1" applyAlignment="1">
      <alignment horizontal="left"/>
    </xf>
    <xf numFmtId="201" fontId="0" fillId="0" borderId="0" xfId="22" applyNumberFormat="1" applyFont="1" applyFill="1" applyBorder="1" applyAlignment="1" applyProtection="1">
      <alignment horizontal="left"/>
      <protection locked="0"/>
    </xf>
    <xf numFmtId="201" fontId="0" fillId="0" borderId="6" xfId="22" applyNumberFormat="1" applyFont="1" applyFill="1" applyBorder="1" applyAlignment="1" applyProtection="1">
      <alignment horizontal="left"/>
      <protection locked="0"/>
    </xf>
    <xf numFmtId="0" fontId="6" fillId="0" borderId="0" xfId="22" applyFont="1" applyBorder="1" applyAlignment="1" applyProtection="1">
      <alignment horizontal="left"/>
      <protection locked="0"/>
    </xf>
    <xf numFmtId="0" fontId="6" fillId="0" borderId="6" xfId="22" applyFont="1" applyBorder="1" applyAlignment="1" applyProtection="1">
      <alignment horizontal="left"/>
      <protection locked="0"/>
    </xf>
    <xf numFmtId="201" fontId="17" fillId="3" borderId="0" xfId="22" applyNumberFormat="1" applyFont="1" applyFill="1" applyAlignment="1" applyProtection="1">
      <alignment horizontal="left"/>
      <protection locked="0"/>
    </xf>
    <xf numFmtId="0" fontId="17" fillId="0" borderId="0" xfId="22" applyFont="1" applyAlignment="1">
      <alignment horizontal="center" vertical="center"/>
      <protection/>
    </xf>
    <xf numFmtId="167" fontId="0" fillId="0" borderId="0" xfId="22" applyNumberFormat="1" applyFont="1" applyAlignment="1" applyProtection="1">
      <alignment horizontal="center" vertical="center"/>
      <protection/>
    </xf>
    <xf numFmtId="2" fontId="0" fillId="0" borderId="14" xfId="22" applyNumberFormat="1" applyFont="1" applyBorder="1" applyAlignment="1" applyProtection="1">
      <alignment horizontal="center"/>
      <protection/>
    </xf>
    <xf numFmtId="2" fontId="0" fillId="0" borderId="14" xfId="0" applyNumberFormat="1" applyBorder="1" applyAlignment="1">
      <alignment horizontal="center"/>
    </xf>
    <xf numFmtId="2" fontId="0" fillId="0" borderId="6" xfId="0" applyNumberFormat="1" applyBorder="1" applyAlignment="1">
      <alignment horizontal="center"/>
    </xf>
    <xf numFmtId="0" fontId="0" fillId="0" borderId="22" xfId="22" applyFont="1" applyBorder="1" applyAlignment="1">
      <alignment horizontal="right" vertical="center"/>
      <protection/>
    </xf>
    <xf numFmtId="0" fontId="0" fillId="0" borderId="5" xfId="22" applyFont="1" applyBorder="1" applyAlignment="1">
      <alignment horizontal="right" vertical="center"/>
      <protection/>
    </xf>
    <xf numFmtId="0" fontId="0" fillId="0" borderId="5" xfId="0" applyBorder="1" applyAlignment="1">
      <alignment horizontal="right" vertical="center"/>
    </xf>
    <xf numFmtId="0" fontId="0" fillId="0" borderId="5" xfId="22" applyFont="1" applyBorder="1" applyAlignment="1">
      <alignment horizontal="center" vertical="center"/>
      <protection/>
    </xf>
    <xf numFmtId="0" fontId="0" fillId="0" borderId="5" xfId="0" applyBorder="1" applyAlignment="1">
      <alignment horizontal="center" vertical="center"/>
    </xf>
    <xf numFmtId="0" fontId="0" fillId="0" borderId="52" xfId="0" applyBorder="1" applyAlignment="1">
      <alignment horizontal="center" vertical="center"/>
    </xf>
  </cellXfs>
  <cellStyles count="12">
    <cellStyle name="Normal" xfId="0"/>
    <cellStyle name="Comma" xfId="15"/>
    <cellStyle name="Comma [0]" xfId="16"/>
    <cellStyle name="Currency" xfId="17"/>
    <cellStyle name="Currency [0]" xfId="18"/>
    <cellStyle name="Followed Hyperlink" xfId="19"/>
    <cellStyle name="Hyperlink" xfId="20"/>
    <cellStyle name="Normal_diversion2" xfId="21"/>
    <cellStyle name="Normal_eng 8" xfId="22"/>
    <cellStyle name="Normal_stockpond" xfId="23"/>
    <cellStyle name="Normal_waterways" xfId="24"/>
    <cellStyle name="Percent" xfId="25"/>
  </cellStyles>
  <dxfs count="4">
    <dxf>
      <font>
        <strike/>
      </font>
      <border/>
    </dxf>
    <dxf>
      <font>
        <color rgb="FFFFFFFF"/>
      </font>
      <fill>
        <patternFill>
          <bgColor rgb="FFFF0000"/>
        </patternFill>
      </fill>
      <border/>
    </dxf>
    <dxf>
      <fill>
        <patternFill>
          <bgColor rgb="FFFF6600"/>
        </patternFill>
      </fill>
      <border/>
    </dxf>
    <dxf>
      <font>
        <strike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10.emf" /><Relationship Id="rId4"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28575</xdr:colOff>
      <xdr:row>4</xdr:row>
      <xdr:rowOff>9525</xdr:rowOff>
    </xdr:from>
    <xdr:to>
      <xdr:col>33</xdr:col>
      <xdr:colOff>9525</xdr:colOff>
      <xdr:row>7</xdr:row>
      <xdr:rowOff>19050</xdr:rowOff>
    </xdr:to>
    <xdr:pic>
      <xdr:nvPicPr>
        <xdr:cNvPr id="1" name="ComboBox1"/>
        <xdr:cNvPicPr preferRelativeResize="1">
          <a:picLocks noChangeAspect="1"/>
        </xdr:cNvPicPr>
      </xdr:nvPicPr>
      <xdr:blipFill>
        <a:blip r:embed="rId1"/>
        <a:stretch>
          <a:fillRect/>
        </a:stretch>
      </xdr:blipFill>
      <xdr:spPr>
        <a:xfrm>
          <a:off x="6086475" y="600075"/>
          <a:ext cx="161925" cy="200025"/>
        </a:xfrm>
        <a:prstGeom prst="rect">
          <a:avLst/>
        </a:prstGeom>
        <a:noFill/>
        <a:ln w="9525" cmpd="sng">
          <a:noFill/>
        </a:ln>
      </xdr:spPr>
    </xdr:pic>
    <xdr:clientData fPrintsWithSheet="0"/>
  </xdr:twoCellAnchor>
  <xdr:twoCellAnchor editAs="oneCell">
    <xdr:from>
      <xdr:col>35</xdr:col>
      <xdr:colOff>9525</xdr:colOff>
      <xdr:row>3</xdr:row>
      <xdr:rowOff>9525</xdr:rowOff>
    </xdr:from>
    <xdr:to>
      <xdr:col>39</xdr:col>
      <xdr:colOff>57150</xdr:colOff>
      <xdr:row>5</xdr:row>
      <xdr:rowOff>142875</xdr:rowOff>
    </xdr:to>
    <xdr:pic>
      <xdr:nvPicPr>
        <xdr:cNvPr id="2" name="CommandButton1"/>
        <xdr:cNvPicPr preferRelativeResize="1">
          <a:picLocks noChangeAspect="1"/>
        </xdr:cNvPicPr>
      </xdr:nvPicPr>
      <xdr:blipFill>
        <a:blip r:embed="rId2"/>
        <a:stretch>
          <a:fillRect/>
        </a:stretch>
      </xdr:blipFill>
      <xdr:spPr>
        <a:xfrm>
          <a:off x="6610350" y="447675"/>
          <a:ext cx="771525" cy="3048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1</xdr:row>
      <xdr:rowOff>47625</xdr:rowOff>
    </xdr:from>
    <xdr:to>
      <xdr:col>29</xdr:col>
      <xdr:colOff>276225</xdr:colOff>
      <xdr:row>3</xdr:row>
      <xdr:rowOff>38100</xdr:rowOff>
    </xdr:to>
    <xdr:pic>
      <xdr:nvPicPr>
        <xdr:cNvPr id="1" name="CommandButton1"/>
        <xdr:cNvPicPr preferRelativeResize="1">
          <a:picLocks noChangeAspect="1"/>
        </xdr:cNvPicPr>
      </xdr:nvPicPr>
      <xdr:blipFill>
        <a:blip r:embed="rId1"/>
        <a:stretch>
          <a:fillRect/>
        </a:stretch>
      </xdr:blipFill>
      <xdr:spPr>
        <a:xfrm>
          <a:off x="7105650" y="209550"/>
          <a:ext cx="742950" cy="3238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5</xdr:row>
      <xdr:rowOff>133350</xdr:rowOff>
    </xdr:from>
    <xdr:to>
      <xdr:col>12</xdr:col>
      <xdr:colOff>200025</xdr:colOff>
      <xdr:row>15</xdr:row>
      <xdr:rowOff>95250</xdr:rowOff>
    </xdr:to>
    <xdr:grpSp>
      <xdr:nvGrpSpPr>
        <xdr:cNvPr id="1" name="Group 1"/>
        <xdr:cNvGrpSpPr>
          <a:grpSpLocks/>
        </xdr:cNvGrpSpPr>
      </xdr:nvGrpSpPr>
      <xdr:grpSpPr>
        <a:xfrm>
          <a:off x="990600" y="1514475"/>
          <a:ext cx="3648075" cy="1581150"/>
          <a:chOff x="78" y="99"/>
          <a:chExt cx="383" cy="166"/>
        </a:xfrm>
        <a:solidFill>
          <a:srgbClr val="FFFFFF"/>
        </a:solidFill>
      </xdr:grpSpPr>
      <xdr:sp>
        <xdr:nvSpPr>
          <xdr:cNvPr id="2" name="Line 2"/>
          <xdr:cNvSpPr>
            <a:spLocks/>
          </xdr:cNvSpPr>
        </xdr:nvSpPr>
        <xdr:spPr>
          <a:xfrm>
            <a:off x="78" y="153"/>
            <a:ext cx="383" cy="85"/>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3"/>
          <xdr:cNvSpPr>
            <a:spLocks/>
          </xdr:cNvSpPr>
        </xdr:nvSpPr>
        <xdr:spPr>
          <a:xfrm>
            <a:off x="141" y="167"/>
            <a:ext cx="64" cy="54"/>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205" y="221"/>
            <a:ext cx="6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flipV="1">
            <a:off x="269" y="136"/>
            <a:ext cx="64" cy="8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333" y="136"/>
            <a:ext cx="6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397" y="136"/>
            <a:ext cx="64" cy="10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151" y="184"/>
            <a:ext cx="0" cy="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151" y="204"/>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301" y="188"/>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flipV="1">
            <a:off x="322" y="159"/>
            <a:ext cx="0"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405" y="163"/>
            <a:ext cx="0"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405" y="18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a:off x="206" y="227"/>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xdr:cNvSpPr>
        </xdr:nvSpPr>
        <xdr:spPr>
          <a:xfrm>
            <a:off x="268" y="226"/>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flipV="1">
            <a:off x="334" y="99"/>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flipV="1">
            <a:off x="396" y="99"/>
            <a:ext cx="0"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156" y="247"/>
            <a:ext cx="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flipH="1">
            <a:off x="269" y="247"/>
            <a:ext cx="5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0" name="Line 20"/>
          <xdr:cNvSpPr>
            <a:spLocks/>
          </xdr:cNvSpPr>
        </xdr:nvSpPr>
        <xdr:spPr>
          <a:xfrm>
            <a:off x="295" y="112"/>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 name="Line 21"/>
          <xdr:cNvSpPr>
            <a:spLocks/>
          </xdr:cNvSpPr>
        </xdr:nvSpPr>
        <xdr:spPr>
          <a:xfrm flipH="1">
            <a:off x="397" y="111"/>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 name="Line 22"/>
          <xdr:cNvSpPr>
            <a:spLocks/>
          </xdr:cNvSpPr>
        </xdr:nvSpPr>
        <xdr:spPr>
          <a:xfrm flipH="1">
            <a:off x="236" y="135"/>
            <a:ext cx="9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flipV="1">
            <a:off x="243" y="135"/>
            <a:ext cx="0" cy="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243" y="171"/>
            <a:ext cx="0" cy="4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12</xdr:col>
      <xdr:colOff>47625</xdr:colOff>
      <xdr:row>17</xdr:row>
      <xdr:rowOff>152400</xdr:rowOff>
    </xdr:from>
    <xdr:to>
      <xdr:col>12</xdr:col>
      <xdr:colOff>257175</xdr:colOff>
      <xdr:row>18</xdr:row>
      <xdr:rowOff>38100</xdr:rowOff>
    </xdr:to>
    <xdr:pic>
      <xdr:nvPicPr>
        <xdr:cNvPr id="25" name="OptionButton1"/>
        <xdr:cNvPicPr preferRelativeResize="1">
          <a:picLocks noChangeAspect="1"/>
        </xdr:cNvPicPr>
      </xdr:nvPicPr>
      <xdr:blipFill>
        <a:blip r:embed="rId1"/>
        <a:stretch>
          <a:fillRect/>
        </a:stretch>
      </xdr:blipFill>
      <xdr:spPr>
        <a:xfrm>
          <a:off x="4486275" y="3476625"/>
          <a:ext cx="209550" cy="209550"/>
        </a:xfrm>
        <a:prstGeom prst="rect">
          <a:avLst/>
        </a:prstGeom>
        <a:noFill/>
        <a:ln w="9525" cmpd="sng">
          <a:noFill/>
        </a:ln>
      </xdr:spPr>
    </xdr:pic>
    <xdr:clientData fLocksWithSheet="0"/>
  </xdr:twoCellAnchor>
  <xdr:twoCellAnchor editAs="oneCell">
    <xdr:from>
      <xdr:col>15</xdr:col>
      <xdr:colOff>57150</xdr:colOff>
      <xdr:row>17</xdr:row>
      <xdr:rowOff>161925</xdr:rowOff>
    </xdr:from>
    <xdr:to>
      <xdr:col>15</xdr:col>
      <xdr:colOff>266700</xdr:colOff>
      <xdr:row>18</xdr:row>
      <xdr:rowOff>47625</xdr:rowOff>
    </xdr:to>
    <xdr:pic>
      <xdr:nvPicPr>
        <xdr:cNvPr id="26" name="OptionButton2"/>
        <xdr:cNvPicPr preferRelativeResize="1">
          <a:picLocks noChangeAspect="1"/>
        </xdr:cNvPicPr>
      </xdr:nvPicPr>
      <xdr:blipFill>
        <a:blip r:embed="rId2"/>
        <a:stretch>
          <a:fillRect/>
        </a:stretch>
      </xdr:blipFill>
      <xdr:spPr>
        <a:xfrm>
          <a:off x="5829300" y="3486150"/>
          <a:ext cx="209550" cy="209550"/>
        </a:xfrm>
        <a:prstGeom prst="rect">
          <a:avLst/>
        </a:prstGeom>
        <a:noFill/>
        <a:ln w="9525" cmpd="sng">
          <a:noFill/>
        </a:ln>
      </xdr:spPr>
    </xdr:pic>
    <xdr:clientData fLocksWithSheet="0"/>
  </xdr:twoCellAnchor>
  <xdr:twoCellAnchor>
    <xdr:from>
      <xdr:col>14</xdr:col>
      <xdr:colOff>28575</xdr:colOff>
      <xdr:row>19</xdr:row>
      <xdr:rowOff>190500</xdr:rowOff>
    </xdr:from>
    <xdr:to>
      <xdr:col>14</xdr:col>
      <xdr:colOff>190500</xdr:colOff>
      <xdr:row>20</xdr:row>
      <xdr:rowOff>190500</xdr:rowOff>
    </xdr:to>
    <xdr:pic>
      <xdr:nvPicPr>
        <xdr:cNvPr id="27" name="ComboBox1" hidden="1"/>
        <xdr:cNvPicPr preferRelativeResize="1">
          <a:picLocks noChangeAspect="1"/>
        </xdr:cNvPicPr>
      </xdr:nvPicPr>
      <xdr:blipFill>
        <a:blip r:embed="rId3"/>
        <a:stretch>
          <a:fillRect/>
        </a:stretch>
      </xdr:blipFill>
      <xdr:spPr>
        <a:xfrm>
          <a:off x="5419725" y="4038600"/>
          <a:ext cx="161925" cy="200025"/>
        </a:xfrm>
        <a:prstGeom prst="rect">
          <a:avLst/>
        </a:prstGeom>
        <a:noFill/>
        <a:ln w="9525" cmpd="sng">
          <a:noFill/>
        </a:ln>
      </xdr:spPr>
    </xdr:pic>
    <xdr:clientData fPrintsWithSheet="0"/>
  </xdr:twoCellAnchor>
  <xdr:twoCellAnchor>
    <xdr:from>
      <xdr:col>16</xdr:col>
      <xdr:colOff>28575</xdr:colOff>
      <xdr:row>19</xdr:row>
      <xdr:rowOff>190500</xdr:rowOff>
    </xdr:from>
    <xdr:to>
      <xdr:col>16</xdr:col>
      <xdr:colOff>190500</xdr:colOff>
      <xdr:row>20</xdr:row>
      <xdr:rowOff>190500</xdr:rowOff>
    </xdr:to>
    <xdr:pic>
      <xdr:nvPicPr>
        <xdr:cNvPr id="28" name="ComboBox2" hidden="1"/>
        <xdr:cNvPicPr preferRelativeResize="1">
          <a:picLocks noChangeAspect="1"/>
        </xdr:cNvPicPr>
      </xdr:nvPicPr>
      <xdr:blipFill>
        <a:blip r:embed="rId4"/>
        <a:stretch>
          <a:fillRect/>
        </a:stretch>
      </xdr:blipFill>
      <xdr:spPr>
        <a:xfrm>
          <a:off x="6372225" y="4038600"/>
          <a:ext cx="161925" cy="2000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17</xdr:row>
      <xdr:rowOff>142875</xdr:rowOff>
    </xdr:from>
    <xdr:to>
      <xdr:col>12</xdr:col>
      <xdr:colOff>276225</xdr:colOff>
      <xdr:row>18</xdr:row>
      <xdr:rowOff>28575</xdr:rowOff>
    </xdr:to>
    <xdr:pic>
      <xdr:nvPicPr>
        <xdr:cNvPr id="1" name="OptionButton1"/>
        <xdr:cNvPicPr preferRelativeResize="1">
          <a:picLocks noChangeAspect="1"/>
        </xdr:cNvPicPr>
      </xdr:nvPicPr>
      <xdr:blipFill>
        <a:blip r:embed="rId1"/>
        <a:stretch>
          <a:fillRect/>
        </a:stretch>
      </xdr:blipFill>
      <xdr:spPr>
        <a:xfrm>
          <a:off x="4505325" y="3467100"/>
          <a:ext cx="209550" cy="209550"/>
        </a:xfrm>
        <a:prstGeom prst="rect">
          <a:avLst/>
        </a:prstGeom>
        <a:noFill/>
        <a:ln w="9525" cmpd="sng">
          <a:noFill/>
        </a:ln>
      </xdr:spPr>
    </xdr:pic>
    <xdr:clientData fLocksWithSheet="0"/>
  </xdr:twoCellAnchor>
  <xdr:twoCellAnchor>
    <xdr:from>
      <xdr:col>2</xdr:col>
      <xdr:colOff>361950</xdr:colOff>
      <xdr:row>5</xdr:row>
      <xdr:rowOff>133350</xdr:rowOff>
    </xdr:from>
    <xdr:to>
      <xdr:col>12</xdr:col>
      <xdr:colOff>200025</xdr:colOff>
      <xdr:row>15</xdr:row>
      <xdr:rowOff>95250</xdr:rowOff>
    </xdr:to>
    <xdr:grpSp>
      <xdr:nvGrpSpPr>
        <xdr:cNvPr id="2" name="Group 1"/>
        <xdr:cNvGrpSpPr>
          <a:grpSpLocks/>
        </xdr:cNvGrpSpPr>
      </xdr:nvGrpSpPr>
      <xdr:grpSpPr>
        <a:xfrm>
          <a:off x="990600" y="1514475"/>
          <a:ext cx="3648075" cy="1581150"/>
          <a:chOff x="78" y="99"/>
          <a:chExt cx="383" cy="166"/>
        </a:xfrm>
        <a:solidFill>
          <a:srgbClr val="FFFFFF"/>
        </a:solidFill>
      </xdr:grpSpPr>
      <xdr:sp>
        <xdr:nvSpPr>
          <xdr:cNvPr id="3" name="Line 2"/>
          <xdr:cNvSpPr>
            <a:spLocks/>
          </xdr:cNvSpPr>
        </xdr:nvSpPr>
        <xdr:spPr>
          <a:xfrm>
            <a:off x="78" y="153"/>
            <a:ext cx="383" cy="85"/>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a:off x="141" y="167"/>
            <a:ext cx="64" cy="54"/>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205" y="221"/>
            <a:ext cx="6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flipV="1">
            <a:off x="269" y="136"/>
            <a:ext cx="64" cy="8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a:off x="333" y="136"/>
            <a:ext cx="6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a:off x="397" y="136"/>
            <a:ext cx="64" cy="10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a:off x="151" y="184"/>
            <a:ext cx="0" cy="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151" y="204"/>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a:off x="301" y="188"/>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V="1">
            <a:off x="322" y="159"/>
            <a:ext cx="0"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405" y="163"/>
            <a:ext cx="0"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a:off x="405" y="18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a:off x="206" y="227"/>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268" y="226"/>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flipV="1">
            <a:off x="334" y="99"/>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flipV="1">
            <a:off x="396" y="99"/>
            <a:ext cx="0"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156" y="247"/>
            <a:ext cx="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0" name="Line 19"/>
          <xdr:cNvSpPr>
            <a:spLocks/>
          </xdr:cNvSpPr>
        </xdr:nvSpPr>
        <xdr:spPr>
          <a:xfrm flipH="1">
            <a:off x="269" y="247"/>
            <a:ext cx="5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 name="Line 20"/>
          <xdr:cNvSpPr>
            <a:spLocks/>
          </xdr:cNvSpPr>
        </xdr:nvSpPr>
        <xdr:spPr>
          <a:xfrm>
            <a:off x="295" y="112"/>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 name="Line 21"/>
          <xdr:cNvSpPr>
            <a:spLocks/>
          </xdr:cNvSpPr>
        </xdr:nvSpPr>
        <xdr:spPr>
          <a:xfrm flipH="1">
            <a:off x="397" y="111"/>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3" name="Line 22"/>
          <xdr:cNvSpPr>
            <a:spLocks/>
          </xdr:cNvSpPr>
        </xdr:nvSpPr>
        <xdr:spPr>
          <a:xfrm flipH="1">
            <a:off x="236" y="135"/>
            <a:ext cx="9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3"/>
          <xdr:cNvSpPr>
            <a:spLocks/>
          </xdr:cNvSpPr>
        </xdr:nvSpPr>
        <xdr:spPr>
          <a:xfrm flipV="1">
            <a:off x="243" y="135"/>
            <a:ext cx="0" cy="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a:off x="243" y="171"/>
            <a:ext cx="0" cy="4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15</xdr:col>
      <xdr:colOff>57150</xdr:colOff>
      <xdr:row>17</xdr:row>
      <xdr:rowOff>152400</xdr:rowOff>
    </xdr:from>
    <xdr:to>
      <xdr:col>15</xdr:col>
      <xdr:colOff>266700</xdr:colOff>
      <xdr:row>18</xdr:row>
      <xdr:rowOff>38100</xdr:rowOff>
    </xdr:to>
    <xdr:pic>
      <xdr:nvPicPr>
        <xdr:cNvPr id="26" name="OptionButton2"/>
        <xdr:cNvPicPr preferRelativeResize="1">
          <a:picLocks noChangeAspect="1"/>
        </xdr:cNvPicPr>
      </xdr:nvPicPr>
      <xdr:blipFill>
        <a:blip r:embed="rId1"/>
        <a:stretch>
          <a:fillRect/>
        </a:stretch>
      </xdr:blipFill>
      <xdr:spPr>
        <a:xfrm>
          <a:off x="5829300" y="3476625"/>
          <a:ext cx="209550" cy="209550"/>
        </a:xfrm>
        <a:prstGeom prst="rect">
          <a:avLst/>
        </a:prstGeom>
        <a:noFill/>
        <a:ln w="9525" cmpd="sng">
          <a:noFill/>
        </a:ln>
      </xdr:spPr>
    </xdr:pic>
    <xdr:clientData fLocksWithSheet="0"/>
  </xdr:twoCellAnchor>
  <xdr:twoCellAnchor>
    <xdr:from>
      <xdr:col>14</xdr:col>
      <xdr:colOff>28575</xdr:colOff>
      <xdr:row>19</xdr:row>
      <xdr:rowOff>190500</xdr:rowOff>
    </xdr:from>
    <xdr:to>
      <xdr:col>14</xdr:col>
      <xdr:colOff>190500</xdr:colOff>
      <xdr:row>20</xdr:row>
      <xdr:rowOff>190500</xdr:rowOff>
    </xdr:to>
    <xdr:pic>
      <xdr:nvPicPr>
        <xdr:cNvPr id="27" name="ComboBox1"/>
        <xdr:cNvPicPr preferRelativeResize="1">
          <a:picLocks noChangeAspect="1"/>
        </xdr:cNvPicPr>
      </xdr:nvPicPr>
      <xdr:blipFill>
        <a:blip r:embed="rId2"/>
        <a:stretch>
          <a:fillRect/>
        </a:stretch>
      </xdr:blipFill>
      <xdr:spPr>
        <a:xfrm>
          <a:off x="5419725" y="4038600"/>
          <a:ext cx="161925" cy="200025"/>
        </a:xfrm>
        <a:prstGeom prst="rect">
          <a:avLst/>
        </a:prstGeom>
        <a:noFill/>
        <a:ln w="9525" cmpd="sng">
          <a:noFill/>
        </a:ln>
      </xdr:spPr>
    </xdr:pic>
    <xdr:clientData fPrintsWithSheet="0"/>
  </xdr:twoCellAnchor>
  <xdr:twoCellAnchor>
    <xdr:from>
      <xdr:col>16</xdr:col>
      <xdr:colOff>28575</xdr:colOff>
      <xdr:row>19</xdr:row>
      <xdr:rowOff>190500</xdr:rowOff>
    </xdr:from>
    <xdr:to>
      <xdr:col>16</xdr:col>
      <xdr:colOff>190500</xdr:colOff>
      <xdr:row>20</xdr:row>
      <xdr:rowOff>190500</xdr:rowOff>
    </xdr:to>
    <xdr:pic>
      <xdr:nvPicPr>
        <xdr:cNvPr id="28" name="ComboBox2"/>
        <xdr:cNvPicPr preferRelativeResize="1">
          <a:picLocks noChangeAspect="1"/>
        </xdr:cNvPicPr>
      </xdr:nvPicPr>
      <xdr:blipFill>
        <a:blip r:embed="rId3"/>
        <a:stretch>
          <a:fillRect/>
        </a:stretch>
      </xdr:blipFill>
      <xdr:spPr>
        <a:xfrm>
          <a:off x="6372225" y="4038600"/>
          <a:ext cx="161925" cy="2000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9525</xdr:colOff>
      <xdr:row>67</xdr:row>
      <xdr:rowOff>9525</xdr:rowOff>
    </xdr:from>
    <xdr:to>
      <xdr:col>53</xdr:col>
      <xdr:colOff>0</xdr:colOff>
      <xdr:row>71</xdr:row>
      <xdr:rowOff>47625</xdr:rowOff>
    </xdr:to>
    <xdr:sp>
      <xdr:nvSpPr>
        <xdr:cNvPr id="1" name="Line 1"/>
        <xdr:cNvSpPr>
          <a:spLocks/>
        </xdr:cNvSpPr>
      </xdr:nvSpPr>
      <xdr:spPr>
        <a:xfrm>
          <a:off x="5038725" y="7743825"/>
          <a:ext cx="514350" cy="495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71</xdr:row>
      <xdr:rowOff>57150</xdr:rowOff>
    </xdr:from>
    <xdr:to>
      <xdr:col>57</xdr:col>
      <xdr:colOff>0</xdr:colOff>
      <xdr:row>71</xdr:row>
      <xdr:rowOff>57150</xdr:rowOff>
    </xdr:to>
    <xdr:sp>
      <xdr:nvSpPr>
        <xdr:cNvPr id="2" name="Line 2"/>
        <xdr:cNvSpPr>
          <a:spLocks/>
        </xdr:cNvSpPr>
      </xdr:nvSpPr>
      <xdr:spPr>
        <a:xfrm>
          <a:off x="5553075" y="8248650"/>
          <a:ext cx="419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0</xdr:colOff>
      <xdr:row>67</xdr:row>
      <xdr:rowOff>0</xdr:rowOff>
    </xdr:from>
    <xdr:to>
      <xdr:col>62</xdr:col>
      <xdr:colOff>0</xdr:colOff>
      <xdr:row>71</xdr:row>
      <xdr:rowOff>47625</xdr:rowOff>
    </xdr:to>
    <xdr:sp>
      <xdr:nvSpPr>
        <xdr:cNvPr id="3" name="Line 3"/>
        <xdr:cNvSpPr>
          <a:spLocks/>
        </xdr:cNvSpPr>
      </xdr:nvSpPr>
      <xdr:spPr>
        <a:xfrm flipV="1">
          <a:off x="5972175" y="7734300"/>
          <a:ext cx="523875" cy="5048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9525</xdr:colOff>
      <xdr:row>67</xdr:row>
      <xdr:rowOff>0</xdr:rowOff>
    </xdr:from>
    <xdr:to>
      <xdr:col>65</xdr:col>
      <xdr:colOff>9525</xdr:colOff>
      <xdr:row>67</xdr:row>
      <xdr:rowOff>0</xdr:rowOff>
    </xdr:to>
    <xdr:sp>
      <xdr:nvSpPr>
        <xdr:cNvPr id="4" name="Line 4"/>
        <xdr:cNvSpPr>
          <a:spLocks/>
        </xdr:cNvSpPr>
      </xdr:nvSpPr>
      <xdr:spPr>
        <a:xfrm>
          <a:off x="6505575" y="7734300"/>
          <a:ext cx="314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9525</xdr:colOff>
      <xdr:row>67</xdr:row>
      <xdr:rowOff>0</xdr:rowOff>
    </xdr:from>
    <xdr:to>
      <xdr:col>70</xdr:col>
      <xdr:colOff>0</xdr:colOff>
      <xdr:row>71</xdr:row>
      <xdr:rowOff>104775</xdr:rowOff>
    </xdr:to>
    <xdr:sp>
      <xdr:nvSpPr>
        <xdr:cNvPr id="5" name="Line 5"/>
        <xdr:cNvSpPr>
          <a:spLocks/>
        </xdr:cNvSpPr>
      </xdr:nvSpPr>
      <xdr:spPr>
        <a:xfrm>
          <a:off x="6819900" y="7734300"/>
          <a:ext cx="514350" cy="5619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67</xdr:row>
      <xdr:rowOff>47625</xdr:rowOff>
    </xdr:from>
    <xdr:to>
      <xdr:col>48</xdr:col>
      <xdr:colOff>0</xdr:colOff>
      <xdr:row>73</xdr:row>
      <xdr:rowOff>85725</xdr:rowOff>
    </xdr:to>
    <xdr:sp>
      <xdr:nvSpPr>
        <xdr:cNvPr id="6" name="Line 6"/>
        <xdr:cNvSpPr>
          <a:spLocks/>
        </xdr:cNvSpPr>
      </xdr:nvSpPr>
      <xdr:spPr>
        <a:xfrm>
          <a:off x="5029200" y="778192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71</xdr:row>
      <xdr:rowOff>95250</xdr:rowOff>
    </xdr:from>
    <xdr:to>
      <xdr:col>53</xdr:col>
      <xdr:colOff>0</xdr:colOff>
      <xdr:row>73</xdr:row>
      <xdr:rowOff>76200</xdr:rowOff>
    </xdr:to>
    <xdr:sp>
      <xdr:nvSpPr>
        <xdr:cNvPr id="7" name="Line 7"/>
        <xdr:cNvSpPr>
          <a:spLocks/>
        </xdr:cNvSpPr>
      </xdr:nvSpPr>
      <xdr:spPr>
        <a:xfrm flipH="1">
          <a:off x="5553075" y="828675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0</xdr:colOff>
      <xdr:row>71</xdr:row>
      <xdr:rowOff>76200</xdr:rowOff>
    </xdr:from>
    <xdr:to>
      <xdr:col>57</xdr:col>
      <xdr:colOff>0</xdr:colOff>
      <xdr:row>73</xdr:row>
      <xdr:rowOff>85725</xdr:rowOff>
    </xdr:to>
    <xdr:sp>
      <xdr:nvSpPr>
        <xdr:cNvPr id="8" name="Line 8"/>
        <xdr:cNvSpPr>
          <a:spLocks/>
        </xdr:cNvSpPr>
      </xdr:nvSpPr>
      <xdr:spPr>
        <a:xfrm>
          <a:off x="5972175" y="826770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67</xdr:row>
      <xdr:rowOff>28575</xdr:rowOff>
    </xdr:from>
    <xdr:to>
      <xdr:col>62</xdr:col>
      <xdr:colOff>0</xdr:colOff>
      <xdr:row>73</xdr:row>
      <xdr:rowOff>66675</xdr:rowOff>
    </xdr:to>
    <xdr:sp>
      <xdr:nvSpPr>
        <xdr:cNvPr id="9" name="Line 9"/>
        <xdr:cNvSpPr>
          <a:spLocks/>
        </xdr:cNvSpPr>
      </xdr:nvSpPr>
      <xdr:spPr>
        <a:xfrm>
          <a:off x="6496050" y="776287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67</xdr:row>
      <xdr:rowOff>28575</xdr:rowOff>
    </xdr:from>
    <xdr:to>
      <xdr:col>65</xdr:col>
      <xdr:colOff>0</xdr:colOff>
      <xdr:row>73</xdr:row>
      <xdr:rowOff>76200</xdr:rowOff>
    </xdr:to>
    <xdr:sp>
      <xdr:nvSpPr>
        <xdr:cNvPr id="10" name="Line 10"/>
        <xdr:cNvSpPr>
          <a:spLocks/>
        </xdr:cNvSpPr>
      </xdr:nvSpPr>
      <xdr:spPr>
        <a:xfrm>
          <a:off x="6810375" y="7762875"/>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72</xdr:row>
      <xdr:rowOff>47625</xdr:rowOff>
    </xdr:from>
    <xdr:to>
      <xdr:col>70</xdr:col>
      <xdr:colOff>0</xdr:colOff>
      <xdr:row>73</xdr:row>
      <xdr:rowOff>66675</xdr:rowOff>
    </xdr:to>
    <xdr:sp>
      <xdr:nvSpPr>
        <xdr:cNvPr id="11" name="Line 11"/>
        <xdr:cNvSpPr>
          <a:spLocks/>
        </xdr:cNvSpPr>
      </xdr:nvSpPr>
      <xdr:spPr>
        <a:xfrm>
          <a:off x="7334250" y="835342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28575</xdr:colOff>
      <xdr:row>67</xdr:row>
      <xdr:rowOff>0</xdr:rowOff>
    </xdr:from>
    <xdr:to>
      <xdr:col>61</xdr:col>
      <xdr:colOff>19050</xdr:colOff>
      <xdr:row>67</xdr:row>
      <xdr:rowOff>0</xdr:rowOff>
    </xdr:to>
    <xdr:sp>
      <xdr:nvSpPr>
        <xdr:cNvPr id="12" name="Line 12"/>
        <xdr:cNvSpPr>
          <a:spLocks/>
        </xdr:cNvSpPr>
      </xdr:nvSpPr>
      <xdr:spPr>
        <a:xfrm flipH="1">
          <a:off x="5476875" y="77343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73</xdr:row>
      <xdr:rowOff>47625</xdr:rowOff>
    </xdr:from>
    <xdr:to>
      <xdr:col>53</xdr:col>
      <xdr:colOff>0</xdr:colOff>
      <xdr:row>73</xdr:row>
      <xdr:rowOff>47625</xdr:rowOff>
    </xdr:to>
    <xdr:sp>
      <xdr:nvSpPr>
        <xdr:cNvPr id="13" name="Line 13"/>
        <xdr:cNvSpPr>
          <a:spLocks/>
        </xdr:cNvSpPr>
      </xdr:nvSpPr>
      <xdr:spPr>
        <a:xfrm>
          <a:off x="5029200" y="8467725"/>
          <a:ext cx="5238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73</xdr:row>
      <xdr:rowOff>47625</xdr:rowOff>
    </xdr:from>
    <xdr:to>
      <xdr:col>57</xdr:col>
      <xdr:colOff>0</xdr:colOff>
      <xdr:row>73</xdr:row>
      <xdr:rowOff>47625</xdr:rowOff>
    </xdr:to>
    <xdr:sp>
      <xdr:nvSpPr>
        <xdr:cNvPr id="14" name="Line 14"/>
        <xdr:cNvSpPr>
          <a:spLocks/>
        </xdr:cNvSpPr>
      </xdr:nvSpPr>
      <xdr:spPr>
        <a:xfrm>
          <a:off x="5553075" y="8467725"/>
          <a:ext cx="4191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0</xdr:colOff>
      <xdr:row>73</xdr:row>
      <xdr:rowOff>57150</xdr:rowOff>
    </xdr:from>
    <xdr:to>
      <xdr:col>62</xdr:col>
      <xdr:colOff>0</xdr:colOff>
      <xdr:row>73</xdr:row>
      <xdr:rowOff>57150</xdr:rowOff>
    </xdr:to>
    <xdr:sp>
      <xdr:nvSpPr>
        <xdr:cNvPr id="15" name="Line 15"/>
        <xdr:cNvSpPr>
          <a:spLocks/>
        </xdr:cNvSpPr>
      </xdr:nvSpPr>
      <xdr:spPr>
        <a:xfrm>
          <a:off x="5972175" y="8477250"/>
          <a:ext cx="5238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73</xdr:row>
      <xdr:rowOff>57150</xdr:rowOff>
    </xdr:from>
    <xdr:to>
      <xdr:col>65</xdr:col>
      <xdr:colOff>0</xdr:colOff>
      <xdr:row>73</xdr:row>
      <xdr:rowOff>57150</xdr:rowOff>
    </xdr:to>
    <xdr:sp>
      <xdr:nvSpPr>
        <xdr:cNvPr id="16" name="Line 16"/>
        <xdr:cNvSpPr>
          <a:spLocks/>
        </xdr:cNvSpPr>
      </xdr:nvSpPr>
      <xdr:spPr>
        <a:xfrm>
          <a:off x="6496050" y="8477250"/>
          <a:ext cx="3143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73</xdr:row>
      <xdr:rowOff>66675</xdr:rowOff>
    </xdr:from>
    <xdr:to>
      <xdr:col>70</xdr:col>
      <xdr:colOff>0</xdr:colOff>
      <xdr:row>73</xdr:row>
      <xdr:rowOff>66675</xdr:rowOff>
    </xdr:to>
    <xdr:sp>
      <xdr:nvSpPr>
        <xdr:cNvPr id="17" name="Line 17"/>
        <xdr:cNvSpPr>
          <a:spLocks/>
        </xdr:cNvSpPr>
      </xdr:nvSpPr>
      <xdr:spPr>
        <a:xfrm>
          <a:off x="6810375" y="8486775"/>
          <a:ext cx="5238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57150</xdr:colOff>
      <xdr:row>67</xdr:row>
      <xdr:rowOff>0</xdr:rowOff>
    </xdr:from>
    <xdr:to>
      <xdr:col>53</xdr:col>
      <xdr:colOff>57150</xdr:colOff>
      <xdr:row>71</xdr:row>
      <xdr:rowOff>57150</xdr:rowOff>
    </xdr:to>
    <xdr:sp>
      <xdr:nvSpPr>
        <xdr:cNvPr id="18" name="Line 18"/>
        <xdr:cNvSpPr>
          <a:spLocks/>
        </xdr:cNvSpPr>
      </xdr:nvSpPr>
      <xdr:spPr>
        <a:xfrm>
          <a:off x="5610225" y="7734300"/>
          <a:ext cx="0" cy="5143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9525</xdr:colOff>
      <xdr:row>67</xdr:row>
      <xdr:rowOff>9525</xdr:rowOff>
    </xdr:from>
    <xdr:to>
      <xdr:col>83</xdr:col>
      <xdr:colOff>0</xdr:colOff>
      <xdr:row>71</xdr:row>
      <xdr:rowOff>47625</xdr:rowOff>
    </xdr:to>
    <xdr:sp>
      <xdr:nvSpPr>
        <xdr:cNvPr id="19" name="Line 19"/>
        <xdr:cNvSpPr>
          <a:spLocks/>
        </xdr:cNvSpPr>
      </xdr:nvSpPr>
      <xdr:spPr>
        <a:xfrm>
          <a:off x="8181975" y="7743825"/>
          <a:ext cx="514350" cy="495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0</xdr:colOff>
      <xdr:row>71</xdr:row>
      <xdr:rowOff>57150</xdr:rowOff>
    </xdr:from>
    <xdr:to>
      <xdr:col>87</xdr:col>
      <xdr:colOff>0</xdr:colOff>
      <xdr:row>71</xdr:row>
      <xdr:rowOff>57150</xdr:rowOff>
    </xdr:to>
    <xdr:sp>
      <xdr:nvSpPr>
        <xdr:cNvPr id="20" name="Line 20"/>
        <xdr:cNvSpPr>
          <a:spLocks/>
        </xdr:cNvSpPr>
      </xdr:nvSpPr>
      <xdr:spPr>
        <a:xfrm>
          <a:off x="8696325" y="8248650"/>
          <a:ext cx="419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0</xdr:colOff>
      <xdr:row>67</xdr:row>
      <xdr:rowOff>0</xdr:rowOff>
    </xdr:from>
    <xdr:to>
      <xdr:col>92</xdr:col>
      <xdr:colOff>0</xdr:colOff>
      <xdr:row>71</xdr:row>
      <xdr:rowOff>47625</xdr:rowOff>
    </xdr:to>
    <xdr:sp>
      <xdr:nvSpPr>
        <xdr:cNvPr id="21" name="Line 21"/>
        <xdr:cNvSpPr>
          <a:spLocks/>
        </xdr:cNvSpPr>
      </xdr:nvSpPr>
      <xdr:spPr>
        <a:xfrm flipV="1">
          <a:off x="9115425" y="7734300"/>
          <a:ext cx="523875" cy="5048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9525</xdr:colOff>
      <xdr:row>67</xdr:row>
      <xdr:rowOff>0</xdr:rowOff>
    </xdr:from>
    <xdr:to>
      <xdr:col>95</xdr:col>
      <xdr:colOff>9525</xdr:colOff>
      <xdr:row>67</xdr:row>
      <xdr:rowOff>0</xdr:rowOff>
    </xdr:to>
    <xdr:sp>
      <xdr:nvSpPr>
        <xdr:cNvPr id="22" name="Line 22"/>
        <xdr:cNvSpPr>
          <a:spLocks/>
        </xdr:cNvSpPr>
      </xdr:nvSpPr>
      <xdr:spPr>
        <a:xfrm>
          <a:off x="9648825" y="7734300"/>
          <a:ext cx="314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9525</xdr:colOff>
      <xdr:row>67</xdr:row>
      <xdr:rowOff>0</xdr:rowOff>
    </xdr:from>
    <xdr:to>
      <xdr:col>100</xdr:col>
      <xdr:colOff>0</xdr:colOff>
      <xdr:row>71</xdr:row>
      <xdr:rowOff>104775</xdr:rowOff>
    </xdr:to>
    <xdr:sp>
      <xdr:nvSpPr>
        <xdr:cNvPr id="23" name="Line 23"/>
        <xdr:cNvSpPr>
          <a:spLocks/>
        </xdr:cNvSpPr>
      </xdr:nvSpPr>
      <xdr:spPr>
        <a:xfrm>
          <a:off x="9963150" y="7734300"/>
          <a:ext cx="514350" cy="5619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0</xdr:colOff>
      <xdr:row>67</xdr:row>
      <xdr:rowOff>47625</xdr:rowOff>
    </xdr:from>
    <xdr:to>
      <xdr:col>78</xdr:col>
      <xdr:colOff>0</xdr:colOff>
      <xdr:row>73</xdr:row>
      <xdr:rowOff>85725</xdr:rowOff>
    </xdr:to>
    <xdr:sp>
      <xdr:nvSpPr>
        <xdr:cNvPr id="24" name="Line 24"/>
        <xdr:cNvSpPr>
          <a:spLocks/>
        </xdr:cNvSpPr>
      </xdr:nvSpPr>
      <xdr:spPr>
        <a:xfrm>
          <a:off x="8172450" y="778192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0</xdr:colOff>
      <xdr:row>71</xdr:row>
      <xdr:rowOff>95250</xdr:rowOff>
    </xdr:from>
    <xdr:to>
      <xdr:col>83</xdr:col>
      <xdr:colOff>0</xdr:colOff>
      <xdr:row>73</xdr:row>
      <xdr:rowOff>76200</xdr:rowOff>
    </xdr:to>
    <xdr:sp>
      <xdr:nvSpPr>
        <xdr:cNvPr id="25" name="Line 25"/>
        <xdr:cNvSpPr>
          <a:spLocks/>
        </xdr:cNvSpPr>
      </xdr:nvSpPr>
      <xdr:spPr>
        <a:xfrm flipH="1">
          <a:off x="8696325" y="828675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0</xdr:colOff>
      <xdr:row>71</xdr:row>
      <xdr:rowOff>76200</xdr:rowOff>
    </xdr:from>
    <xdr:to>
      <xdr:col>87</xdr:col>
      <xdr:colOff>0</xdr:colOff>
      <xdr:row>73</xdr:row>
      <xdr:rowOff>85725</xdr:rowOff>
    </xdr:to>
    <xdr:sp>
      <xdr:nvSpPr>
        <xdr:cNvPr id="26" name="Line 26"/>
        <xdr:cNvSpPr>
          <a:spLocks/>
        </xdr:cNvSpPr>
      </xdr:nvSpPr>
      <xdr:spPr>
        <a:xfrm>
          <a:off x="9115425" y="826770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0</xdr:colOff>
      <xdr:row>67</xdr:row>
      <xdr:rowOff>28575</xdr:rowOff>
    </xdr:from>
    <xdr:to>
      <xdr:col>92</xdr:col>
      <xdr:colOff>0</xdr:colOff>
      <xdr:row>73</xdr:row>
      <xdr:rowOff>66675</xdr:rowOff>
    </xdr:to>
    <xdr:sp>
      <xdr:nvSpPr>
        <xdr:cNvPr id="27" name="Line 27"/>
        <xdr:cNvSpPr>
          <a:spLocks/>
        </xdr:cNvSpPr>
      </xdr:nvSpPr>
      <xdr:spPr>
        <a:xfrm>
          <a:off x="9639300" y="776287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0</xdr:colOff>
      <xdr:row>67</xdr:row>
      <xdr:rowOff>28575</xdr:rowOff>
    </xdr:from>
    <xdr:to>
      <xdr:col>95</xdr:col>
      <xdr:colOff>0</xdr:colOff>
      <xdr:row>73</xdr:row>
      <xdr:rowOff>76200</xdr:rowOff>
    </xdr:to>
    <xdr:sp>
      <xdr:nvSpPr>
        <xdr:cNvPr id="28" name="Line 28"/>
        <xdr:cNvSpPr>
          <a:spLocks/>
        </xdr:cNvSpPr>
      </xdr:nvSpPr>
      <xdr:spPr>
        <a:xfrm>
          <a:off x="9953625" y="7762875"/>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100</xdr:col>
      <xdr:colOff>0</xdr:colOff>
      <xdr:row>72</xdr:row>
      <xdr:rowOff>47625</xdr:rowOff>
    </xdr:from>
    <xdr:to>
      <xdr:col>100</xdr:col>
      <xdr:colOff>0</xdr:colOff>
      <xdr:row>73</xdr:row>
      <xdr:rowOff>66675</xdr:rowOff>
    </xdr:to>
    <xdr:sp>
      <xdr:nvSpPr>
        <xdr:cNvPr id="29" name="Line 29"/>
        <xdr:cNvSpPr>
          <a:spLocks/>
        </xdr:cNvSpPr>
      </xdr:nvSpPr>
      <xdr:spPr>
        <a:xfrm>
          <a:off x="10477500" y="835342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28575</xdr:colOff>
      <xdr:row>67</xdr:row>
      <xdr:rowOff>0</xdr:rowOff>
    </xdr:from>
    <xdr:to>
      <xdr:col>91</xdr:col>
      <xdr:colOff>19050</xdr:colOff>
      <xdr:row>67</xdr:row>
      <xdr:rowOff>0</xdr:rowOff>
    </xdr:to>
    <xdr:sp>
      <xdr:nvSpPr>
        <xdr:cNvPr id="30" name="Line 30"/>
        <xdr:cNvSpPr>
          <a:spLocks/>
        </xdr:cNvSpPr>
      </xdr:nvSpPr>
      <xdr:spPr>
        <a:xfrm flipH="1">
          <a:off x="8620125" y="77343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0</xdr:colOff>
      <xdr:row>73</xdr:row>
      <xdr:rowOff>47625</xdr:rowOff>
    </xdr:from>
    <xdr:to>
      <xdr:col>83</xdr:col>
      <xdr:colOff>0</xdr:colOff>
      <xdr:row>73</xdr:row>
      <xdr:rowOff>47625</xdr:rowOff>
    </xdr:to>
    <xdr:sp>
      <xdr:nvSpPr>
        <xdr:cNvPr id="31" name="Line 31"/>
        <xdr:cNvSpPr>
          <a:spLocks/>
        </xdr:cNvSpPr>
      </xdr:nvSpPr>
      <xdr:spPr>
        <a:xfrm>
          <a:off x="8172450" y="8467725"/>
          <a:ext cx="5238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0</xdr:colOff>
      <xdr:row>73</xdr:row>
      <xdr:rowOff>47625</xdr:rowOff>
    </xdr:from>
    <xdr:to>
      <xdr:col>87</xdr:col>
      <xdr:colOff>0</xdr:colOff>
      <xdr:row>73</xdr:row>
      <xdr:rowOff>47625</xdr:rowOff>
    </xdr:to>
    <xdr:sp>
      <xdr:nvSpPr>
        <xdr:cNvPr id="32" name="Line 32"/>
        <xdr:cNvSpPr>
          <a:spLocks/>
        </xdr:cNvSpPr>
      </xdr:nvSpPr>
      <xdr:spPr>
        <a:xfrm>
          <a:off x="8696325" y="8467725"/>
          <a:ext cx="4191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0</xdr:colOff>
      <xdr:row>73</xdr:row>
      <xdr:rowOff>57150</xdr:rowOff>
    </xdr:from>
    <xdr:to>
      <xdr:col>92</xdr:col>
      <xdr:colOff>0</xdr:colOff>
      <xdr:row>73</xdr:row>
      <xdr:rowOff>57150</xdr:rowOff>
    </xdr:to>
    <xdr:sp>
      <xdr:nvSpPr>
        <xdr:cNvPr id="33" name="Line 33"/>
        <xdr:cNvSpPr>
          <a:spLocks/>
        </xdr:cNvSpPr>
      </xdr:nvSpPr>
      <xdr:spPr>
        <a:xfrm>
          <a:off x="9115425" y="8477250"/>
          <a:ext cx="5238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0</xdr:colOff>
      <xdr:row>73</xdr:row>
      <xdr:rowOff>57150</xdr:rowOff>
    </xdr:from>
    <xdr:to>
      <xdr:col>95</xdr:col>
      <xdr:colOff>0</xdr:colOff>
      <xdr:row>73</xdr:row>
      <xdr:rowOff>57150</xdr:rowOff>
    </xdr:to>
    <xdr:sp>
      <xdr:nvSpPr>
        <xdr:cNvPr id="34" name="Line 34"/>
        <xdr:cNvSpPr>
          <a:spLocks/>
        </xdr:cNvSpPr>
      </xdr:nvSpPr>
      <xdr:spPr>
        <a:xfrm>
          <a:off x="9639300" y="8477250"/>
          <a:ext cx="3143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0</xdr:colOff>
      <xdr:row>73</xdr:row>
      <xdr:rowOff>66675</xdr:rowOff>
    </xdr:from>
    <xdr:to>
      <xdr:col>100</xdr:col>
      <xdr:colOff>0</xdr:colOff>
      <xdr:row>73</xdr:row>
      <xdr:rowOff>66675</xdr:rowOff>
    </xdr:to>
    <xdr:sp>
      <xdr:nvSpPr>
        <xdr:cNvPr id="35" name="Line 35"/>
        <xdr:cNvSpPr>
          <a:spLocks/>
        </xdr:cNvSpPr>
      </xdr:nvSpPr>
      <xdr:spPr>
        <a:xfrm>
          <a:off x="9953625" y="8486775"/>
          <a:ext cx="5238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83</xdr:col>
      <xdr:colOff>57150</xdr:colOff>
      <xdr:row>67</xdr:row>
      <xdr:rowOff>0</xdr:rowOff>
    </xdr:from>
    <xdr:to>
      <xdr:col>83</xdr:col>
      <xdr:colOff>57150</xdr:colOff>
      <xdr:row>71</xdr:row>
      <xdr:rowOff>57150</xdr:rowOff>
    </xdr:to>
    <xdr:sp>
      <xdr:nvSpPr>
        <xdr:cNvPr id="36" name="Line 36"/>
        <xdr:cNvSpPr>
          <a:spLocks/>
        </xdr:cNvSpPr>
      </xdr:nvSpPr>
      <xdr:spPr>
        <a:xfrm>
          <a:off x="8753475" y="7734300"/>
          <a:ext cx="0" cy="5143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47625</xdr:colOff>
      <xdr:row>33</xdr:row>
      <xdr:rowOff>0</xdr:rowOff>
    </xdr:from>
    <xdr:to>
      <xdr:col>44</xdr:col>
      <xdr:colOff>47625</xdr:colOff>
      <xdr:row>43</xdr:row>
      <xdr:rowOff>104775</xdr:rowOff>
    </xdr:to>
    <xdr:sp>
      <xdr:nvSpPr>
        <xdr:cNvPr id="37" name="Line 37"/>
        <xdr:cNvSpPr>
          <a:spLocks/>
        </xdr:cNvSpPr>
      </xdr:nvSpPr>
      <xdr:spPr>
        <a:xfrm>
          <a:off x="4657725" y="3848100"/>
          <a:ext cx="0"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33</xdr:row>
      <xdr:rowOff>0</xdr:rowOff>
    </xdr:from>
    <xdr:to>
      <xdr:col>44</xdr:col>
      <xdr:colOff>47625</xdr:colOff>
      <xdr:row>35</xdr:row>
      <xdr:rowOff>28575</xdr:rowOff>
    </xdr:to>
    <xdr:sp>
      <xdr:nvSpPr>
        <xdr:cNvPr id="38" name="Line 38"/>
        <xdr:cNvSpPr>
          <a:spLocks/>
        </xdr:cNvSpPr>
      </xdr:nvSpPr>
      <xdr:spPr>
        <a:xfrm flipH="1">
          <a:off x="4610100" y="3848100"/>
          <a:ext cx="47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35</xdr:row>
      <xdr:rowOff>0</xdr:rowOff>
    </xdr:from>
    <xdr:to>
      <xdr:col>44</xdr:col>
      <xdr:colOff>38100</xdr:colOff>
      <xdr:row>35</xdr:row>
      <xdr:rowOff>28575</xdr:rowOff>
    </xdr:to>
    <xdr:sp>
      <xdr:nvSpPr>
        <xdr:cNvPr id="39" name="Line 39"/>
        <xdr:cNvSpPr>
          <a:spLocks/>
        </xdr:cNvSpPr>
      </xdr:nvSpPr>
      <xdr:spPr>
        <a:xfrm flipV="1">
          <a:off x="4610100" y="4076700"/>
          <a:ext cx="381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43</xdr:row>
      <xdr:rowOff>104775</xdr:rowOff>
    </xdr:from>
    <xdr:to>
      <xdr:col>44</xdr:col>
      <xdr:colOff>38100</xdr:colOff>
      <xdr:row>44</xdr:row>
      <xdr:rowOff>19050</xdr:rowOff>
    </xdr:to>
    <xdr:sp>
      <xdr:nvSpPr>
        <xdr:cNvPr id="40" name="Line 40"/>
        <xdr:cNvSpPr>
          <a:spLocks/>
        </xdr:cNvSpPr>
      </xdr:nvSpPr>
      <xdr:spPr>
        <a:xfrm flipH="1">
          <a:off x="4610100" y="5095875"/>
          <a:ext cx="381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42</xdr:row>
      <xdr:rowOff>28575</xdr:rowOff>
    </xdr:from>
    <xdr:to>
      <xdr:col>44</xdr:col>
      <xdr:colOff>38100</xdr:colOff>
      <xdr:row>42</xdr:row>
      <xdr:rowOff>57150</xdr:rowOff>
    </xdr:to>
    <xdr:sp>
      <xdr:nvSpPr>
        <xdr:cNvPr id="41" name="Line 41"/>
        <xdr:cNvSpPr>
          <a:spLocks/>
        </xdr:cNvSpPr>
      </xdr:nvSpPr>
      <xdr:spPr>
        <a:xfrm flipH="1">
          <a:off x="4610100" y="4905375"/>
          <a:ext cx="381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42</xdr:row>
      <xdr:rowOff>57150</xdr:rowOff>
    </xdr:from>
    <xdr:to>
      <xdr:col>44</xdr:col>
      <xdr:colOff>0</xdr:colOff>
      <xdr:row>44</xdr:row>
      <xdr:rowOff>28575</xdr:rowOff>
    </xdr:to>
    <xdr:sp>
      <xdr:nvSpPr>
        <xdr:cNvPr id="42" name="Line 42"/>
        <xdr:cNvSpPr>
          <a:spLocks/>
        </xdr:cNvSpPr>
      </xdr:nvSpPr>
      <xdr:spPr>
        <a:xfrm>
          <a:off x="4610100" y="49339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85</xdr:col>
      <xdr:colOff>0</xdr:colOff>
      <xdr:row>86</xdr:row>
      <xdr:rowOff>0</xdr:rowOff>
    </xdr:from>
    <xdr:to>
      <xdr:col>85</xdr:col>
      <xdr:colOff>0</xdr:colOff>
      <xdr:row>88</xdr:row>
      <xdr:rowOff>0</xdr:rowOff>
    </xdr:to>
    <xdr:sp>
      <xdr:nvSpPr>
        <xdr:cNvPr id="43" name="Line 43"/>
        <xdr:cNvSpPr>
          <a:spLocks/>
        </xdr:cNvSpPr>
      </xdr:nvSpPr>
      <xdr:spPr>
        <a:xfrm>
          <a:off x="8905875" y="9906000"/>
          <a:ext cx="0" cy="2286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0</xdr:colOff>
      <xdr:row>86</xdr:row>
      <xdr:rowOff>9525</xdr:rowOff>
    </xdr:from>
    <xdr:to>
      <xdr:col>92</xdr:col>
      <xdr:colOff>0</xdr:colOff>
      <xdr:row>88</xdr:row>
      <xdr:rowOff>0</xdr:rowOff>
    </xdr:to>
    <xdr:sp>
      <xdr:nvSpPr>
        <xdr:cNvPr id="44" name="Line 44"/>
        <xdr:cNvSpPr>
          <a:spLocks/>
        </xdr:cNvSpPr>
      </xdr:nvSpPr>
      <xdr:spPr>
        <a:xfrm>
          <a:off x="9639300" y="9915525"/>
          <a:ext cx="0" cy="2190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85</xdr:col>
      <xdr:colOff>0</xdr:colOff>
      <xdr:row>88</xdr:row>
      <xdr:rowOff>9525</xdr:rowOff>
    </xdr:from>
    <xdr:to>
      <xdr:col>92</xdr:col>
      <xdr:colOff>0</xdr:colOff>
      <xdr:row>88</xdr:row>
      <xdr:rowOff>9525</xdr:rowOff>
    </xdr:to>
    <xdr:sp>
      <xdr:nvSpPr>
        <xdr:cNvPr id="45" name="Line 45"/>
        <xdr:cNvSpPr>
          <a:spLocks/>
        </xdr:cNvSpPr>
      </xdr:nvSpPr>
      <xdr:spPr>
        <a:xfrm>
          <a:off x="8905875" y="10144125"/>
          <a:ext cx="733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99</xdr:col>
      <xdr:colOff>0</xdr:colOff>
      <xdr:row>86</xdr:row>
      <xdr:rowOff>0</xdr:rowOff>
    </xdr:from>
    <xdr:to>
      <xdr:col>99</xdr:col>
      <xdr:colOff>0</xdr:colOff>
      <xdr:row>96</xdr:row>
      <xdr:rowOff>9525</xdr:rowOff>
    </xdr:to>
    <xdr:sp>
      <xdr:nvSpPr>
        <xdr:cNvPr id="46" name="Line 46"/>
        <xdr:cNvSpPr>
          <a:spLocks/>
        </xdr:cNvSpPr>
      </xdr:nvSpPr>
      <xdr:spPr>
        <a:xfrm>
          <a:off x="10372725" y="9906000"/>
          <a:ext cx="0" cy="11525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86</xdr:row>
      <xdr:rowOff>0</xdr:rowOff>
    </xdr:from>
    <xdr:to>
      <xdr:col>55</xdr:col>
      <xdr:colOff>0</xdr:colOff>
      <xdr:row>91</xdr:row>
      <xdr:rowOff>0</xdr:rowOff>
    </xdr:to>
    <xdr:sp>
      <xdr:nvSpPr>
        <xdr:cNvPr id="47" name="Line 47"/>
        <xdr:cNvSpPr>
          <a:spLocks/>
        </xdr:cNvSpPr>
      </xdr:nvSpPr>
      <xdr:spPr>
        <a:xfrm>
          <a:off x="5762625" y="9906000"/>
          <a:ext cx="0" cy="571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90</xdr:row>
      <xdr:rowOff>85725</xdr:rowOff>
    </xdr:from>
    <xdr:to>
      <xdr:col>101</xdr:col>
      <xdr:colOff>0</xdr:colOff>
      <xdr:row>96</xdr:row>
      <xdr:rowOff>28575</xdr:rowOff>
    </xdr:to>
    <xdr:sp>
      <xdr:nvSpPr>
        <xdr:cNvPr id="48" name="Line 48"/>
        <xdr:cNvSpPr>
          <a:spLocks/>
        </xdr:cNvSpPr>
      </xdr:nvSpPr>
      <xdr:spPr>
        <a:xfrm>
          <a:off x="5553075" y="10448925"/>
          <a:ext cx="5029200" cy="628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9525</xdr:colOff>
      <xdr:row>86</xdr:row>
      <xdr:rowOff>0</xdr:rowOff>
    </xdr:from>
    <xdr:to>
      <xdr:col>78</xdr:col>
      <xdr:colOff>9525</xdr:colOff>
      <xdr:row>96</xdr:row>
      <xdr:rowOff>104775</xdr:rowOff>
    </xdr:to>
    <xdr:sp>
      <xdr:nvSpPr>
        <xdr:cNvPr id="49" name="Line 49"/>
        <xdr:cNvSpPr>
          <a:spLocks/>
        </xdr:cNvSpPr>
      </xdr:nvSpPr>
      <xdr:spPr>
        <a:xfrm>
          <a:off x="8181975" y="9906000"/>
          <a:ext cx="0" cy="1247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86</xdr:row>
      <xdr:rowOff>19050</xdr:rowOff>
    </xdr:from>
    <xdr:to>
      <xdr:col>70</xdr:col>
      <xdr:colOff>0</xdr:colOff>
      <xdr:row>97</xdr:row>
      <xdr:rowOff>9525</xdr:rowOff>
    </xdr:to>
    <xdr:sp>
      <xdr:nvSpPr>
        <xdr:cNvPr id="50" name="Line 50"/>
        <xdr:cNvSpPr>
          <a:spLocks/>
        </xdr:cNvSpPr>
      </xdr:nvSpPr>
      <xdr:spPr>
        <a:xfrm>
          <a:off x="7334250" y="9925050"/>
          <a:ext cx="0" cy="1247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86</xdr:row>
      <xdr:rowOff>19050</xdr:rowOff>
    </xdr:from>
    <xdr:to>
      <xdr:col>62</xdr:col>
      <xdr:colOff>0</xdr:colOff>
      <xdr:row>97</xdr:row>
      <xdr:rowOff>9525</xdr:rowOff>
    </xdr:to>
    <xdr:sp>
      <xdr:nvSpPr>
        <xdr:cNvPr id="51" name="Line 51"/>
        <xdr:cNvSpPr>
          <a:spLocks/>
        </xdr:cNvSpPr>
      </xdr:nvSpPr>
      <xdr:spPr>
        <a:xfrm>
          <a:off x="6496050" y="9925050"/>
          <a:ext cx="0" cy="1247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9525</xdr:colOff>
      <xdr:row>91</xdr:row>
      <xdr:rowOff>9525</xdr:rowOff>
    </xdr:from>
    <xdr:to>
      <xdr:col>61</xdr:col>
      <xdr:colOff>95250</xdr:colOff>
      <xdr:row>97</xdr:row>
      <xdr:rowOff>9525</xdr:rowOff>
    </xdr:to>
    <xdr:sp>
      <xdr:nvSpPr>
        <xdr:cNvPr id="52" name="Line 52"/>
        <xdr:cNvSpPr>
          <a:spLocks/>
        </xdr:cNvSpPr>
      </xdr:nvSpPr>
      <xdr:spPr>
        <a:xfrm>
          <a:off x="5772150" y="10487025"/>
          <a:ext cx="714375"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97</xdr:row>
      <xdr:rowOff>19050</xdr:rowOff>
    </xdr:from>
    <xdr:to>
      <xdr:col>78</xdr:col>
      <xdr:colOff>9525</xdr:colOff>
      <xdr:row>97</xdr:row>
      <xdr:rowOff>19050</xdr:rowOff>
    </xdr:to>
    <xdr:sp>
      <xdr:nvSpPr>
        <xdr:cNvPr id="53" name="Line 53"/>
        <xdr:cNvSpPr>
          <a:spLocks/>
        </xdr:cNvSpPr>
      </xdr:nvSpPr>
      <xdr:spPr>
        <a:xfrm>
          <a:off x="6496050" y="11182350"/>
          <a:ext cx="16859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19050</xdr:colOff>
      <xdr:row>88</xdr:row>
      <xdr:rowOff>9525</xdr:rowOff>
    </xdr:from>
    <xdr:to>
      <xdr:col>85</xdr:col>
      <xdr:colOff>0</xdr:colOff>
      <xdr:row>97</xdr:row>
      <xdr:rowOff>19050</xdr:rowOff>
    </xdr:to>
    <xdr:sp>
      <xdr:nvSpPr>
        <xdr:cNvPr id="54" name="Line 54"/>
        <xdr:cNvSpPr>
          <a:spLocks/>
        </xdr:cNvSpPr>
      </xdr:nvSpPr>
      <xdr:spPr>
        <a:xfrm flipV="1">
          <a:off x="8191500" y="10144125"/>
          <a:ext cx="714375" cy="10382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0</xdr:colOff>
      <xdr:row>88</xdr:row>
      <xdr:rowOff>9525</xdr:rowOff>
    </xdr:from>
    <xdr:to>
      <xdr:col>99</xdr:col>
      <xdr:colOff>0</xdr:colOff>
      <xdr:row>96</xdr:row>
      <xdr:rowOff>0</xdr:rowOff>
    </xdr:to>
    <xdr:sp>
      <xdr:nvSpPr>
        <xdr:cNvPr id="55" name="Line 55"/>
        <xdr:cNvSpPr>
          <a:spLocks/>
        </xdr:cNvSpPr>
      </xdr:nvSpPr>
      <xdr:spPr>
        <a:xfrm>
          <a:off x="9639300" y="10144125"/>
          <a:ext cx="733425" cy="904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92</xdr:row>
      <xdr:rowOff>0</xdr:rowOff>
    </xdr:from>
    <xdr:to>
      <xdr:col>55</xdr:col>
      <xdr:colOff>0</xdr:colOff>
      <xdr:row>101</xdr:row>
      <xdr:rowOff>0</xdr:rowOff>
    </xdr:to>
    <xdr:sp>
      <xdr:nvSpPr>
        <xdr:cNvPr id="56" name="Line 56"/>
        <xdr:cNvSpPr>
          <a:spLocks/>
        </xdr:cNvSpPr>
      </xdr:nvSpPr>
      <xdr:spPr>
        <a:xfrm>
          <a:off x="5762625" y="10591800"/>
          <a:ext cx="0"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98</xdr:row>
      <xdr:rowOff>0</xdr:rowOff>
    </xdr:from>
    <xdr:to>
      <xdr:col>62</xdr:col>
      <xdr:colOff>0</xdr:colOff>
      <xdr:row>101</xdr:row>
      <xdr:rowOff>9525</xdr:rowOff>
    </xdr:to>
    <xdr:sp>
      <xdr:nvSpPr>
        <xdr:cNvPr id="57" name="Line 57"/>
        <xdr:cNvSpPr>
          <a:spLocks/>
        </xdr:cNvSpPr>
      </xdr:nvSpPr>
      <xdr:spPr>
        <a:xfrm>
          <a:off x="6496050" y="1127760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100</xdr:row>
      <xdr:rowOff>57150</xdr:rowOff>
    </xdr:from>
    <xdr:to>
      <xdr:col>62</xdr:col>
      <xdr:colOff>0</xdr:colOff>
      <xdr:row>100</xdr:row>
      <xdr:rowOff>57150</xdr:rowOff>
    </xdr:to>
    <xdr:sp>
      <xdr:nvSpPr>
        <xdr:cNvPr id="58" name="Line 58"/>
        <xdr:cNvSpPr>
          <a:spLocks/>
        </xdr:cNvSpPr>
      </xdr:nvSpPr>
      <xdr:spPr>
        <a:xfrm>
          <a:off x="5762625" y="11563350"/>
          <a:ext cx="733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0</xdr:colOff>
      <xdr:row>98</xdr:row>
      <xdr:rowOff>0</xdr:rowOff>
    </xdr:from>
    <xdr:to>
      <xdr:col>78</xdr:col>
      <xdr:colOff>0</xdr:colOff>
      <xdr:row>101</xdr:row>
      <xdr:rowOff>0</xdr:rowOff>
    </xdr:to>
    <xdr:sp>
      <xdr:nvSpPr>
        <xdr:cNvPr id="59" name="Line 59"/>
        <xdr:cNvSpPr>
          <a:spLocks/>
        </xdr:cNvSpPr>
      </xdr:nvSpPr>
      <xdr:spPr>
        <a:xfrm>
          <a:off x="8172450" y="112776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85</xdr:col>
      <xdr:colOff>0</xdr:colOff>
      <xdr:row>89</xdr:row>
      <xdr:rowOff>9525</xdr:rowOff>
    </xdr:from>
    <xdr:to>
      <xdr:col>85</xdr:col>
      <xdr:colOff>0</xdr:colOff>
      <xdr:row>101</xdr:row>
      <xdr:rowOff>0</xdr:rowOff>
    </xdr:to>
    <xdr:sp>
      <xdr:nvSpPr>
        <xdr:cNvPr id="60" name="Line 60"/>
        <xdr:cNvSpPr>
          <a:spLocks/>
        </xdr:cNvSpPr>
      </xdr:nvSpPr>
      <xdr:spPr>
        <a:xfrm>
          <a:off x="8905875" y="10258425"/>
          <a:ext cx="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0</xdr:colOff>
      <xdr:row>89</xdr:row>
      <xdr:rowOff>0</xdr:rowOff>
    </xdr:from>
    <xdr:to>
      <xdr:col>92</xdr:col>
      <xdr:colOff>0</xdr:colOff>
      <xdr:row>101</xdr:row>
      <xdr:rowOff>9525</xdr:rowOff>
    </xdr:to>
    <xdr:sp>
      <xdr:nvSpPr>
        <xdr:cNvPr id="61" name="Line 61"/>
        <xdr:cNvSpPr>
          <a:spLocks/>
        </xdr:cNvSpPr>
      </xdr:nvSpPr>
      <xdr:spPr>
        <a:xfrm>
          <a:off x="9639300" y="10248900"/>
          <a:ext cx="0"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99</xdr:col>
      <xdr:colOff>0</xdr:colOff>
      <xdr:row>97</xdr:row>
      <xdr:rowOff>9525</xdr:rowOff>
    </xdr:from>
    <xdr:to>
      <xdr:col>99</xdr:col>
      <xdr:colOff>0</xdr:colOff>
      <xdr:row>101</xdr:row>
      <xdr:rowOff>0</xdr:rowOff>
    </xdr:to>
    <xdr:sp>
      <xdr:nvSpPr>
        <xdr:cNvPr id="62" name="Line 62"/>
        <xdr:cNvSpPr>
          <a:spLocks/>
        </xdr:cNvSpPr>
      </xdr:nvSpPr>
      <xdr:spPr>
        <a:xfrm>
          <a:off x="10372725" y="11172825"/>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100</xdr:row>
      <xdr:rowOff>57150</xdr:rowOff>
    </xdr:from>
    <xdr:to>
      <xdr:col>78</xdr:col>
      <xdr:colOff>0</xdr:colOff>
      <xdr:row>100</xdr:row>
      <xdr:rowOff>57150</xdr:rowOff>
    </xdr:to>
    <xdr:sp>
      <xdr:nvSpPr>
        <xdr:cNvPr id="63" name="Line 63"/>
        <xdr:cNvSpPr>
          <a:spLocks/>
        </xdr:cNvSpPr>
      </xdr:nvSpPr>
      <xdr:spPr>
        <a:xfrm>
          <a:off x="6496050" y="11563350"/>
          <a:ext cx="16764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9525</xdr:colOff>
      <xdr:row>100</xdr:row>
      <xdr:rowOff>57150</xdr:rowOff>
    </xdr:from>
    <xdr:to>
      <xdr:col>85</xdr:col>
      <xdr:colOff>0</xdr:colOff>
      <xdr:row>100</xdr:row>
      <xdr:rowOff>57150</xdr:rowOff>
    </xdr:to>
    <xdr:sp>
      <xdr:nvSpPr>
        <xdr:cNvPr id="64" name="Line 64"/>
        <xdr:cNvSpPr>
          <a:spLocks/>
        </xdr:cNvSpPr>
      </xdr:nvSpPr>
      <xdr:spPr>
        <a:xfrm>
          <a:off x="8181975" y="11563350"/>
          <a:ext cx="7239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9525</xdr:colOff>
      <xdr:row>88</xdr:row>
      <xdr:rowOff>0</xdr:rowOff>
    </xdr:from>
    <xdr:to>
      <xdr:col>84</xdr:col>
      <xdr:colOff>9525</xdr:colOff>
      <xdr:row>88</xdr:row>
      <xdr:rowOff>0</xdr:rowOff>
    </xdr:to>
    <xdr:sp>
      <xdr:nvSpPr>
        <xdr:cNvPr id="65" name="Line 65"/>
        <xdr:cNvSpPr>
          <a:spLocks/>
        </xdr:cNvSpPr>
      </xdr:nvSpPr>
      <xdr:spPr>
        <a:xfrm flipH="1">
          <a:off x="7658100" y="101346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47625</xdr:colOff>
      <xdr:row>88</xdr:row>
      <xdr:rowOff>0</xdr:rowOff>
    </xdr:from>
    <xdr:to>
      <xdr:col>75</xdr:col>
      <xdr:colOff>47625</xdr:colOff>
      <xdr:row>97</xdr:row>
      <xdr:rowOff>19050</xdr:rowOff>
    </xdr:to>
    <xdr:sp>
      <xdr:nvSpPr>
        <xdr:cNvPr id="66" name="Line 66"/>
        <xdr:cNvSpPr>
          <a:spLocks/>
        </xdr:cNvSpPr>
      </xdr:nvSpPr>
      <xdr:spPr>
        <a:xfrm>
          <a:off x="7905750" y="10134600"/>
          <a:ext cx="0" cy="10477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85</xdr:col>
      <xdr:colOff>0</xdr:colOff>
      <xdr:row>100</xdr:row>
      <xdr:rowOff>57150</xdr:rowOff>
    </xdr:from>
    <xdr:to>
      <xdr:col>92</xdr:col>
      <xdr:colOff>0</xdr:colOff>
      <xdr:row>100</xdr:row>
      <xdr:rowOff>57150</xdr:rowOff>
    </xdr:to>
    <xdr:sp>
      <xdr:nvSpPr>
        <xdr:cNvPr id="67" name="Line 67"/>
        <xdr:cNvSpPr>
          <a:spLocks/>
        </xdr:cNvSpPr>
      </xdr:nvSpPr>
      <xdr:spPr>
        <a:xfrm>
          <a:off x="8905875" y="11563350"/>
          <a:ext cx="733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9525</xdr:colOff>
      <xdr:row>100</xdr:row>
      <xdr:rowOff>57150</xdr:rowOff>
    </xdr:from>
    <xdr:to>
      <xdr:col>99</xdr:col>
      <xdr:colOff>9525</xdr:colOff>
      <xdr:row>100</xdr:row>
      <xdr:rowOff>57150</xdr:rowOff>
    </xdr:to>
    <xdr:sp>
      <xdr:nvSpPr>
        <xdr:cNvPr id="68" name="Line 68"/>
        <xdr:cNvSpPr>
          <a:spLocks/>
        </xdr:cNvSpPr>
      </xdr:nvSpPr>
      <xdr:spPr>
        <a:xfrm>
          <a:off x="9648825" y="11563350"/>
          <a:ext cx="733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85</xdr:col>
      <xdr:colOff>0</xdr:colOff>
      <xdr:row>108</xdr:row>
      <xdr:rowOff>0</xdr:rowOff>
    </xdr:from>
    <xdr:to>
      <xdr:col>85</xdr:col>
      <xdr:colOff>0</xdr:colOff>
      <xdr:row>110</xdr:row>
      <xdr:rowOff>0</xdr:rowOff>
    </xdr:to>
    <xdr:sp>
      <xdr:nvSpPr>
        <xdr:cNvPr id="69" name="Line 69"/>
        <xdr:cNvSpPr>
          <a:spLocks/>
        </xdr:cNvSpPr>
      </xdr:nvSpPr>
      <xdr:spPr>
        <a:xfrm>
          <a:off x="8905875" y="12420600"/>
          <a:ext cx="0" cy="2286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0</xdr:colOff>
      <xdr:row>108</xdr:row>
      <xdr:rowOff>9525</xdr:rowOff>
    </xdr:from>
    <xdr:to>
      <xdr:col>92</xdr:col>
      <xdr:colOff>0</xdr:colOff>
      <xdr:row>110</xdr:row>
      <xdr:rowOff>0</xdr:rowOff>
    </xdr:to>
    <xdr:sp>
      <xdr:nvSpPr>
        <xdr:cNvPr id="70" name="Line 70"/>
        <xdr:cNvSpPr>
          <a:spLocks/>
        </xdr:cNvSpPr>
      </xdr:nvSpPr>
      <xdr:spPr>
        <a:xfrm>
          <a:off x="9639300" y="12430125"/>
          <a:ext cx="0" cy="2190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85</xdr:col>
      <xdr:colOff>0</xdr:colOff>
      <xdr:row>110</xdr:row>
      <xdr:rowOff>9525</xdr:rowOff>
    </xdr:from>
    <xdr:to>
      <xdr:col>92</xdr:col>
      <xdr:colOff>0</xdr:colOff>
      <xdr:row>110</xdr:row>
      <xdr:rowOff>9525</xdr:rowOff>
    </xdr:to>
    <xdr:sp>
      <xdr:nvSpPr>
        <xdr:cNvPr id="71" name="Line 71"/>
        <xdr:cNvSpPr>
          <a:spLocks/>
        </xdr:cNvSpPr>
      </xdr:nvSpPr>
      <xdr:spPr>
        <a:xfrm>
          <a:off x="8905875" y="12658725"/>
          <a:ext cx="733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99</xdr:col>
      <xdr:colOff>0</xdr:colOff>
      <xdr:row>108</xdr:row>
      <xdr:rowOff>0</xdr:rowOff>
    </xdr:from>
    <xdr:to>
      <xdr:col>99</xdr:col>
      <xdr:colOff>0</xdr:colOff>
      <xdr:row>118</xdr:row>
      <xdr:rowOff>9525</xdr:rowOff>
    </xdr:to>
    <xdr:sp>
      <xdr:nvSpPr>
        <xdr:cNvPr id="72" name="Line 72"/>
        <xdr:cNvSpPr>
          <a:spLocks/>
        </xdr:cNvSpPr>
      </xdr:nvSpPr>
      <xdr:spPr>
        <a:xfrm>
          <a:off x="10372725" y="12420600"/>
          <a:ext cx="0" cy="11525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108</xdr:row>
      <xdr:rowOff>0</xdr:rowOff>
    </xdr:from>
    <xdr:to>
      <xdr:col>55</xdr:col>
      <xdr:colOff>0</xdr:colOff>
      <xdr:row>113</xdr:row>
      <xdr:rowOff>0</xdr:rowOff>
    </xdr:to>
    <xdr:sp>
      <xdr:nvSpPr>
        <xdr:cNvPr id="73" name="Line 73"/>
        <xdr:cNvSpPr>
          <a:spLocks/>
        </xdr:cNvSpPr>
      </xdr:nvSpPr>
      <xdr:spPr>
        <a:xfrm>
          <a:off x="5762625" y="12420600"/>
          <a:ext cx="0" cy="571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112</xdr:row>
      <xdr:rowOff>85725</xdr:rowOff>
    </xdr:from>
    <xdr:to>
      <xdr:col>101</xdr:col>
      <xdr:colOff>0</xdr:colOff>
      <xdr:row>118</xdr:row>
      <xdr:rowOff>28575</xdr:rowOff>
    </xdr:to>
    <xdr:sp>
      <xdr:nvSpPr>
        <xdr:cNvPr id="74" name="Line 74"/>
        <xdr:cNvSpPr>
          <a:spLocks/>
        </xdr:cNvSpPr>
      </xdr:nvSpPr>
      <xdr:spPr>
        <a:xfrm>
          <a:off x="5553075" y="12963525"/>
          <a:ext cx="5029200" cy="628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9525</xdr:colOff>
      <xdr:row>108</xdr:row>
      <xdr:rowOff>0</xdr:rowOff>
    </xdr:from>
    <xdr:to>
      <xdr:col>78</xdr:col>
      <xdr:colOff>9525</xdr:colOff>
      <xdr:row>118</xdr:row>
      <xdr:rowOff>104775</xdr:rowOff>
    </xdr:to>
    <xdr:sp>
      <xdr:nvSpPr>
        <xdr:cNvPr id="75" name="Line 75"/>
        <xdr:cNvSpPr>
          <a:spLocks/>
        </xdr:cNvSpPr>
      </xdr:nvSpPr>
      <xdr:spPr>
        <a:xfrm>
          <a:off x="8181975" y="12420600"/>
          <a:ext cx="0" cy="1247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108</xdr:row>
      <xdr:rowOff>19050</xdr:rowOff>
    </xdr:from>
    <xdr:to>
      <xdr:col>70</xdr:col>
      <xdr:colOff>0</xdr:colOff>
      <xdr:row>119</xdr:row>
      <xdr:rowOff>9525</xdr:rowOff>
    </xdr:to>
    <xdr:sp>
      <xdr:nvSpPr>
        <xdr:cNvPr id="76" name="Line 76"/>
        <xdr:cNvSpPr>
          <a:spLocks/>
        </xdr:cNvSpPr>
      </xdr:nvSpPr>
      <xdr:spPr>
        <a:xfrm>
          <a:off x="7334250" y="12439650"/>
          <a:ext cx="0" cy="1247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108</xdr:row>
      <xdr:rowOff>19050</xdr:rowOff>
    </xdr:from>
    <xdr:to>
      <xdr:col>62</xdr:col>
      <xdr:colOff>0</xdr:colOff>
      <xdr:row>119</xdr:row>
      <xdr:rowOff>9525</xdr:rowOff>
    </xdr:to>
    <xdr:sp>
      <xdr:nvSpPr>
        <xdr:cNvPr id="77" name="Line 77"/>
        <xdr:cNvSpPr>
          <a:spLocks/>
        </xdr:cNvSpPr>
      </xdr:nvSpPr>
      <xdr:spPr>
        <a:xfrm>
          <a:off x="6496050" y="12439650"/>
          <a:ext cx="0" cy="1247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9525</xdr:colOff>
      <xdr:row>113</xdr:row>
      <xdr:rowOff>9525</xdr:rowOff>
    </xdr:from>
    <xdr:to>
      <xdr:col>61</xdr:col>
      <xdr:colOff>95250</xdr:colOff>
      <xdr:row>119</xdr:row>
      <xdr:rowOff>9525</xdr:rowOff>
    </xdr:to>
    <xdr:sp>
      <xdr:nvSpPr>
        <xdr:cNvPr id="78" name="Line 78"/>
        <xdr:cNvSpPr>
          <a:spLocks/>
        </xdr:cNvSpPr>
      </xdr:nvSpPr>
      <xdr:spPr>
        <a:xfrm>
          <a:off x="5772150" y="13001625"/>
          <a:ext cx="714375"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119</xdr:row>
      <xdr:rowOff>19050</xdr:rowOff>
    </xdr:from>
    <xdr:to>
      <xdr:col>78</xdr:col>
      <xdr:colOff>9525</xdr:colOff>
      <xdr:row>119</xdr:row>
      <xdr:rowOff>19050</xdr:rowOff>
    </xdr:to>
    <xdr:sp>
      <xdr:nvSpPr>
        <xdr:cNvPr id="79" name="Line 79"/>
        <xdr:cNvSpPr>
          <a:spLocks/>
        </xdr:cNvSpPr>
      </xdr:nvSpPr>
      <xdr:spPr>
        <a:xfrm>
          <a:off x="6496050" y="13696950"/>
          <a:ext cx="16859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19050</xdr:colOff>
      <xdr:row>110</xdr:row>
      <xdr:rowOff>9525</xdr:rowOff>
    </xdr:from>
    <xdr:to>
      <xdr:col>85</xdr:col>
      <xdr:colOff>0</xdr:colOff>
      <xdr:row>119</xdr:row>
      <xdr:rowOff>19050</xdr:rowOff>
    </xdr:to>
    <xdr:sp>
      <xdr:nvSpPr>
        <xdr:cNvPr id="80" name="Line 80"/>
        <xdr:cNvSpPr>
          <a:spLocks/>
        </xdr:cNvSpPr>
      </xdr:nvSpPr>
      <xdr:spPr>
        <a:xfrm flipV="1">
          <a:off x="8191500" y="12658725"/>
          <a:ext cx="714375" cy="10382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0</xdr:colOff>
      <xdr:row>110</xdr:row>
      <xdr:rowOff>9525</xdr:rowOff>
    </xdr:from>
    <xdr:to>
      <xdr:col>99</xdr:col>
      <xdr:colOff>0</xdr:colOff>
      <xdr:row>118</xdr:row>
      <xdr:rowOff>0</xdr:rowOff>
    </xdr:to>
    <xdr:sp>
      <xdr:nvSpPr>
        <xdr:cNvPr id="81" name="Line 81"/>
        <xdr:cNvSpPr>
          <a:spLocks/>
        </xdr:cNvSpPr>
      </xdr:nvSpPr>
      <xdr:spPr>
        <a:xfrm>
          <a:off x="9639300" y="12658725"/>
          <a:ext cx="733425" cy="904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114</xdr:row>
      <xdr:rowOff>0</xdr:rowOff>
    </xdr:from>
    <xdr:to>
      <xdr:col>55</xdr:col>
      <xdr:colOff>0</xdr:colOff>
      <xdr:row>123</xdr:row>
      <xdr:rowOff>0</xdr:rowOff>
    </xdr:to>
    <xdr:sp>
      <xdr:nvSpPr>
        <xdr:cNvPr id="82" name="Line 82"/>
        <xdr:cNvSpPr>
          <a:spLocks/>
        </xdr:cNvSpPr>
      </xdr:nvSpPr>
      <xdr:spPr>
        <a:xfrm>
          <a:off x="5762625" y="13106400"/>
          <a:ext cx="0"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120</xdr:row>
      <xdr:rowOff>0</xdr:rowOff>
    </xdr:from>
    <xdr:to>
      <xdr:col>62</xdr:col>
      <xdr:colOff>0</xdr:colOff>
      <xdr:row>123</xdr:row>
      <xdr:rowOff>9525</xdr:rowOff>
    </xdr:to>
    <xdr:sp>
      <xdr:nvSpPr>
        <xdr:cNvPr id="83" name="Line 83"/>
        <xdr:cNvSpPr>
          <a:spLocks/>
        </xdr:cNvSpPr>
      </xdr:nvSpPr>
      <xdr:spPr>
        <a:xfrm>
          <a:off x="6496050" y="1379220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122</xdr:row>
      <xdr:rowOff>57150</xdr:rowOff>
    </xdr:from>
    <xdr:to>
      <xdr:col>62</xdr:col>
      <xdr:colOff>0</xdr:colOff>
      <xdr:row>122</xdr:row>
      <xdr:rowOff>57150</xdr:rowOff>
    </xdr:to>
    <xdr:sp>
      <xdr:nvSpPr>
        <xdr:cNvPr id="84" name="Line 84"/>
        <xdr:cNvSpPr>
          <a:spLocks/>
        </xdr:cNvSpPr>
      </xdr:nvSpPr>
      <xdr:spPr>
        <a:xfrm>
          <a:off x="5762625" y="14077950"/>
          <a:ext cx="733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0</xdr:colOff>
      <xdr:row>120</xdr:row>
      <xdr:rowOff>0</xdr:rowOff>
    </xdr:from>
    <xdr:to>
      <xdr:col>78</xdr:col>
      <xdr:colOff>0</xdr:colOff>
      <xdr:row>123</xdr:row>
      <xdr:rowOff>0</xdr:rowOff>
    </xdr:to>
    <xdr:sp>
      <xdr:nvSpPr>
        <xdr:cNvPr id="85" name="Line 85"/>
        <xdr:cNvSpPr>
          <a:spLocks/>
        </xdr:cNvSpPr>
      </xdr:nvSpPr>
      <xdr:spPr>
        <a:xfrm>
          <a:off x="8172450" y="137922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85</xdr:col>
      <xdr:colOff>0</xdr:colOff>
      <xdr:row>111</xdr:row>
      <xdr:rowOff>9525</xdr:rowOff>
    </xdr:from>
    <xdr:to>
      <xdr:col>85</xdr:col>
      <xdr:colOff>0</xdr:colOff>
      <xdr:row>123</xdr:row>
      <xdr:rowOff>0</xdr:rowOff>
    </xdr:to>
    <xdr:sp>
      <xdr:nvSpPr>
        <xdr:cNvPr id="86" name="Line 86"/>
        <xdr:cNvSpPr>
          <a:spLocks/>
        </xdr:cNvSpPr>
      </xdr:nvSpPr>
      <xdr:spPr>
        <a:xfrm>
          <a:off x="8905875" y="12773025"/>
          <a:ext cx="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0</xdr:colOff>
      <xdr:row>111</xdr:row>
      <xdr:rowOff>0</xdr:rowOff>
    </xdr:from>
    <xdr:to>
      <xdr:col>92</xdr:col>
      <xdr:colOff>0</xdr:colOff>
      <xdr:row>123</xdr:row>
      <xdr:rowOff>9525</xdr:rowOff>
    </xdr:to>
    <xdr:sp>
      <xdr:nvSpPr>
        <xdr:cNvPr id="87" name="Line 87"/>
        <xdr:cNvSpPr>
          <a:spLocks/>
        </xdr:cNvSpPr>
      </xdr:nvSpPr>
      <xdr:spPr>
        <a:xfrm>
          <a:off x="9639300" y="12763500"/>
          <a:ext cx="0"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99</xdr:col>
      <xdr:colOff>0</xdr:colOff>
      <xdr:row>119</xdr:row>
      <xdr:rowOff>9525</xdr:rowOff>
    </xdr:from>
    <xdr:to>
      <xdr:col>99</xdr:col>
      <xdr:colOff>0</xdr:colOff>
      <xdr:row>123</xdr:row>
      <xdr:rowOff>0</xdr:rowOff>
    </xdr:to>
    <xdr:sp>
      <xdr:nvSpPr>
        <xdr:cNvPr id="88" name="Line 88"/>
        <xdr:cNvSpPr>
          <a:spLocks/>
        </xdr:cNvSpPr>
      </xdr:nvSpPr>
      <xdr:spPr>
        <a:xfrm>
          <a:off x="10372725" y="13687425"/>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0</xdr:colOff>
      <xdr:row>122</xdr:row>
      <xdr:rowOff>57150</xdr:rowOff>
    </xdr:from>
    <xdr:to>
      <xdr:col>78</xdr:col>
      <xdr:colOff>0</xdr:colOff>
      <xdr:row>122</xdr:row>
      <xdr:rowOff>57150</xdr:rowOff>
    </xdr:to>
    <xdr:sp>
      <xdr:nvSpPr>
        <xdr:cNvPr id="89" name="Line 89"/>
        <xdr:cNvSpPr>
          <a:spLocks/>
        </xdr:cNvSpPr>
      </xdr:nvSpPr>
      <xdr:spPr>
        <a:xfrm>
          <a:off x="6496050" y="14077950"/>
          <a:ext cx="16764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9525</xdr:colOff>
      <xdr:row>122</xdr:row>
      <xdr:rowOff>57150</xdr:rowOff>
    </xdr:from>
    <xdr:to>
      <xdr:col>85</xdr:col>
      <xdr:colOff>0</xdr:colOff>
      <xdr:row>122</xdr:row>
      <xdr:rowOff>57150</xdr:rowOff>
    </xdr:to>
    <xdr:sp>
      <xdr:nvSpPr>
        <xdr:cNvPr id="90" name="Line 90"/>
        <xdr:cNvSpPr>
          <a:spLocks/>
        </xdr:cNvSpPr>
      </xdr:nvSpPr>
      <xdr:spPr>
        <a:xfrm>
          <a:off x="8181975" y="14077950"/>
          <a:ext cx="7239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9525</xdr:colOff>
      <xdr:row>110</xdr:row>
      <xdr:rowOff>0</xdr:rowOff>
    </xdr:from>
    <xdr:to>
      <xdr:col>84</xdr:col>
      <xdr:colOff>9525</xdr:colOff>
      <xdr:row>110</xdr:row>
      <xdr:rowOff>0</xdr:rowOff>
    </xdr:to>
    <xdr:sp>
      <xdr:nvSpPr>
        <xdr:cNvPr id="91" name="Line 91"/>
        <xdr:cNvSpPr>
          <a:spLocks/>
        </xdr:cNvSpPr>
      </xdr:nvSpPr>
      <xdr:spPr>
        <a:xfrm flipH="1">
          <a:off x="7658100" y="126492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47625</xdr:colOff>
      <xdr:row>110</xdr:row>
      <xdr:rowOff>0</xdr:rowOff>
    </xdr:from>
    <xdr:to>
      <xdr:col>75</xdr:col>
      <xdr:colOff>47625</xdr:colOff>
      <xdr:row>119</xdr:row>
      <xdr:rowOff>19050</xdr:rowOff>
    </xdr:to>
    <xdr:sp>
      <xdr:nvSpPr>
        <xdr:cNvPr id="92" name="Line 92"/>
        <xdr:cNvSpPr>
          <a:spLocks/>
        </xdr:cNvSpPr>
      </xdr:nvSpPr>
      <xdr:spPr>
        <a:xfrm>
          <a:off x="7905750" y="12649200"/>
          <a:ext cx="0" cy="10477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85</xdr:col>
      <xdr:colOff>0</xdr:colOff>
      <xdr:row>122</xdr:row>
      <xdr:rowOff>57150</xdr:rowOff>
    </xdr:from>
    <xdr:to>
      <xdr:col>92</xdr:col>
      <xdr:colOff>0</xdr:colOff>
      <xdr:row>122</xdr:row>
      <xdr:rowOff>57150</xdr:rowOff>
    </xdr:to>
    <xdr:sp>
      <xdr:nvSpPr>
        <xdr:cNvPr id="93" name="Line 93"/>
        <xdr:cNvSpPr>
          <a:spLocks/>
        </xdr:cNvSpPr>
      </xdr:nvSpPr>
      <xdr:spPr>
        <a:xfrm>
          <a:off x="8905875" y="14077950"/>
          <a:ext cx="733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9525</xdr:colOff>
      <xdr:row>122</xdr:row>
      <xdr:rowOff>57150</xdr:rowOff>
    </xdr:from>
    <xdr:to>
      <xdr:col>99</xdr:col>
      <xdr:colOff>9525</xdr:colOff>
      <xdr:row>122</xdr:row>
      <xdr:rowOff>57150</xdr:rowOff>
    </xdr:to>
    <xdr:sp>
      <xdr:nvSpPr>
        <xdr:cNvPr id="94" name="Line 94"/>
        <xdr:cNvSpPr>
          <a:spLocks/>
        </xdr:cNvSpPr>
      </xdr:nvSpPr>
      <xdr:spPr>
        <a:xfrm>
          <a:off x="9648825" y="14077950"/>
          <a:ext cx="733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86</xdr:col>
      <xdr:colOff>28575</xdr:colOff>
      <xdr:row>0</xdr:row>
      <xdr:rowOff>104775</xdr:rowOff>
    </xdr:from>
    <xdr:to>
      <xdr:col>94</xdr:col>
      <xdr:colOff>95250</xdr:colOff>
      <xdr:row>3</xdr:row>
      <xdr:rowOff>9525</xdr:rowOff>
    </xdr:to>
    <xdr:pic>
      <xdr:nvPicPr>
        <xdr:cNvPr id="95" name="CommandButton1"/>
        <xdr:cNvPicPr preferRelativeResize="1">
          <a:picLocks noChangeAspect="0"/>
        </xdr:cNvPicPr>
      </xdr:nvPicPr>
      <xdr:blipFill>
        <a:blip r:embed="rId1"/>
        <a:stretch>
          <a:fillRect/>
        </a:stretch>
      </xdr:blipFill>
      <xdr:spPr>
        <a:xfrm>
          <a:off x="9039225" y="104775"/>
          <a:ext cx="904875" cy="3238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F35"/>
  <sheetViews>
    <sheetView showGridLines="0" workbookViewId="0" topLeftCell="A1">
      <selection activeCell="A1" sqref="A1"/>
    </sheetView>
  </sheetViews>
  <sheetFormatPr defaultColWidth="9.140625" defaultRowHeight="12.75"/>
  <cols>
    <col min="1" max="1" width="90.7109375" style="0" customWidth="1"/>
  </cols>
  <sheetData>
    <row r="1" ht="12.75" customHeight="1">
      <c r="A1" s="432" t="s">
        <v>407</v>
      </c>
    </row>
    <row r="2" ht="12" customHeight="1">
      <c r="A2" s="433" t="s">
        <v>406</v>
      </c>
    </row>
    <row r="3" ht="12.75">
      <c r="A3" s="357"/>
    </row>
    <row r="4" ht="12.75">
      <c r="A4" s="358" t="s">
        <v>248</v>
      </c>
    </row>
    <row r="5" ht="38.25">
      <c r="A5" s="359" t="s">
        <v>401</v>
      </c>
    </row>
    <row r="6" ht="12.75">
      <c r="A6" s="352"/>
    </row>
    <row r="7" ht="12.75" customHeight="1">
      <c r="A7" s="358" t="s">
        <v>243</v>
      </c>
    </row>
    <row r="8" spans="1:6" ht="63.75">
      <c r="A8" s="360" t="s">
        <v>402</v>
      </c>
      <c r="B8" s="352"/>
      <c r="C8" s="352"/>
      <c r="D8" s="352"/>
      <c r="E8" s="352"/>
      <c r="F8" s="352"/>
    </row>
    <row r="9" ht="12.75">
      <c r="A9" s="360"/>
    </row>
    <row r="10" ht="38.25">
      <c r="A10" s="361" t="s">
        <v>249</v>
      </c>
    </row>
    <row r="11" ht="12.75">
      <c r="A11" s="359"/>
    </row>
    <row r="12" ht="12.75">
      <c r="A12" s="356" t="s">
        <v>333</v>
      </c>
    </row>
    <row r="13" ht="38.25">
      <c r="A13" s="360" t="s">
        <v>348</v>
      </c>
    </row>
    <row r="14" ht="12.75">
      <c r="A14" s="352"/>
    </row>
    <row r="15" ht="12.75">
      <c r="A15" s="358" t="s">
        <v>335</v>
      </c>
    </row>
    <row r="16" ht="102">
      <c r="A16" s="356" t="s">
        <v>336</v>
      </c>
    </row>
    <row r="17" ht="59.25" customHeight="1">
      <c r="A17" s="412" t="s">
        <v>341</v>
      </c>
    </row>
    <row r="18" ht="12.75">
      <c r="A18" s="352"/>
    </row>
    <row r="19" ht="12.75">
      <c r="A19" s="358" t="s">
        <v>337</v>
      </c>
    </row>
    <row r="20" ht="114.75">
      <c r="A20" s="359" t="s">
        <v>338</v>
      </c>
    </row>
    <row r="21" ht="48" customHeight="1">
      <c r="A21" s="402" t="s">
        <v>1</v>
      </c>
    </row>
    <row r="22" ht="12.75">
      <c r="A22" s="402"/>
    </row>
    <row r="23" ht="12.75">
      <c r="A23" s="431" t="s">
        <v>403</v>
      </c>
    </row>
    <row r="24" ht="23.25" customHeight="1">
      <c r="A24" s="358" t="s">
        <v>247</v>
      </c>
    </row>
    <row r="25" ht="127.5">
      <c r="A25" s="360" t="s">
        <v>340</v>
      </c>
    </row>
    <row r="26" ht="88.5" customHeight="1">
      <c r="A26" s="413" t="s">
        <v>399</v>
      </c>
    </row>
    <row r="27" ht="109.5" customHeight="1">
      <c r="A27" s="352" t="s">
        <v>339</v>
      </c>
    </row>
    <row r="29" ht="12.75">
      <c r="A29" s="358" t="s">
        <v>408</v>
      </c>
    </row>
    <row r="30" ht="51">
      <c r="A30" s="352" t="s">
        <v>345</v>
      </c>
    </row>
    <row r="31" ht="49.5" customHeight="1">
      <c r="A31" s="402" t="s">
        <v>404</v>
      </c>
    </row>
    <row r="32" ht="88.5" customHeight="1">
      <c r="A32" s="352" t="s">
        <v>405</v>
      </c>
    </row>
    <row r="33" ht="12.75">
      <c r="A33" s="360"/>
    </row>
    <row r="34" ht="12.75">
      <c r="A34" s="356" t="s">
        <v>334</v>
      </c>
    </row>
    <row r="35" ht="63.75">
      <c r="A35" s="360" t="s">
        <v>0</v>
      </c>
    </row>
  </sheetData>
  <sheetProtection password="B271" sheet="1" objects="1" scenarios="1"/>
  <printOptions/>
  <pageMargins left="0.75" right="0.5" top="0.75" bottom="0.75" header="0.5" footer="0.5"/>
  <pageSetup horizontalDpi="600" verticalDpi="600" orientation="portrait" scale="96" r:id="rId1"/>
  <rowBreaks count="1" manualBreakCount="1">
    <brk id="22" max="255" man="1"/>
  </rowBreaks>
</worksheet>
</file>

<file path=xl/worksheets/sheet2.xml><?xml version="1.0" encoding="utf-8"?>
<worksheet xmlns="http://schemas.openxmlformats.org/spreadsheetml/2006/main" xmlns:r="http://schemas.openxmlformats.org/officeDocument/2006/relationships">
  <sheetPr codeName="Sheet5">
    <pageSetUpPr fitToPage="1"/>
  </sheetPr>
  <dimension ref="A1:BF80"/>
  <sheetViews>
    <sheetView showGridLines="0" tabSelected="1" workbookViewId="0" topLeftCell="A1">
      <selection activeCell="G4" sqref="G4:P5"/>
    </sheetView>
  </sheetViews>
  <sheetFormatPr defaultColWidth="9.140625" defaultRowHeight="12.75"/>
  <cols>
    <col min="1" max="18" width="2.7109375" style="27" customWidth="1"/>
    <col min="19" max="22" width="3.7109375" style="27" customWidth="1"/>
    <col min="23" max="47" width="2.7109375" style="27" customWidth="1"/>
    <col min="48" max="52" width="2.7109375" style="27" hidden="1" customWidth="1"/>
    <col min="53" max="53" width="0" style="27" hidden="1" customWidth="1"/>
    <col min="54" max="16384" width="9.140625" style="27" customWidth="1"/>
  </cols>
  <sheetData>
    <row r="1" spans="2:37" ht="12.75" customHeight="1">
      <c r="B1" s="452" t="s">
        <v>125</v>
      </c>
      <c r="C1" s="452"/>
      <c r="D1" s="453"/>
      <c r="E1" s="81"/>
      <c r="F1" s="81"/>
      <c r="G1" s="81"/>
      <c r="H1" s="466" t="s">
        <v>327</v>
      </c>
      <c r="I1" s="467"/>
      <c r="J1" s="467"/>
      <c r="K1" s="467"/>
      <c r="L1" s="467"/>
      <c r="M1" s="467"/>
      <c r="N1" s="467"/>
      <c r="O1" s="467"/>
      <c r="P1" s="467"/>
      <c r="Q1" s="467"/>
      <c r="R1" s="467"/>
      <c r="S1" s="467"/>
      <c r="T1" s="467"/>
      <c r="U1" s="467"/>
      <c r="V1" s="467"/>
      <c r="W1" s="467"/>
      <c r="X1" s="467"/>
      <c r="Y1" s="467"/>
      <c r="Z1" s="467"/>
      <c r="AA1" s="467"/>
      <c r="AB1" s="467"/>
      <c r="AC1" s="81"/>
      <c r="AD1" s="81"/>
      <c r="AE1" s="464" t="s">
        <v>240</v>
      </c>
      <c r="AF1" s="464"/>
      <c r="AG1" s="464"/>
      <c r="AH1" s="464"/>
      <c r="AI1" s="464"/>
      <c r="AJ1" s="82"/>
      <c r="AK1" s="47"/>
    </row>
    <row r="2" spans="1:52" ht="12.75" customHeight="1">
      <c r="A2" s="164" t="s">
        <v>182</v>
      </c>
      <c r="B2" s="497" t="s">
        <v>126</v>
      </c>
      <c r="C2" s="497"/>
      <c r="D2" s="454"/>
      <c r="E2" s="81"/>
      <c r="F2" s="81"/>
      <c r="G2" s="81"/>
      <c r="H2" s="449"/>
      <c r="I2" s="449"/>
      <c r="J2" s="449"/>
      <c r="K2" s="449"/>
      <c r="L2" s="449"/>
      <c r="M2" s="449"/>
      <c r="N2" s="449"/>
      <c r="O2" s="449"/>
      <c r="P2" s="449"/>
      <c r="Q2" s="449"/>
      <c r="R2" s="449"/>
      <c r="S2" s="449"/>
      <c r="T2" s="449"/>
      <c r="U2" s="449"/>
      <c r="V2" s="449"/>
      <c r="W2" s="449"/>
      <c r="X2" s="449"/>
      <c r="Y2" s="449"/>
      <c r="Z2" s="449"/>
      <c r="AA2" s="449"/>
      <c r="AB2" s="449"/>
      <c r="AC2" s="81"/>
      <c r="AD2" s="81"/>
      <c r="AE2" s="465" t="s">
        <v>397</v>
      </c>
      <c r="AF2" s="494"/>
      <c r="AG2" s="494"/>
      <c r="AH2" s="494"/>
      <c r="AI2" s="494"/>
      <c r="AJ2" s="82"/>
      <c r="AK2" s="47"/>
      <c r="AW2" s="504" t="s">
        <v>349</v>
      </c>
      <c r="AX2" s="505"/>
      <c r="AY2" s="505"/>
      <c r="AZ2" s="505"/>
    </row>
    <row r="3" spans="1:58" ht="9" customHeight="1">
      <c r="A3" s="48"/>
      <c r="B3" s="83"/>
      <c r="C3" s="83"/>
      <c r="D3" s="83"/>
      <c r="E3" s="83"/>
      <c r="F3" s="83"/>
      <c r="G3" s="83"/>
      <c r="H3" s="83"/>
      <c r="I3" s="83"/>
      <c r="J3" s="83"/>
      <c r="K3" s="84"/>
      <c r="L3" s="83"/>
      <c r="M3" s="83"/>
      <c r="N3" s="83"/>
      <c r="O3" s="83"/>
      <c r="P3" s="83"/>
      <c r="Q3" s="83"/>
      <c r="R3" s="83"/>
      <c r="S3" s="83"/>
      <c r="T3" s="83"/>
      <c r="U3" s="83"/>
      <c r="V3" s="83"/>
      <c r="W3" s="83"/>
      <c r="X3" s="83"/>
      <c r="Y3" s="83"/>
      <c r="Z3" s="83"/>
      <c r="AA3" s="83"/>
      <c r="AB3" s="83"/>
      <c r="AC3" s="83"/>
      <c r="AD3" s="83"/>
      <c r="AE3" s="83"/>
      <c r="AF3" s="83"/>
      <c r="AG3" s="83"/>
      <c r="AH3" s="83"/>
      <c r="AW3" s="505"/>
      <c r="AX3" s="505"/>
      <c r="AY3" s="505"/>
      <c r="AZ3" s="505"/>
      <c r="BD3" s="83"/>
      <c r="BE3" s="85"/>
      <c r="BF3" s="49"/>
    </row>
    <row r="4" spans="1:52" ht="12" customHeight="1">
      <c r="A4" s="50"/>
      <c r="B4" s="497" t="s">
        <v>127</v>
      </c>
      <c r="C4" s="454"/>
      <c r="D4" s="454"/>
      <c r="E4" s="490"/>
      <c r="F4" s="490"/>
      <c r="G4" s="456"/>
      <c r="H4" s="456"/>
      <c r="I4" s="456"/>
      <c r="J4" s="456"/>
      <c r="K4" s="456"/>
      <c r="L4" s="456"/>
      <c r="M4" s="456"/>
      <c r="N4" s="456"/>
      <c r="O4" s="456"/>
      <c r="P4" s="456"/>
      <c r="Q4" s="87"/>
      <c r="S4" s="29"/>
      <c r="T4" s="19" t="s">
        <v>184</v>
      </c>
      <c r="U4" s="29"/>
      <c r="V4" s="29"/>
      <c r="W4" s="456"/>
      <c r="X4" s="456"/>
      <c r="Y4" s="456"/>
      <c r="Z4" s="456"/>
      <c r="AA4" s="456"/>
      <c r="AB4" s="456"/>
      <c r="AC4" s="456"/>
      <c r="AD4" s="456"/>
      <c r="AE4" s="456"/>
      <c r="AF4" s="456"/>
      <c r="AG4" s="456"/>
      <c r="AH4" s="86"/>
      <c r="AW4" s="505"/>
      <c r="AX4" s="505"/>
      <c r="AY4" s="505"/>
      <c r="AZ4" s="505"/>
    </row>
    <row r="5" spans="1:52" ht="1.5" customHeight="1">
      <c r="A5" s="48"/>
      <c r="B5" s="490"/>
      <c r="C5" s="490"/>
      <c r="D5" s="490"/>
      <c r="E5" s="490"/>
      <c r="F5" s="490"/>
      <c r="G5" s="492"/>
      <c r="H5" s="492"/>
      <c r="I5" s="492"/>
      <c r="J5" s="492"/>
      <c r="K5" s="492"/>
      <c r="L5" s="492"/>
      <c r="M5" s="492"/>
      <c r="N5" s="492"/>
      <c r="O5" s="492"/>
      <c r="P5" s="492"/>
      <c r="Q5" s="88"/>
      <c r="R5" s="29"/>
      <c r="S5" s="29"/>
      <c r="T5" s="29"/>
      <c r="U5" s="29"/>
      <c r="V5" s="29"/>
      <c r="W5" s="492"/>
      <c r="X5" s="492"/>
      <c r="Y5" s="492"/>
      <c r="Z5" s="492"/>
      <c r="AA5" s="492"/>
      <c r="AB5" s="492"/>
      <c r="AC5" s="492"/>
      <c r="AD5" s="492"/>
      <c r="AE5" s="492"/>
      <c r="AF5" s="492"/>
      <c r="AG5" s="492"/>
      <c r="AH5" s="88"/>
      <c r="AW5" s="505"/>
      <c r="AX5" s="505"/>
      <c r="AY5" s="505"/>
      <c r="AZ5" s="505"/>
    </row>
    <row r="6" spans="1:34" ht="12" customHeight="1">
      <c r="A6" s="50"/>
      <c r="B6" s="497" t="s">
        <v>128</v>
      </c>
      <c r="C6" s="490"/>
      <c r="D6" s="490"/>
      <c r="E6" s="490"/>
      <c r="F6" s="490"/>
      <c r="G6" s="491"/>
      <c r="H6" s="491"/>
      <c r="I6" s="491"/>
      <c r="J6" s="491"/>
      <c r="K6" s="491"/>
      <c r="L6" s="491"/>
      <c r="M6" s="491"/>
      <c r="N6" s="491"/>
      <c r="O6" s="491"/>
      <c r="P6" s="491"/>
      <c r="Q6" s="89"/>
      <c r="S6" s="29"/>
      <c r="T6" s="19" t="s">
        <v>129</v>
      </c>
      <c r="U6" s="29"/>
      <c r="V6" s="29"/>
      <c r="W6" s="491"/>
      <c r="X6" s="491"/>
      <c r="Y6" s="491"/>
      <c r="Z6" s="491"/>
      <c r="AA6" s="491"/>
      <c r="AB6" s="491"/>
      <c r="AC6" s="491"/>
      <c r="AD6" s="491"/>
      <c r="AE6" s="491"/>
      <c r="AF6" s="491"/>
      <c r="AG6" s="491"/>
      <c r="AH6" s="90"/>
    </row>
    <row r="7" spans="1:34" ht="1.5" customHeight="1">
      <c r="A7" s="48"/>
      <c r="B7" s="490"/>
      <c r="C7" s="490"/>
      <c r="D7" s="490"/>
      <c r="E7" s="490"/>
      <c r="F7" s="490"/>
      <c r="G7" s="492"/>
      <c r="H7" s="492"/>
      <c r="I7" s="492"/>
      <c r="J7" s="492"/>
      <c r="K7" s="492"/>
      <c r="L7" s="492"/>
      <c r="M7" s="492"/>
      <c r="N7" s="492"/>
      <c r="O7" s="492"/>
      <c r="P7" s="492"/>
      <c r="Q7" s="91"/>
      <c r="R7" s="29"/>
      <c r="S7" s="29"/>
      <c r="T7" s="29"/>
      <c r="U7" s="29"/>
      <c r="V7" s="29"/>
      <c r="W7" s="350"/>
      <c r="X7" s="350"/>
      <c r="Y7" s="350"/>
      <c r="Z7" s="350"/>
      <c r="AA7" s="350"/>
      <c r="AB7" s="350"/>
      <c r="AC7" s="350"/>
      <c r="AD7" s="350"/>
      <c r="AE7" s="350"/>
      <c r="AF7" s="350"/>
      <c r="AG7" s="350"/>
      <c r="AH7" s="91"/>
    </row>
    <row r="8" spans="1:51" ht="12" customHeight="1">
      <c r="A8" s="50"/>
      <c r="B8" s="497" t="s">
        <v>131</v>
      </c>
      <c r="C8" s="490"/>
      <c r="D8" s="490"/>
      <c r="E8" s="490"/>
      <c r="F8" s="490"/>
      <c r="G8" s="491"/>
      <c r="H8" s="491"/>
      <c r="I8" s="491"/>
      <c r="J8" s="491"/>
      <c r="K8" s="491"/>
      <c r="L8" s="491"/>
      <c r="M8" s="491"/>
      <c r="N8" s="491"/>
      <c r="O8" s="491"/>
      <c r="P8" s="491"/>
      <c r="Q8" s="92"/>
      <c r="S8" s="181"/>
      <c r="T8" s="86" t="s">
        <v>130</v>
      </c>
      <c r="U8" s="181"/>
      <c r="V8" s="181"/>
      <c r="W8" s="457"/>
      <c r="X8" s="457"/>
      <c r="Y8" s="457"/>
      <c r="Z8" s="457"/>
      <c r="AA8" s="457"/>
      <c r="AB8" s="457"/>
      <c r="AC8" s="457"/>
      <c r="AD8" s="457"/>
      <c r="AE8" s="457"/>
      <c r="AF8" s="457"/>
      <c r="AG8" s="457"/>
      <c r="AH8" s="93"/>
      <c r="AY8" s="27" t="s">
        <v>289</v>
      </c>
    </row>
    <row r="9" spans="1:37" ht="1.5" customHeight="1">
      <c r="A9" s="50"/>
      <c r="B9" s="490"/>
      <c r="C9" s="490"/>
      <c r="D9" s="490"/>
      <c r="E9" s="490"/>
      <c r="F9" s="490"/>
      <c r="G9" s="492"/>
      <c r="H9" s="492"/>
      <c r="I9" s="492"/>
      <c r="J9" s="492"/>
      <c r="K9" s="492"/>
      <c r="L9" s="492"/>
      <c r="M9" s="492"/>
      <c r="N9" s="492"/>
      <c r="O9" s="492"/>
      <c r="P9" s="492"/>
      <c r="Q9" s="92"/>
      <c r="S9" s="181"/>
      <c r="T9" s="181"/>
      <c r="U9" s="181"/>
      <c r="V9" s="181"/>
      <c r="W9" s="458"/>
      <c r="X9" s="458"/>
      <c r="Y9" s="458"/>
      <c r="Z9" s="458"/>
      <c r="AA9" s="458"/>
      <c r="AB9" s="458"/>
      <c r="AC9" s="458"/>
      <c r="AD9" s="458"/>
      <c r="AE9" s="458"/>
      <c r="AF9" s="458"/>
      <c r="AG9" s="458"/>
      <c r="AH9" s="93"/>
      <c r="AI9" s="94"/>
      <c r="AJ9" s="95"/>
      <c r="AK9" s="51"/>
    </row>
    <row r="10" spans="2:52" ht="13.5" customHeight="1">
      <c r="B10" s="495" t="s">
        <v>133</v>
      </c>
      <c r="C10" s="490"/>
      <c r="D10" s="490"/>
      <c r="E10" s="490"/>
      <c r="F10" s="490"/>
      <c r="G10" s="493"/>
      <c r="H10" s="493"/>
      <c r="I10" s="493"/>
      <c r="J10" s="493"/>
      <c r="K10" s="493"/>
      <c r="L10" s="493"/>
      <c r="M10" s="493"/>
      <c r="N10" s="493"/>
      <c r="O10" s="493"/>
      <c r="P10" s="493"/>
      <c r="Q10" s="81"/>
      <c r="S10" s="29"/>
      <c r="T10" s="416" t="s">
        <v>130</v>
      </c>
      <c r="U10" s="29"/>
      <c r="V10" s="29"/>
      <c r="W10" s="455"/>
      <c r="X10" s="455"/>
      <c r="Y10" s="455"/>
      <c r="Z10" s="455"/>
      <c r="AA10" s="455"/>
      <c r="AB10" s="455"/>
      <c r="AC10" s="455"/>
      <c r="AD10" s="455"/>
      <c r="AE10" s="455"/>
      <c r="AF10" s="455"/>
      <c r="AG10" s="455"/>
      <c r="AH10" s="81"/>
      <c r="AI10" s="81"/>
      <c r="AK10" s="47"/>
      <c r="AZ10" s="382">
        <f>IF($W$6="",1,VLOOKUP($W$6,lookup!$A$5:$J$110,10))</f>
        <v>1</v>
      </c>
    </row>
    <row r="11" spans="2:52" ht="9" customHeight="1">
      <c r="B11" s="81"/>
      <c r="C11" s="97"/>
      <c r="D11" s="97"/>
      <c r="E11" s="97"/>
      <c r="F11" s="97"/>
      <c r="G11" s="97"/>
      <c r="H11" s="97"/>
      <c r="I11" s="98"/>
      <c r="J11" s="99"/>
      <c r="K11" s="99"/>
      <c r="L11" s="99"/>
      <c r="M11" s="99"/>
      <c r="N11" s="99"/>
      <c r="O11" s="99"/>
      <c r="P11" s="99"/>
      <c r="Q11" s="81"/>
      <c r="R11" s="100"/>
      <c r="S11" s="81"/>
      <c r="T11" s="96"/>
      <c r="U11" s="96"/>
      <c r="V11" s="96"/>
      <c r="W11" s="96"/>
      <c r="X11" s="101"/>
      <c r="Y11" s="97"/>
      <c r="Z11" s="97"/>
      <c r="AA11" s="97"/>
      <c r="AB11" s="97"/>
      <c r="AC11" s="81"/>
      <c r="AD11" s="81"/>
      <c r="AE11" s="81"/>
      <c r="AF11" s="81"/>
      <c r="AG11" s="81"/>
      <c r="AH11" s="81"/>
      <c r="AI11" s="81"/>
      <c r="AK11" s="47"/>
      <c r="AZ11" s="52"/>
    </row>
    <row r="12" spans="2:52" ht="12" customHeight="1">
      <c r="B12" s="97"/>
      <c r="C12" s="494"/>
      <c r="D12" s="490"/>
      <c r="E12" s="490"/>
      <c r="F12" s="490"/>
      <c r="G12" s="509"/>
      <c r="H12" s="509"/>
      <c r="I12" s="509"/>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K12" s="47"/>
      <c r="AZ12" s="53"/>
    </row>
    <row r="13" spans="2:52" ht="4.5" customHeight="1" thickBot="1">
      <c r="B13" s="97"/>
      <c r="C13" s="97"/>
      <c r="D13" s="97"/>
      <c r="E13" s="97"/>
      <c r="F13" s="97"/>
      <c r="G13" s="97"/>
      <c r="H13" s="97"/>
      <c r="I13" s="92"/>
      <c r="J13" s="92"/>
      <c r="K13" s="92"/>
      <c r="L13" s="92"/>
      <c r="M13" s="92"/>
      <c r="N13" s="92"/>
      <c r="O13" s="92"/>
      <c r="P13" s="92"/>
      <c r="Q13" s="92"/>
      <c r="R13" s="92"/>
      <c r="S13" s="92"/>
      <c r="T13" s="92"/>
      <c r="U13" s="92"/>
      <c r="V13" s="92"/>
      <c r="W13" s="92"/>
      <c r="X13" s="92"/>
      <c r="Y13" s="97"/>
      <c r="Z13" s="97"/>
      <c r="AA13" s="97"/>
      <c r="AB13" s="97"/>
      <c r="AC13" s="92"/>
      <c r="AD13" s="92"/>
      <c r="AE13" s="92"/>
      <c r="AF13" s="92"/>
      <c r="AG13" s="92"/>
      <c r="AH13" s="92"/>
      <c r="AI13" s="92"/>
      <c r="AK13" s="47"/>
      <c r="AZ13" s="53"/>
    </row>
    <row r="14" spans="2:52" ht="12.75">
      <c r="B14" s="102"/>
      <c r="C14" s="351"/>
      <c r="D14" s="351"/>
      <c r="E14" s="351"/>
      <c r="F14" s="351"/>
      <c r="G14" s="351"/>
      <c r="H14" s="351"/>
      <c r="I14" s="351"/>
      <c r="J14" s="351"/>
      <c r="K14" s="351"/>
      <c r="L14" s="351"/>
      <c r="M14" s="351"/>
      <c r="N14" s="351"/>
      <c r="O14" s="103"/>
      <c r="P14" s="103"/>
      <c r="Q14" s="103"/>
      <c r="R14" s="103"/>
      <c r="S14" s="103"/>
      <c r="T14" s="103"/>
      <c r="U14" s="103"/>
      <c r="V14" s="103"/>
      <c r="W14" s="103"/>
      <c r="X14" s="103"/>
      <c r="Y14" s="103"/>
      <c r="Z14" s="103"/>
      <c r="AA14" s="103"/>
      <c r="AB14" s="103"/>
      <c r="AC14" s="103"/>
      <c r="AD14" s="103"/>
      <c r="AE14" s="103"/>
      <c r="AF14" s="103"/>
      <c r="AG14" s="103"/>
      <c r="AH14" s="103"/>
      <c r="AI14" s="104"/>
      <c r="AM14" s="242"/>
      <c r="AN14" s="242"/>
      <c r="AO14" s="242"/>
      <c r="AP14" s="242"/>
      <c r="AQ14" s="242"/>
      <c r="AT14" s="242"/>
      <c r="AU14" s="242"/>
      <c r="AV14" s="242"/>
      <c r="AW14" s="242"/>
      <c r="AX14" s="242"/>
      <c r="AY14" s="242"/>
      <c r="AZ14" s="242"/>
    </row>
    <row r="15" spans="2:52" ht="12.75">
      <c r="B15" s="105"/>
      <c r="C15" s="507" t="s">
        <v>148</v>
      </c>
      <c r="D15" s="510"/>
      <c r="E15" s="510"/>
      <c r="F15" s="510"/>
      <c r="G15" s="510"/>
      <c r="H15" s="182"/>
      <c r="I15" s="284"/>
      <c r="J15" s="499" t="s">
        <v>145</v>
      </c>
      <c r="K15" s="501"/>
      <c r="L15" s="501"/>
      <c r="M15" s="182"/>
      <c r="N15" s="97"/>
      <c r="O15" s="97"/>
      <c r="P15" s="97"/>
      <c r="Q15" s="97"/>
      <c r="R15" s="97"/>
      <c r="S15" s="97"/>
      <c r="T15" s="97"/>
      <c r="U15" s="97"/>
      <c r="V15" s="97"/>
      <c r="W15" s="97"/>
      <c r="X15" s="97"/>
      <c r="Y15" s="97"/>
      <c r="Z15" s="97"/>
      <c r="AA15" s="97"/>
      <c r="AB15" s="97"/>
      <c r="AC15" s="97"/>
      <c r="AD15" s="97"/>
      <c r="AE15" s="97"/>
      <c r="AF15" s="97"/>
      <c r="AG15" s="97"/>
      <c r="AH15" s="97"/>
      <c r="AI15" s="107"/>
      <c r="AM15" s="242"/>
      <c r="AN15" s="242"/>
      <c r="AO15" s="242"/>
      <c r="AP15" s="242"/>
      <c r="AQ15" s="242"/>
      <c r="AT15" s="242"/>
      <c r="AU15" s="242"/>
      <c r="AV15" s="242"/>
      <c r="AW15" s="242"/>
      <c r="AX15" s="242"/>
      <c r="AY15" s="242"/>
      <c r="AZ15" s="242"/>
    </row>
    <row r="16" spans="2:52" ht="12.75">
      <c r="B16" s="105"/>
      <c r="C16" s="46"/>
      <c r="D16" s="122"/>
      <c r="E16" s="122"/>
      <c r="F16" s="122"/>
      <c r="G16" s="403"/>
      <c r="H16" s="89"/>
      <c r="I16" s="377"/>
      <c r="J16" s="89"/>
      <c r="K16" s="404"/>
      <c r="L16" s="404"/>
      <c r="M16" s="89"/>
      <c r="N16" s="21"/>
      <c r="O16" s="97"/>
      <c r="P16" s="97"/>
      <c r="Q16" s="97"/>
      <c r="R16" s="97"/>
      <c r="S16" s="97"/>
      <c r="T16" s="97"/>
      <c r="U16" s="97"/>
      <c r="V16" s="97"/>
      <c r="W16" s="97"/>
      <c r="X16" s="97"/>
      <c r="Y16" s="97"/>
      <c r="Z16" s="97"/>
      <c r="AA16" s="97"/>
      <c r="AB16" s="97"/>
      <c r="AC16" s="97"/>
      <c r="AD16" s="97"/>
      <c r="AE16" s="97"/>
      <c r="AF16" s="97"/>
      <c r="AG16" s="97"/>
      <c r="AH16" s="97"/>
      <c r="AI16" s="107"/>
      <c r="AM16" s="242"/>
      <c r="AN16" s="242"/>
      <c r="AO16" s="242"/>
      <c r="AP16" s="242"/>
      <c r="AQ16" s="242"/>
      <c r="AT16" s="242"/>
      <c r="AU16" s="242"/>
      <c r="AV16" s="242"/>
      <c r="AW16" s="242"/>
      <c r="AX16" s="242"/>
      <c r="AY16" s="242"/>
      <c r="AZ16" s="242"/>
    </row>
    <row r="17" spans="2:52" ht="12.75">
      <c r="B17" s="105"/>
      <c r="C17" s="507" t="s">
        <v>155</v>
      </c>
      <c r="D17" s="507"/>
      <c r="E17" s="507"/>
      <c r="F17" s="507"/>
      <c r="G17" s="507"/>
      <c r="H17" s="503">
        <f>IF(H19="","",VLOOKUP($W$6,lookup!$A$5:$I$109,9))</f>
      </c>
      <c r="I17" s="503"/>
      <c r="J17" s="106">
        <f>IF(H19="","",IF(H19&gt;H17,"Stream Obstruction Permit may be needed",""))</f>
      </c>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107"/>
      <c r="AK17" s="47"/>
      <c r="AZ17" s="53"/>
    </row>
    <row r="18" spans="2:52" ht="12.75">
      <c r="B18" s="105"/>
      <c r="C18" s="46"/>
      <c r="D18" s="46"/>
      <c r="E18" s="46"/>
      <c r="F18" s="46"/>
      <c r="G18" s="46"/>
      <c r="H18" s="370"/>
      <c r="I18" s="370"/>
      <c r="J18" s="106"/>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107"/>
      <c r="AK18" s="47"/>
      <c r="AY18" s="27" t="s">
        <v>290</v>
      </c>
      <c r="AZ18" s="53"/>
    </row>
    <row r="19" spans="2:52" ht="12.75">
      <c r="B19" s="105"/>
      <c r="C19" s="507" t="s">
        <v>296</v>
      </c>
      <c r="D19" s="507"/>
      <c r="E19" s="507"/>
      <c r="F19" s="507"/>
      <c r="G19" s="507"/>
      <c r="H19" s="508">
        <f>'CN calc'!D48</f>
      </c>
      <c r="I19" s="508"/>
      <c r="J19" s="97" t="s">
        <v>134</v>
      </c>
      <c r="K19" s="97"/>
      <c r="L19" s="284"/>
      <c r="M19" s="481">
        <f>IF(H19="","",ROUND(H19/640,2))</f>
      </c>
      <c r="N19" s="481"/>
      <c r="O19" s="97" t="s">
        <v>400</v>
      </c>
      <c r="P19" s="97"/>
      <c r="Q19" s="471" t="s">
        <v>281</v>
      </c>
      <c r="R19" s="471"/>
      <c r="S19" s="471"/>
      <c r="T19" s="471"/>
      <c r="U19" s="470"/>
      <c r="V19" s="470"/>
      <c r="W19" s="27" t="s">
        <v>282</v>
      </c>
      <c r="Y19" s="472" t="s">
        <v>283</v>
      </c>
      <c r="Z19" s="472"/>
      <c r="AA19" s="472"/>
      <c r="AB19" s="472"/>
      <c r="AC19" s="472"/>
      <c r="AD19" s="472"/>
      <c r="AE19" s="477"/>
      <c r="AF19" s="477"/>
      <c r="AG19" s="27" t="s">
        <v>31</v>
      </c>
      <c r="AI19" s="243"/>
      <c r="AZ19" s="383" t="str">
        <f>IF($M$19="","true","false")</f>
        <v>true</v>
      </c>
    </row>
    <row r="20" spans="2:35" ht="12.75">
      <c r="B20" s="105"/>
      <c r="C20" s="506" t="s">
        <v>297</v>
      </c>
      <c r="D20" s="506"/>
      <c r="E20" s="506"/>
      <c r="F20" s="506"/>
      <c r="G20" s="506"/>
      <c r="H20" s="498"/>
      <c r="I20" s="498"/>
      <c r="J20" s="498"/>
      <c r="K20" s="498"/>
      <c r="L20" s="498"/>
      <c r="M20" s="508">
        <f>IF('CN calc'!D49&gt;60,'CN calc'!D49,60)</f>
      </c>
      <c r="N20" s="473"/>
      <c r="O20" s="97"/>
      <c r="P20" s="468" t="s">
        <v>298</v>
      </c>
      <c r="Q20" s="501"/>
      <c r="R20" s="501"/>
      <c r="S20" s="501"/>
      <c r="T20" s="501"/>
      <c r="U20" s="501"/>
      <c r="V20" s="501"/>
      <c r="W20" s="501"/>
      <c r="X20" s="501"/>
      <c r="Y20" s="469">
        <f>IF(M20="","",IF(AE19="","",ROUND((U19^0.8*((1000/M20)-9)^0.7)/(1140*AE19^0.5),1)))</f>
      </c>
      <c r="Z20" s="469"/>
      <c r="AA20" s="242" t="s">
        <v>284</v>
      </c>
      <c r="AB20" s="242"/>
      <c r="AC20" s="284"/>
      <c r="AD20" s="475" t="s">
        <v>393</v>
      </c>
      <c r="AE20" s="498"/>
      <c r="AF20" s="498"/>
      <c r="AG20" s="498"/>
      <c r="AH20" s="498"/>
      <c r="AI20" s="476"/>
    </row>
    <row r="21" spans="2:52" ht="12.75">
      <c r="B21" s="105"/>
      <c r="C21" s="365"/>
      <c r="D21" s="365"/>
      <c r="E21" s="365"/>
      <c r="F21" s="365"/>
      <c r="G21" s="365"/>
      <c r="H21" s="371"/>
      <c r="I21" s="371"/>
      <c r="J21" s="371"/>
      <c r="K21" s="371"/>
      <c r="L21" s="371"/>
      <c r="M21" s="89"/>
      <c r="N21" s="89"/>
      <c r="O21" s="97"/>
      <c r="P21" s="375"/>
      <c r="Q21" s="39"/>
      <c r="R21" s="39"/>
      <c r="S21" s="39"/>
      <c r="T21" s="39"/>
      <c r="U21" s="39"/>
      <c r="V21" s="39"/>
      <c r="W21" s="39"/>
      <c r="X21" s="39"/>
      <c r="Y21" s="376"/>
      <c r="Z21" s="376"/>
      <c r="AA21" s="242"/>
      <c r="AB21" s="242"/>
      <c r="AI21" s="381"/>
      <c r="AZ21" s="53"/>
    </row>
    <row r="22" spans="2:52" ht="12.75">
      <c r="B22" s="105"/>
      <c r="C22" s="499" t="s">
        <v>156</v>
      </c>
      <c r="D22" s="500"/>
      <c r="E22" s="500"/>
      <c r="F22" s="500"/>
      <c r="G22" s="500"/>
      <c r="H22" s="97"/>
      <c r="I22" s="499" t="s">
        <v>157</v>
      </c>
      <c r="J22" s="499"/>
      <c r="K22" s="499"/>
      <c r="L22" s="499"/>
      <c r="M22" s="97"/>
      <c r="N22" s="97"/>
      <c r="O22" s="97"/>
      <c r="P22" s="499" t="s">
        <v>158</v>
      </c>
      <c r="Q22" s="499"/>
      <c r="R22" s="499"/>
      <c r="S22" s="499"/>
      <c r="T22" s="97"/>
      <c r="V22" s="461" t="s">
        <v>194</v>
      </c>
      <c r="W22" s="500"/>
      <c r="X22" s="500"/>
      <c r="Y22" s="500"/>
      <c r="Z22" s="500"/>
      <c r="AA22" s="242"/>
      <c r="AB22" s="242"/>
      <c r="AC22" s="242"/>
      <c r="AD22" s="242"/>
      <c r="AE22" s="242"/>
      <c r="AF22" s="242"/>
      <c r="AG22" s="242"/>
      <c r="AH22" s="242"/>
      <c r="AI22" s="243"/>
      <c r="AK22" s="47"/>
      <c r="AW22" s="27" t="s">
        <v>293</v>
      </c>
      <c r="AZ22" s="53"/>
    </row>
    <row r="23" spans="2:52" ht="12.75">
      <c r="B23" s="109"/>
      <c r="C23" s="497" t="s">
        <v>287</v>
      </c>
      <c r="D23" s="498"/>
      <c r="E23" s="498"/>
      <c r="F23" s="498"/>
      <c r="G23" s="498"/>
      <c r="H23" s="498"/>
      <c r="I23" s="481">
        <f>IF($W$6="","",VLOOKUP($W$6,lookup!$A$5:$H$109,2))</f>
      </c>
      <c r="J23" s="481"/>
      <c r="K23" s="97" t="s">
        <v>159</v>
      </c>
      <c r="L23" s="97"/>
      <c r="M23" s="97"/>
      <c r="N23" s="97"/>
      <c r="O23" s="97"/>
      <c r="P23" s="483">
        <f>IF(M20="","",(I23-0.2*(1000/M20-10))^2/(I23+0.8*(1000/M20-10)))</f>
      </c>
      <c r="Q23" s="483"/>
      <c r="R23" s="97" t="s">
        <v>159</v>
      </c>
      <c r="S23" s="97"/>
      <c r="T23" s="97"/>
      <c r="U23" s="97"/>
      <c r="V23" s="97"/>
      <c r="W23" s="487">
        <f>IF(OR(H19="",U19="",AE19=""),"",ROUND(H19*P23*lookup!G116,0))</f>
      </c>
      <c r="X23" s="487"/>
      <c r="Y23" s="97" t="s">
        <v>137</v>
      </c>
      <c r="Z23" s="110">
        <f>IF(ISNUMBER(W23),W23,"")</f>
      </c>
      <c r="AA23" s="97"/>
      <c r="AB23" s="97"/>
      <c r="AC23" s="97"/>
      <c r="AD23" s="97"/>
      <c r="AE23" s="97"/>
      <c r="AI23" s="381"/>
      <c r="AK23" s="47"/>
      <c r="AW23" s="488" t="e">
        <f>ROUND(HLOOKUP($M$20,lookup!$A$143:$BD$144,2)/$I$23,2)</f>
        <v>#N/A</v>
      </c>
      <c r="AX23" s="489"/>
      <c r="AY23" s="489"/>
      <c r="AZ23" s="480"/>
    </row>
    <row r="24" spans="2:52" ht="12.75">
      <c r="B24" s="105"/>
      <c r="C24" s="497" t="s">
        <v>285</v>
      </c>
      <c r="D24" s="498"/>
      <c r="E24" s="498"/>
      <c r="F24" s="498"/>
      <c r="G24" s="498"/>
      <c r="H24" s="498"/>
      <c r="I24" s="482">
        <f>IF($W$6="","",VLOOKUP($W$6,lookup!$A$5:$H$109,4))</f>
      </c>
      <c r="J24" s="482"/>
      <c r="K24" s="97" t="s">
        <v>159</v>
      </c>
      <c r="L24" s="97"/>
      <c r="M24" s="97"/>
      <c r="N24" s="97"/>
      <c r="O24" s="97"/>
      <c r="P24" s="484">
        <f>IF(M20="","",(I24-0.2*(1000/M20-10))^2/(I24+0.8*(1000/M20-10)))</f>
      </c>
      <c r="Q24" s="484"/>
      <c r="R24" s="97" t="s">
        <v>159</v>
      </c>
      <c r="S24" s="97"/>
      <c r="T24" s="97"/>
      <c r="U24" s="97"/>
      <c r="V24" s="97"/>
      <c r="W24" s="487">
        <f>IF(OR(H19="",U19="",AE19=""),"",ROUND(H19*P24*lookup!I116,0))</f>
      </c>
      <c r="X24" s="487"/>
      <c r="Y24" s="97" t="s">
        <v>137</v>
      </c>
      <c r="Z24" s="110">
        <f>IF(ISNUMBER(W24),W24,"")</f>
      </c>
      <c r="AA24" s="97"/>
      <c r="AB24" s="97"/>
      <c r="AC24" s="97"/>
      <c r="AD24" s="97"/>
      <c r="AE24" s="97"/>
      <c r="AI24" s="381"/>
      <c r="AK24" s="47"/>
      <c r="AO24" s="111"/>
      <c r="AW24" s="496" t="e">
        <f>ROUND(HLOOKUP($M$20,lookup!$A$143:$BD$144,2)/$I$24,2)</f>
        <v>#N/A</v>
      </c>
      <c r="AX24" s="485"/>
      <c r="AY24" s="485"/>
      <c r="AZ24" s="486"/>
    </row>
    <row r="25" spans="2:52" ht="12.75">
      <c r="B25" s="105"/>
      <c r="C25" s="497" t="s">
        <v>286</v>
      </c>
      <c r="D25" s="498"/>
      <c r="E25" s="498"/>
      <c r="F25" s="498"/>
      <c r="G25" s="498"/>
      <c r="H25" s="498"/>
      <c r="I25" s="482">
        <f>IF($W$6="","",VLOOKUP($W$6,lookup!$A$5:$H$109,5))</f>
      </c>
      <c r="J25" s="482"/>
      <c r="K25" s="97" t="s">
        <v>159</v>
      </c>
      <c r="L25" s="97"/>
      <c r="M25" s="97"/>
      <c r="N25" s="97"/>
      <c r="O25" s="97"/>
      <c r="P25" s="484">
        <f>IF(M20="","",(I25-0.2*(1000/M20-10))^2/(I25+0.8*(1000/M20-10)))</f>
      </c>
      <c r="Q25" s="484"/>
      <c r="R25" s="97" t="s">
        <v>159</v>
      </c>
      <c r="S25" s="97"/>
      <c r="T25" s="97"/>
      <c r="U25" s="97"/>
      <c r="V25" s="97"/>
      <c r="W25" s="460">
        <f>IF(OR(H19="",U19="",AE19=""),"",ROUND(H19*P25*lookup!K116,0))</f>
      </c>
      <c r="X25" s="460"/>
      <c r="Y25" s="97" t="s">
        <v>137</v>
      </c>
      <c r="Z25" s="110">
        <f>IF(ISNUMBER(W25),W25,"")</f>
      </c>
      <c r="AA25" s="97"/>
      <c r="AB25" s="97"/>
      <c r="AC25" s="97"/>
      <c r="AD25" s="97"/>
      <c r="AE25" s="97"/>
      <c r="AI25" s="381"/>
      <c r="AK25" s="47"/>
      <c r="AW25" s="478" t="e">
        <f>ROUND(HLOOKUP($M$20,lookup!$A$143:$BD$144,2)/$I$25,2)</f>
        <v>#N/A</v>
      </c>
      <c r="AX25" s="479"/>
      <c r="AY25" s="479"/>
      <c r="AZ25" s="474"/>
    </row>
    <row r="26" spans="2:52" ht="12.75" customHeight="1">
      <c r="B26" s="244"/>
      <c r="C26" s="245"/>
      <c r="D26" s="246"/>
      <c r="E26" s="246"/>
      <c r="F26" s="246"/>
      <c r="G26" s="246"/>
      <c r="H26" s="246"/>
      <c r="I26" s="247"/>
      <c r="J26" s="247"/>
      <c r="K26" s="246"/>
      <c r="L26" s="246"/>
      <c r="M26" s="246"/>
      <c r="N26" s="246"/>
      <c r="O26" s="246"/>
      <c r="P26" s="248"/>
      <c r="Q26" s="248"/>
      <c r="R26" s="246"/>
      <c r="S26" s="246"/>
      <c r="T26" s="246"/>
      <c r="U26" s="246"/>
      <c r="V26" s="246"/>
      <c r="W26" s="248"/>
      <c r="X26" s="248"/>
      <c r="Y26" s="246"/>
      <c r="Z26" s="249"/>
      <c r="AA26" s="246"/>
      <c r="AB26" s="246"/>
      <c r="AC26" s="246"/>
      <c r="AD26" s="246"/>
      <c r="AE26" s="246"/>
      <c r="AF26" s="250"/>
      <c r="AG26" s="250"/>
      <c r="AH26" s="250"/>
      <c r="AI26" s="251"/>
      <c r="AK26" s="47"/>
      <c r="AZ26" s="53"/>
    </row>
    <row r="27" spans="2:52" ht="12.75" customHeight="1">
      <c r="B27" s="105"/>
      <c r="C27" s="378"/>
      <c r="D27" s="379"/>
      <c r="E27" s="379"/>
      <c r="F27" s="379"/>
      <c r="G27" s="379"/>
      <c r="H27" s="379"/>
      <c r="I27" s="364"/>
      <c r="J27" s="364"/>
      <c r="K27" s="379"/>
      <c r="L27" s="379"/>
      <c r="M27" s="97"/>
      <c r="N27" s="97"/>
      <c r="O27" s="97"/>
      <c r="P27" s="239"/>
      <c r="Q27" s="239"/>
      <c r="R27" s="97"/>
      <c r="S27" s="97"/>
      <c r="T27" s="97"/>
      <c r="U27" s="97"/>
      <c r="V27" s="97"/>
      <c r="W27" s="239"/>
      <c r="X27" s="239"/>
      <c r="Y27" s="97"/>
      <c r="Z27" s="110"/>
      <c r="AA27" s="97"/>
      <c r="AB27" s="97"/>
      <c r="AC27" s="97"/>
      <c r="AD27" s="97"/>
      <c r="AE27" s="97"/>
      <c r="AF27" s="186"/>
      <c r="AG27" s="186"/>
      <c r="AH27" s="186"/>
      <c r="AI27" s="366"/>
      <c r="AK27" s="47"/>
      <c r="AZ27" s="53"/>
    </row>
    <row r="28" spans="2:35" ht="12.75">
      <c r="B28" s="105"/>
      <c r="C28" s="497" t="s">
        <v>148</v>
      </c>
      <c r="D28" s="502"/>
      <c r="E28" s="502"/>
      <c r="F28" s="502"/>
      <c r="G28" s="502"/>
      <c r="H28" s="182"/>
      <c r="J28" s="499" t="s">
        <v>145</v>
      </c>
      <c r="K28" s="501"/>
      <c r="L28" s="501"/>
      <c r="M28" s="182"/>
      <c r="N28" s="97"/>
      <c r="O28" s="97"/>
      <c r="P28" s="97"/>
      <c r="Q28" s="97"/>
      <c r="R28" s="97"/>
      <c r="S28" s="97"/>
      <c r="T28" s="97"/>
      <c r="U28" s="97"/>
      <c r="V28" s="97"/>
      <c r="W28" s="97"/>
      <c r="X28" s="97"/>
      <c r="Y28" s="97"/>
      <c r="Z28" s="97"/>
      <c r="AA28" s="97"/>
      <c r="AB28" s="97"/>
      <c r="AC28" s="97"/>
      <c r="AD28" s="97"/>
      <c r="AE28" s="97"/>
      <c r="AF28" s="110"/>
      <c r="AG28" s="110"/>
      <c r="AH28" s="110"/>
      <c r="AI28" s="116"/>
    </row>
    <row r="29" spans="2:35" ht="12.75">
      <c r="B29" s="105"/>
      <c r="C29" s="86"/>
      <c r="D29" s="38"/>
      <c r="E29" s="38"/>
      <c r="F29" s="267"/>
      <c r="G29" s="405"/>
      <c r="H29" s="89"/>
      <c r="I29" s="389"/>
      <c r="J29" s="89"/>
      <c r="K29" s="404"/>
      <c r="L29" s="404"/>
      <c r="M29" s="89"/>
      <c r="N29" s="97"/>
      <c r="O29" s="97"/>
      <c r="P29" s="97"/>
      <c r="Q29" s="97"/>
      <c r="R29" s="97"/>
      <c r="S29" s="97"/>
      <c r="T29" s="97"/>
      <c r="U29" s="97"/>
      <c r="V29" s="97"/>
      <c r="W29" s="97"/>
      <c r="X29" s="97"/>
      <c r="Y29" s="97"/>
      <c r="Z29" s="97"/>
      <c r="AA29" s="97"/>
      <c r="AB29" s="97"/>
      <c r="AC29" s="97"/>
      <c r="AD29" s="97"/>
      <c r="AE29" s="97"/>
      <c r="AF29" s="110"/>
      <c r="AG29" s="110"/>
      <c r="AH29" s="110"/>
      <c r="AI29" s="116"/>
    </row>
    <row r="30" spans="2:51" ht="12.75">
      <c r="B30" s="105"/>
      <c r="C30" s="507" t="s">
        <v>155</v>
      </c>
      <c r="D30" s="507"/>
      <c r="E30" s="507"/>
      <c r="F30" s="507"/>
      <c r="G30" s="507"/>
      <c r="H30" s="503">
        <f>IF(H32="","",VLOOKUP($W$6,lookup!$A$5:$I$109,9))</f>
      </c>
      <c r="I30" s="503"/>
      <c r="J30" s="106">
        <f>IF(H32="","",IF(H32&gt;H30,"Stream Obstruction Permit may be needed",""))</f>
      </c>
      <c r="K30" s="97"/>
      <c r="L30" s="97"/>
      <c r="M30" s="97"/>
      <c r="P30" s="97"/>
      <c r="Q30" s="97"/>
      <c r="R30" s="97"/>
      <c r="S30" s="97"/>
      <c r="T30" s="97"/>
      <c r="W30" s="97"/>
      <c r="X30" s="97"/>
      <c r="Y30" s="97"/>
      <c r="Z30" s="97"/>
      <c r="AA30" s="97"/>
      <c r="AB30" s="97"/>
      <c r="AC30" s="97"/>
      <c r="AD30" s="97"/>
      <c r="AG30" s="110"/>
      <c r="AH30" s="110"/>
      <c r="AI30" s="116"/>
      <c r="AY30" s="27" t="s">
        <v>290</v>
      </c>
    </row>
    <row r="31" spans="2:35" ht="12.75">
      <c r="B31" s="105"/>
      <c r="C31" s="46"/>
      <c r="D31" s="46"/>
      <c r="E31" s="46"/>
      <c r="F31" s="46"/>
      <c r="G31" s="46"/>
      <c r="H31" s="370"/>
      <c r="I31" s="370"/>
      <c r="J31" s="106"/>
      <c r="K31" s="97"/>
      <c r="L31" s="97"/>
      <c r="M31" s="97"/>
      <c r="P31" s="97"/>
      <c r="Q31" s="97"/>
      <c r="R31" s="97"/>
      <c r="S31" s="97"/>
      <c r="T31" s="97"/>
      <c r="W31" s="97"/>
      <c r="X31" s="97"/>
      <c r="Y31" s="97"/>
      <c r="Z31" s="97"/>
      <c r="AA31" s="97"/>
      <c r="AB31" s="97"/>
      <c r="AC31" s="97"/>
      <c r="AD31" s="97"/>
      <c r="AG31" s="110"/>
      <c r="AH31" s="110"/>
      <c r="AI31" s="116"/>
    </row>
    <row r="32" spans="2:52" ht="12.75">
      <c r="B32" s="105"/>
      <c r="C32" s="507" t="s">
        <v>296</v>
      </c>
      <c r="D32" s="507"/>
      <c r="E32" s="507"/>
      <c r="F32" s="507"/>
      <c r="G32" s="507"/>
      <c r="H32" s="508">
        <f>'CN calc'!D106</f>
      </c>
      <c r="I32" s="508"/>
      <c r="J32" s="97" t="s">
        <v>134</v>
      </c>
      <c r="L32" s="97"/>
      <c r="M32" s="481">
        <f>IF(H32="","",ROUND(H32/640,2))</f>
      </c>
      <c r="N32" s="481"/>
      <c r="O32" s="97" t="s">
        <v>400</v>
      </c>
      <c r="Q32" s="471" t="s">
        <v>281</v>
      </c>
      <c r="R32" s="471"/>
      <c r="S32" s="471"/>
      <c r="T32" s="471"/>
      <c r="U32" s="470"/>
      <c r="V32" s="470"/>
      <c r="W32" s="27" t="s">
        <v>282</v>
      </c>
      <c r="Y32" s="472" t="s">
        <v>283</v>
      </c>
      <c r="Z32" s="472"/>
      <c r="AA32" s="472"/>
      <c r="AB32" s="472"/>
      <c r="AC32" s="472"/>
      <c r="AD32" s="472"/>
      <c r="AE32" s="451"/>
      <c r="AF32" s="451"/>
      <c r="AG32" s="27" t="s">
        <v>31</v>
      </c>
      <c r="AH32" s="110"/>
      <c r="AI32" s="116"/>
      <c r="AZ32" s="383" t="str">
        <f>IF($M$32="","true","false")</f>
        <v>true</v>
      </c>
    </row>
    <row r="33" spans="2:35" ht="12.75">
      <c r="B33" s="105"/>
      <c r="C33" s="506" t="s">
        <v>297</v>
      </c>
      <c r="D33" s="506"/>
      <c r="E33" s="506"/>
      <c r="F33" s="506"/>
      <c r="G33" s="506"/>
      <c r="H33" s="498"/>
      <c r="I33" s="498"/>
      <c r="J33" s="498"/>
      <c r="K33" s="498"/>
      <c r="L33" s="498"/>
      <c r="M33" s="508">
        <f>IF('CN calc'!D107&gt;60,'CN calc'!D107,60)</f>
      </c>
      <c r="N33" s="473"/>
      <c r="O33" s="97"/>
      <c r="P33" s="468" t="s">
        <v>298</v>
      </c>
      <c r="Q33" s="501"/>
      <c r="R33" s="501"/>
      <c r="S33" s="501"/>
      <c r="T33" s="501"/>
      <c r="U33" s="501"/>
      <c r="V33" s="501"/>
      <c r="W33" s="501"/>
      <c r="X33" s="501"/>
      <c r="Y33" s="469">
        <f>IF(M33="","",IF(AE32="","",ROUND((U32^0.8*((1000/M33)-9)^0.7)/(1140*AE32^0.5),1)))</f>
      </c>
      <c r="Z33" s="469"/>
      <c r="AA33" s="97" t="s">
        <v>284</v>
      </c>
      <c r="AC33" s="97"/>
      <c r="AD33" s="475" t="s">
        <v>393</v>
      </c>
      <c r="AE33" s="498"/>
      <c r="AF33" s="498"/>
      <c r="AG33" s="498"/>
      <c r="AH33" s="498"/>
      <c r="AI33" s="476"/>
    </row>
    <row r="34" spans="2:35" ht="12.75">
      <c r="B34" s="105"/>
      <c r="C34" s="365"/>
      <c r="D34" s="365"/>
      <c r="E34" s="365"/>
      <c r="F34" s="365"/>
      <c r="G34" s="365"/>
      <c r="H34" s="89"/>
      <c r="I34" s="89"/>
      <c r="J34" s="21"/>
      <c r="K34" s="97"/>
      <c r="L34" s="97"/>
      <c r="M34" s="97"/>
      <c r="N34" s="97"/>
      <c r="O34" s="97"/>
      <c r="P34" s="97"/>
      <c r="Q34" s="97"/>
      <c r="R34" s="97"/>
      <c r="S34" s="367"/>
      <c r="T34" s="367"/>
      <c r="U34" s="97"/>
      <c r="V34" s="97"/>
      <c r="W34" s="97"/>
      <c r="X34" s="97"/>
      <c r="Y34" s="97"/>
      <c r="Z34" s="376"/>
      <c r="AA34" s="376"/>
      <c r="AB34" s="97"/>
      <c r="AC34" s="97"/>
      <c r="AD34" s="97"/>
      <c r="AE34" s="97"/>
      <c r="AF34" s="108"/>
      <c r="AG34" s="110"/>
      <c r="AH34" s="110"/>
      <c r="AI34" s="116"/>
    </row>
    <row r="35" spans="2:49" ht="12.75">
      <c r="B35" s="105"/>
      <c r="C35" s="499" t="s">
        <v>156</v>
      </c>
      <c r="D35" s="500"/>
      <c r="E35" s="500"/>
      <c r="F35" s="500"/>
      <c r="G35" s="500"/>
      <c r="H35" s="97"/>
      <c r="I35" s="499" t="s">
        <v>157</v>
      </c>
      <c r="J35" s="499"/>
      <c r="K35" s="499"/>
      <c r="L35" s="499"/>
      <c r="M35" s="97"/>
      <c r="N35" s="97"/>
      <c r="O35" s="97"/>
      <c r="P35" s="499" t="s">
        <v>158</v>
      </c>
      <c r="Q35" s="499"/>
      <c r="R35" s="499"/>
      <c r="S35" s="499"/>
      <c r="T35" s="97"/>
      <c r="V35" s="461" t="s">
        <v>194</v>
      </c>
      <c r="W35" s="500"/>
      <c r="X35" s="500"/>
      <c r="Y35" s="500"/>
      <c r="Z35" s="500"/>
      <c r="AA35" s="106">
        <f>IF(SUM(AA36:AA38)&gt;0,"Use Q from upper reach","")</f>
      </c>
      <c r="AB35" s="97"/>
      <c r="AC35" s="97"/>
      <c r="AD35" s="97"/>
      <c r="AE35" s="97"/>
      <c r="AF35" s="110"/>
      <c r="AG35" s="110"/>
      <c r="AH35" s="110"/>
      <c r="AI35" s="116"/>
      <c r="AW35" s="27" t="s">
        <v>293</v>
      </c>
    </row>
    <row r="36" spans="2:52" ht="12.75">
      <c r="B36" s="109"/>
      <c r="C36" s="497" t="s">
        <v>287</v>
      </c>
      <c r="D36" s="498"/>
      <c r="E36" s="498"/>
      <c r="F36" s="498"/>
      <c r="G36" s="498"/>
      <c r="H36" s="498"/>
      <c r="I36" s="481">
        <f>IF($W$6="","",VLOOKUP($W$6,lookup!$A$5:$H$109,2))</f>
      </c>
      <c r="J36" s="481"/>
      <c r="K36" s="97" t="s">
        <v>159</v>
      </c>
      <c r="L36" s="97"/>
      <c r="M36" s="97"/>
      <c r="N36" s="97"/>
      <c r="O36" s="97"/>
      <c r="P36" s="483">
        <f>IF(M33="","",(I36-0.2*(1000/M33-10))^2/(I36+0.8*(1000/M33-10)))</f>
      </c>
      <c r="Q36" s="483"/>
      <c r="R36" s="97" t="s">
        <v>159</v>
      </c>
      <c r="S36" s="97"/>
      <c r="T36" s="97"/>
      <c r="U36" s="97"/>
      <c r="V36" s="97"/>
      <c r="W36" s="487">
        <f>IF(OR(H32="",U32="",AE32=""),"",ROUND(H32*P36*lookup!G122,0))</f>
      </c>
      <c r="X36" s="487"/>
      <c r="Y36" s="97" t="s">
        <v>137</v>
      </c>
      <c r="Z36" s="110">
        <f>IF(ISNUMBER(W36),IF(H15=H28,IF(W36&lt;W23,W23,W36),W36),"")</f>
      </c>
      <c r="AA36" s="462">
        <f>IF('Design (2)'!G19=2,IF(Z36&gt;W36,Z36,""),"")</f>
      </c>
      <c r="AB36" s="450"/>
      <c r="AC36" s="97">
        <f>IF(AA36="","",Y36)</f>
      </c>
      <c r="AD36" s="97"/>
      <c r="AE36" s="97"/>
      <c r="AI36" s="381"/>
      <c r="AW36" s="488" t="e">
        <f>ROUND(HLOOKUP($M$33,lookup!$A$143:$BD$144,2)/$I$36,2)</f>
        <v>#N/A</v>
      </c>
      <c r="AX36" s="489"/>
      <c r="AY36" s="489"/>
      <c r="AZ36" s="480"/>
    </row>
    <row r="37" spans="2:52" ht="12.75">
      <c r="B37" s="105"/>
      <c r="C37" s="497" t="s">
        <v>285</v>
      </c>
      <c r="D37" s="498"/>
      <c r="E37" s="498"/>
      <c r="F37" s="498"/>
      <c r="G37" s="498"/>
      <c r="H37" s="498"/>
      <c r="I37" s="482">
        <f>IF($W$6="","",VLOOKUP($W$6,lookup!$A$5:$H$109,4))</f>
      </c>
      <c r="J37" s="482"/>
      <c r="K37" s="97" t="s">
        <v>159</v>
      </c>
      <c r="L37" s="97"/>
      <c r="M37" s="97"/>
      <c r="N37" s="97"/>
      <c r="O37" s="97"/>
      <c r="P37" s="484">
        <f>IF(M33="","",(I37-0.2*(1000/M33-10))^2/(I37+0.8*(1000/M33-10)))</f>
      </c>
      <c r="Q37" s="484"/>
      <c r="R37" s="97" t="s">
        <v>159</v>
      </c>
      <c r="S37" s="97"/>
      <c r="T37" s="97"/>
      <c r="U37" s="97"/>
      <c r="V37" s="97"/>
      <c r="W37" s="487">
        <f>IF(OR(H32="",U32="",AE32=""),"",ROUND(H32*P37*lookup!I122,0))</f>
      </c>
      <c r="X37" s="487"/>
      <c r="Y37" s="97" t="s">
        <v>137</v>
      </c>
      <c r="Z37" s="110">
        <f>IF(ISNUMBER(W37),IF(H15=H28,IF(W37&lt;W24,W24,W37),W37),"")</f>
      </c>
      <c r="AA37" s="462">
        <f>IF('Design (2)'!G19=10,IF(Z37&gt;W37,Z37,""),"")</f>
      </c>
      <c r="AB37" s="450"/>
      <c r="AC37" s="97">
        <f>IF(AA37="","",Y37)</f>
      </c>
      <c r="AD37" s="97"/>
      <c r="AE37" s="97"/>
      <c r="AI37" s="381"/>
      <c r="AW37" s="496" t="e">
        <f>ROUND(HLOOKUP($M$33,lookup!$A$143:$BD$144,2)/$I$37,2)</f>
        <v>#N/A</v>
      </c>
      <c r="AX37" s="485"/>
      <c r="AY37" s="485"/>
      <c r="AZ37" s="486"/>
    </row>
    <row r="38" spans="2:52" ht="12.75">
      <c r="B38" s="105"/>
      <c r="C38" s="497" t="s">
        <v>286</v>
      </c>
      <c r="D38" s="498"/>
      <c r="E38" s="498"/>
      <c r="F38" s="498"/>
      <c r="G38" s="498"/>
      <c r="H38" s="498"/>
      <c r="I38" s="482">
        <f>IF($W$6="","",VLOOKUP($W$6,lookup!$A$5:$H$109,5))</f>
      </c>
      <c r="J38" s="482"/>
      <c r="K38" s="97" t="s">
        <v>159</v>
      </c>
      <c r="L38" s="97"/>
      <c r="M38" s="97"/>
      <c r="N38" s="97"/>
      <c r="O38" s="97"/>
      <c r="P38" s="484">
        <f>IF(M33="","",(I38-0.2*(1000/M33-10))^2/(I38+0.8*(1000/M33-10)))</f>
      </c>
      <c r="Q38" s="484"/>
      <c r="R38" s="97" t="s">
        <v>159</v>
      </c>
      <c r="S38" s="97"/>
      <c r="T38" s="97"/>
      <c r="U38" s="97"/>
      <c r="V38" s="97"/>
      <c r="W38" s="460">
        <f>IF(OR(H32="",U32="",AE32=""),"",ROUND(H32*P38*lookup!K122,0))</f>
      </c>
      <c r="X38" s="460"/>
      <c r="Y38" s="97" t="s">
        <v>137</v>
      </c>
      <c r="Z38" s="110">
        <f>IF(ISNUMBER(W38),IF(H15=H28,IF(W38&lt;W25,W25,W38),W38),"")</f>
      </c>
      <c r="AA38" s="462">
        <f>IF('Design (2)'!G19=25,IF(Z38&gt;W38,Z38,""),"")</f>
      </c>
      <c r="AB38" s="463"/>
      <c r="AC38" s="97">
        <f>IF(AA38="","",Y38)</f>
      </c>
      <c r="AD38" s="97"/>
      <c r="AE38" s="97"/>
      <c r="AI38" s="381"/>
      <c r="AW38" s="478" t="e">
        <f>ROUND(HLOOKUP($M$33,lookup!$A$143:$BD$144,2)/$I$38,2)</f>
        <v>#N/A</v>
      </c>
      <c r="AX38" s="479"/>
      <c r="AY38" s="479"/>
      <c r="AZ38" s="474"/>
    </row>
    <row r="39" spans="2:35" ht="12.75" customHeight="1" thickBot="1">
      <c r="B39" s="112"/>
      <c r="C39" s="113"/>
      <c r="D39" s="114"/>
      <c r="E39" s="114"/>
      <c r="F39" s="114"/>
      <c r="G39" s="114"/>
      <c r="H39" s="117"/>
      <c r="I39" s="184"/>
      <c r="J39" s="184"/>
      <c r="K39" s="114"/>
      <c r="L39" s="114"/>
      <c r="M39" s="114"/>
      <c r="N39" s="114"/>
      <c r="O39" s="114"/>
      <c r="P39" s="185"/>
      <c r="Q39" s="185"/>
      <c r="R39" s="114"/>
      <c r="S39" s="114"/>
      <c r="T39" s="114"/>
      <c r="U39" s="114"/>
      <c r="V39" s="114"/>
      <c r="W39" s="185"/>
      <c r="X39" s="185"/>
      <c r="Y39" s="114"/>
      <c r="Z39" s="115"/>
      <c r="AA39" s="252"/>
      <c r="AB39" s="253"/>
      <c r="AC39" s="114"/>
      <c r="AD39" s="114"/>
      <c r="AE39" s="114"/>
      <c r="AF39" s="187"/>
      <c r="AG39" s="187"/>
      <c r="AH39" s="187"/>
      <c r="AI39" s="183"/>
    </row>
    <row r="40" spans="2:35" ht="12.75">
      <c r="B40" s="97"/>
      <c r="C40" s="238"/>
      <c r="D40" s="97"/>
      <c r="E40" s="97"/>
      <c r="F40" s="97"/>
      <c r="G40" s="97"/>
      <c r="H40" s="21"/>
      <c r="I40" s="92"/>
      <c r="J40" s="92"/>
      <c r="K40" s="97"/>
      <c r="L40" s="97"/>
      <c r="M40" s="97"/>
      <c r="N40" s="97"/>
      <c r="O40" s="97"/>
      <c r="P40" s="239"/>
      <c r="Q40" s="239"/>
      <c r="R40" s="97"/>
      <c r="S40" s="97"/>
      <c r="T40" s="97"/>
      <c r="U40" s="97"/>
      <c r="V40" s="97"/>
      <c r="W40" s="239"/>
      <c r="X40" s="239"/>
      <c r="Y40" s="97"/>
      <c r="Z40" s="110"/>
      <c r="AA40" s="240"/>
      <c r="AB40" s="241"/>
      <c r="AC40" s="97"/>
      <c r="AD40" s="97"/>
      <c r="AE40" s="97"/>
      <c r="AF40" s="186"/>
      <c r="AG40" s="186"/>
      <c r="AH40" s="186"/>
      <c r="AI40" s="186"/>
    </row>
    <row r="41" spans="2:35" ht="12.75">
      <c r="B41"/>
      <c r="C41"/>
      <c r="D41"/>
      <c r="E41"/>
      <c r="F41"/>
      <c r="G41"/>
      <c r="H41"/>
      <c r="I41"/>
      <c r="J41"/>
      <c r="K41"/>
      <c r="L41"/>
      <c r="M41"/>
      <c r="N41"/>
      <c r="O41"/>
      <c r="P41"/>
      <c r="Q41"/>
      <c r="R41"/>
      <c r="S41"/>
      <c r="T41"/>
      <c r="U41"/>
      <c r="V41"/>
      <c r="W41"/>
      <c r="X41"/>
      <c r="Y41"/>
      <c r="Z41"/>
      <c r="AA41"/>
      <c r="AB41"/>
      <c r="AC41"/>
      <c r="AD41"/>
      <c r="AE41"/>
      <c r="AF41"/>
      <c r="AG41"/>
      <c r="AH41"/>
      <c r="AI41"/>
    </row>
    <row r="42" spans="2:35" ht="12.75">
      <c r="B42"/>
      <c r="C42"/>
      <c r="D42"/>
      <c r="E42"/>
      <c r="F42"/>
      <c r="G42"/>
      <c r="H42"/>
      <c r="I42"/>
      <c r="J42"/>
      <c r="K42"/>
      <c r="L42"/>
      <c r="M42"/>
      <c r="N42"/>
      <c r="O42"/>
      <c r="P42"/>
      <c r="Q42"/>
      <c r="R42"/>
      <c r="S42"/>
      <c r="T42"/>
      <c r="U42"/>
      <c r="V42"/>
      <c r="W42"/>
      <c r="X42"/>
      <c r="Y42"/>
      <c r="Z42"/>
      <c r="AA42"/>
      <c r="AB42"/>
      <c r="AC42"/>
      <c r="AD42"/>
      <c r="AE42"/>
      <c r="AF42"/>
      <c r="AG42"/>
      <c r="AH42"/>
      <c r="AI42"/>
    </row>
    <row r="43" spans="2:35" ht="12.75">
      <c r="B43"/>
      <c r="C43"/>
      <c r="D43"/>
      <c r="E43"/>
      <c r="F43"/>
      <c r="G43"/>
      <c r="H43"/>
      <c r="I43"/>
      <c r="J43"/>
      <c r="K43"/>
      <c r="L43"/>
      <c r="M43"/>
      <c r="N43"/>
      <c r="O43"/>
      <c r="P43"/>
      <c r="Q43"/>
      <c r="R43"/>
      <c r="S43"/>
      <c r="T43"/>
      <c r="U43"/>
      <c r="V43"/>
      <c r="W43"/>
      <c r="X43"/>
      <c r="Y43"/>
      <c r="Z43"/>
      <c r="AA43"/>
      <c r="AB43"/>
      <c r="AC43"/>
      <c r="AD43"/>
      <c r="AE43"/>
      <c r="AF43"/>
      <c r="AG43"/>
      <c r="AH43"/>
      <c r="AI43"/>
    </row>
    <row r="44" spans="2:35" ht="12.75">
      <c r="B44"/>
      <c r="C44"/>
      <c r="D44"/>
      <c r="E44"/>
      <c r="F44"/>
      <c r="G44"/>
      <c r="H44"/>
      <c r="I44"/>
      <c r="J44"/>
      <c r="K44"/>
      <c r="L44"/>
      <c r="M44"/>
      <c r="N44"/>
      <c r="O44"/>
      <c r="P44"/>
      <c r="Q44"/>
      <c r="R44"/>
      <c r="S44"/>
      <c r="T44"/>
      <c r="U44"/>
      <c r="V44"/>
      <c r="W44"/>
      <c r="X44"/>
      <c r="Y44"/>
      <c r="Z44"/>
      <c r="AA44"/>
      <c r="AB44"/>
      <c r="AC44"/>
      <c r="AD44"/>
      <c r="AE44"/>
      <c r="AF44"/>
      <c r="AG44"/>
      <c r="AH44"/>
      <c r="AI44"/>
    </row>
    <row r="45" spans="2:35" ht="12.75">
      <c r="B45"/>
      <c r="C45"/>
      <c r="D45"/>
      <c r="E45"/>
      <c r="F45"/>
      <c r="G45"/>
      <c r="H45"/>
      <c r="I45"/>
      <c r="J45"/>
      <c r="K45"/>
      <c r="L45"/>
      <c r="M45"/>
      <c r="N45"/>
      <c r="O45"/>
      <c r="P45"/>
      <c r="Q45"/>
      <c r="R45"/>
      <c r="S45"/>
      <c r="T45"/>
      <c r="U45"/>
      <c r="V45"/>
      <c r="W45"/>
      <c r="X45"/>
      <c r="Y45"/>
      <c r="Z45"/>
      <c r="AA45"/>
      <c r="AB45"/>
      <c r="AC45"/>
      <c r="AD45"/>
      <c r="AE45"/>
      <c r="AF45"/>
      <c r="AG45"/>
      <c r="AH45"/>
      <c r="AI45"/>
    </row>
    <row r="46" spans="2:35" ht="12.75">
      <c r="B46"/>
      <c r="C46"/>
      <c r="D46"/>
      <c r="E46"/>
      <c r="F46"/>
      <c r="G46"/>
      <c r="H46"/>
      <c r="I46"/>
      <c r="J46"/>
      <c r="K46"/>
      <c r="L46"/>
      <c r="M46"/>
      <c r="N46"/>
      <c r="O46"/>
      <c r="P46"/>
      <c r="Q46"/>
      <c r="R46"/>
      <c r="S46"/>
      <c r="T46"/>
      <c r="U46"/>
      <c r="V46"/>
      <c r="W46"/>
      <c r="X46"/>
      <c r="Y46"/>
      <c r="Z46"/>
      <c r="AA46"/>
      <c r="AB46"/>
      <c r="AC46"/>
      <c r="AD46"/>
      <c r="AE46"/>
      <c r="AF46"/>
      <c r="AG46"/>
      <c r="AH46"/>
      <c r="AI46"/>
    </row>
    <row r="47" spans="2:35" ht="12.75">
      <c r="B47"/>
      <c r="C47"/>
      <c r="D47"/>
      <c r="E47"/>
      <c r="F47"/>
      <c r="G47"/>
      <c r="H47"/>
      <c r="I47"/>
      <c r="J47"/>
      <c r="K47"/>
      <c r="L47"/>
      <c r="M47"/>
      <c r="N47"/>
      <c r="O47"/>
      <c r="P47"/>
      <c r="Q47"/>
      <c r="R47"/>
      <c r="S47"/>
      <c r="T47"/>
      <c r="U47"/>
      <c r="V47"/>
      <c r="W47"/>
      <c r="X47"/>
      <c r="Y47"/>
      <c r="Z47"/>
      <c r="AA47"/>
      <c r="AB47"/>
      <c r="AC47"/>
      <c r="AD47"/>
      <c r="AE47"/>
      <c r="AF47"/>
      <c r="AG47"/>
      <c r="AH47"/>
      <c r="AI47"/>
    </row>
    <row r="48" spans="2:35" ht="12.75">
      <c r="B48"/>
      <c r="C48"/>
      <c r="D48"/>
      <c r="E48"/>
      <c r="F48"/>
      <c r="G48"/>
      <c r="H48"/>
      <c r="I48"/>
      <c r="J48"/>
      <c r="K48"/>
      <c r="L48"/>
      <c r="M48"/>
      <c r="N48"/>
      <c r="O48"/>
      <c r="P48"/>
      <c r="Q48"/>
      <c r="R48"/>
      <c r="S48"/>
      <c r="T48"/>
      <c r="U48"/>
      <c r="V48"/>
      <c r="W48"/>
      <c r="X48"/>
      <c r="Y48"/>
      <c r="Z48"/>
      <c r="AA48"/>
      <c r="AB48"/>
      <c r="AC48"/>
      <c r="AD48"/>
      <c r="AE48"/>
      <c r="AF48"/>
      <c r="AG48"/>
      <c r="AH48"/>
      <c r="AI48"/>
    </row>
    <row r="49" spans="2:35" ht="12.75">
      <c r="B49"/>
      <c r="C49"/>
      <c r="D49"/>
      <c r="E49"/>
      <c r="F49"/>
      <c r="G49"/>
      <c r="H49"/>
      <c r="I49"/>
      <c r="J49"/>
      <c r="K49"/>
      <c r="L49"/>
      <c r="M49"/>
      <c r="N49"/>
      <c r="O49"/>
      <c r="P49"/>
      <c r="Q49"/>
      <c r="R49"/>
      <c r="S49"/>
      <c r="T49"/>
      <c r="U49"/>
      <c r="V49"/>
      <c r="W49"/>
      <c r="X49"/>
      <c r="Y49"/>
      <c r="Z49"/>
      <c r="AA49"/>
      <c r="AB49"/>
      <c r="AC49"/>
      <c r="AD49"/>
      <c r="AE49"/>
      <c r="AF49"/>
      <c r="AG49"/>
      <c r="AH49"/>
      <c r="AI49"/>
    </row>
    <row r="50" spans="2:35" ht="12.75">
      <c r="B50"/>
      <c r="C50"/>
      <c r="D50"/>
      <c r="E50"/>
      <c r="F50"/>
      <c r="G50"/>
      <c r="H50"/>
      <c r="I50"/>
      <c r="J50"/>
      <c r="K50"/>
      <c r="L50"/>
      <c r="M50"/>
      <c r="N50"/>
      <c r="O50"/>
      <c r="P50"/>
      <c r="Q50"/>
      <c r="R50"/>
      <c r="S50"/>
      <c r="T50"/>
      <c r="U50"/>
      <c r="V50"/>
      <c r="W50"/>
      <c r="X50"/>
      <c r="Y50"/>
      <c r="Z50"/>
      <c r="AA50"/>
      <c r="AB50"/>
      <c r="AC50"/>
      <c r="AD50"/>
      <c r="AE50"/>
      <c r="AF50"/>
      <c r="AG50"/>
      <c r="AH50"/>
      <c r="AI50"/>
    </row>
    <row r="51" spans="2:35" ht="12.75">
      <c r="B51"/>
      <c r="C51"/>
      <c r="D51"/>
      <c r="E51"/>
      <c r="F51"/>
      <c r="G51"/>
      <c r="H51"/>
      <c r="I51"/>
      <c r="J51"/>
      <c r="K51"/>
      <c r="L51"/>
      <c r="M51"/>
      <c r="N51"/>
      <c r="O51"/>
      <c r="P51"/>
      <c r="Q51"/>
      <c r="R51"/>
      <c r="S51"/>
      <c r="T51"/>
      <c r="U51"/>
      <c r="V51"/>
      <c r="W51"/>
      <c r="X51"/>
      <c r="Y51"/>
      <c r="Z51"/>
      <c r="AA51"/>
      <c r="AB51"/>
      <c r="AC51"/>
      <c r="AD51"/>
      <c r="AE51"/>
      <c r="AF51"/>
      <c r="AG51"/>
      <c r="AH51"/>
      <c r="AI51"/>
    </row>
    <row r="52" spans="2:35" ht="12.75">
      <c r="B52"/>
      <c r="C52"/>
      <c r="D52"/>
      <c r="E52"/>
      <c r="F52"/>
      <c r="G52"/>
      <c r="H52"/>
      <c r="I52"/>
      <c r="J52"/>
      <c r="K52"/>
      <c r="L52"/>
      <c r="M52"/>
      <c r="N52"/>
      <c r="O52"/>
      <c r="P52"/>
      <c r="Q52"/>
      <c r="R52"/>
      <c r="S52"/>
      <c r="T52"/>
      <c r="U52"/>
      <c r="V52"/>
      <c r="W52"/>
      <c r="X52"/>
      <c r="Y52"/>
      <c r="Z52"/>
      <c r="AA52"/>
      <c r="AB52"/>
      <c r="AC52"/>
      <c r="AD52"/>
      <c r="AE52"/>
      <c r="AF52"/>
      <c r="AG52"/>
      <c r="AH52"/>
      <c r="AI52"/>
    </row>
    <row r="53" spans="2:35" ht="12.75">
      <c r="B53"/>
      <c r="C53"/>
      <c r="D53"/>
      <c r="E53"/>
      <c r="F53"/>
      <c r="G53"/>
      <c r="H53"/>
      <c r="I53"/>
      <c r="J53"/>
      <c r="K53"/>
      <c r="L53"/>
      <c r="M53"/>
      <c r="N53"/>
      <c r="O53"/>
      <c r="P53"/>
      <c r="Q53"/>
      <c r="R53"/>
      <c r="S53"/>
      <c r="T53"/>
      <c r="U53"/>
      <c r="V53"/>
      <c r="W53"/>
      <c r="X53"/>
      <c r="Y53"/>
      <c r="Z53"/>
      <c r="AA53"/>
      <c r="AB53"/>
      <c r="AC53"/>
      <c r="AD53"/>
      <c r="AE53"/>
      <c r="AF53"/>
      <c r="AG53"/>
      <c r="AH53"/>
      <c r="AI53"/>
    </row>
    <row r="54" spans="2:35" ht="12.75">
      <c r="B54"/>
      <c r="C54"/>
      <c r="D54"/>
      <c r="E54"/>
      <c r="F54"/>
      <c r="G54"/>
      <c r="H54"/>
      <c r="I54"/>
      <c r="J54"/>
      <c r="K54"/>
      <c r="L54"/>
      <c r="M54"/>
      <c r="N54"/>
      <c r="O54"/>
      <c r="P54"/>
      <c r="Q54"/>
      <c r="R54"/>
      <c r="S54"/>
      <c r="T54"/>
      <c r="U54"/>
      <c r="V54"/>
      <c r="W54"/>
      <c r="X54"/>
      <c r="Y54"/>
      <c r="Z54"/>
      <c r="AA54"/>
      <c r="AB54"/>
      <c r="AC54"/>
      <c r="AD54"/>
      <c r="AE54"/>
      <c r="AF54"/>
      <c r="AG54"/>
      <c r="AH54"/>
      <c r="AI54"/>
    </row>
    <row r="55" spans="2:35" ht="12.75">
      <c r="B55"/>
      <c r="C55"/>
      <c r="D55"/>
      <c r="E55"/>
      <c r="F55"/>
      <c r="G55"/>
      <c r="H55"/>
      <c r="I55"/>
      <c r="J55"/>
      <c r="K55"/>
      <c r="L55"/>
      <c r="M55"/>
      <c r="N55"/>
      <c r="O55"/>
      <c r="P55"/>
      <c r="Q55"/>
      <c r="R55"/>
      <c r="S55"/>
      <c r="T55"/>
      <c r="U55"/>
      <c r="V55"/>
      <c r="W55"/>
      <c r="X55"/>
      <c r="Y55"/>
      <c r="Z55"/>
      <c r="AA55"/>
      <c r="AB55"/>
      <c r="AC55"/>
      <c r="AD55"/>
      <c r="AE55"/>
      <c r="AF55"/>
      <c r="AG55"/>
      <c r="AH55"/>
      <c r="AI55"/>
    </row>
    <row r="56" spans="2:35" ht="12.75">
      <c r="B56"/>
      <c r="C56"/>
      <c r="D56"/>
      <c r="E56"/>
      <c r="F56"/>
      <c r="G56"/>
      <c r="H56"/>
      <c r="I56"/>
      <c r="J56"/>
      <c r="K56"/>
      <c r="L56"/>
      <c r="M56"/>
      <c r="N56"/>
      <c r="O56"/>
      <c r="P56"/>
      <c r="Q56"/>
      <c r="R56"/>
      <c r="S56"/>
      <c r="T56"/>
      <c r="U56"/>
      <c r="V56"/>
      <c r="W56"/>
      <c r="X56"/>
      <c r="Y56"/>
      <c r="Z56"/>
      <c r="AA56"/>
      <c r="AB56"/>
      <c r="AC56"/>
      <c r="AD56"/>
      <c r="AE56"/>
      <c r="AF56"/>
      <c r="AG56"/>
      <c r="AH56"/>
      <c r="AI56"/>
    </row>
    <row r="57" spans="2:35" ht="12.75">
      <c r="B57"/>
      <c r="C57"/>
      <c r="D57"/>
      <c r="E57"/>
      <c r="F57"/>
      <c r="G57"/>
      <c r="H57"/>
      <c r="I57"/>
      <c r="J57"/>
      <c r="K57"/>
      <c r="L57"/>
      <c r="M57"/>
      <c r="N57"/>
      <c r="O57"/>
      <c r="P57"/>
      <c r="Q57"/>
      <c r="R57"/>
      <c r="S57"/>
      <c r="T57"/>
      <c r="U57"/>
      <c r="V57"/>
      <c r="W57"/>
      <c r="X57"/>
      <c r="Y57"/>
      <c r="Z57"/>
      <c r="AA57"/>
      <c r="AB57"/>
      <c r="AC57"/>
      <c r="AD57"/>
      <c r="AE57"/>
      <c r="AF57"/>
      <c r="AG57"/>
      <c r="AH57"/>
      <c r="AI57"/>
    </row>
    <row r="58" spans="2:35" ht="12.75">
      <c r="B58"/>
      <c r="C58"/>
      <c r="D58"/>
      <c r="E58"/>
      <c r="F58"/>
      <c r="G58"/>
      <c r="H58"/>
      <c r="I58"/>
      <c r="J58"/>
      <c r="K58"/>
      <c r="L58"/>
      <c r="M58"/>
      <c r="N58"/>
      <c r="O58"/>
      <c r="P58"/>
      <c r="Q58"/>
      <c r="R58"/>
      <c r="S58"/>
      <c r="T58"/>
      <c r="U58"/>
      <c r="V58"/>
      <c r="W58"/>
      <c r="X58"/>
      <c r="Y58"/>
      <c r="Z58"/>
      <c r="AA58"/>
      <c r="AB58"/>
      <c r="AC58"/>
      <c r="AD58"/>
      <c r="AE58"/>
      <c r="AF58"/>
      <c r="AG58"/>
      <c r="AH58"/>
      <c r="AI58"/>
    </row>
    <row r="59" spans="2:35" ht="12.75">
      <c r="B59"/>
      <c r="C59"/>
      <c r="D59"/>
      <c r="E59"/>
      <c r="F59"/>
      <c r="G59"/>
      <c r="H59"/>
      <c r="I59"/>
      <c r="J59"/>
      <c r="K59"/>
      <c r="L59"/>
      <c r="M59"/>
      <c r="N59"/>
      <c r="O59"/>
      <c r="P59"/>
      <c r="Q59"/>
      <c r="R59"/>
      <c r="S59"/>
      <c r="T59"/>
      <c r="U59"/>
      <c r="V59"/>
      <c r="W59"/>
      <c r="X59"/>
      <c r="Y59"/>
      <c r="Z59"/>
      <c r="AA59"/>
      <c r="AB59"/>
      <c r="AC59"/>
      <c r="AD59"/>
      <c r="AE59"/>
      <c r="AF59"/>
      <c r="AG59"/>
      <c r="AH59"/>
      <c r="AI59"/>
    </row>
    <row r="60" spans="2:35" ht="12.75">
      <c r="B60"/>
      <c r="C60"/>
      <c r="D60"/>
      <c r="E60"/>
      <c r="F60"/>
      <c r="G60"/>
      <c r="H60"/>
      <c r="I60"/>
      <c r="J60"/>
      <c r="K60"/>
      <c r="L60"/>
      <c r="M60"/>
      <c r="N60"/>
      <c r="O60"/>
      <c r="P60"/>
      <c r="Q60"/>
      <c r="R60"/>
      <c r="S60"/>
      <c r="T60"/>
      <c r="U60"/>
      <c r="V60"/>
      <c r="W60"/>
      <c r="X60"/>
      <c r="Y60"/>
      <c r="Z60"/>
      <c r="AA60"/>
      <c r="AB60"/>
      <c r="AC60"/>
      <c r="AD60"/>
      <c r="AE60"/>
      <c r="AF60"/>
      <c r="AG60"/>
      <c r="AH60"/>
      <c r="AI60"/>
    </row>
    <row r="61" spans="2:35" ht="12.75">
      <c r="B61"/>
      <c r="C61"/>
      <c r="D61"/>
      <c r="E61"/>
      <c r="F61"/>
      <c r="G61"/>
      <c r="H61"/>
      <c r="I61"/>
      <c r="J61"/>
      <c r="K61"/>
      <c r="L61"/>
      <c r="M61"/>
      <c r="N61"/>
      <c r="O61"/>
      <c r="P61"/>
      <c r="Q61"/>
      <c r="R61"/>
      <c r="S61"/>
      <c r="T61"/>
      <c r="U61"/>
      <c r="V61"/>
      <c r="W61"/>
      <c r="X61"/>
      <c r="Y61"/>
      <c r="Z61"/>
      <c r="AA61"/>
      <c r="AB61"/>
      <c r="AC61"/>
      <c r="AD61"/>
      <c r="AE61"/>
      <c r="AF61"/>
      <c r="AG61"/>
      <c r="AH61"/>
      <c r="AI61"/>
    </row>
    <row r="62" spans="2:35" ht="12.75">
      <c r="B62"/>
      <c r="C62"/>
      <c r="D62"/>
      <c r="E62"/>
      <c r="F62"/>
      <c r="G62"/>
      <c r="H62"/>
      <c r="I62"/>
      <c r="J62"/>
      <c r="K62"/>
      <c r="L62"/>
      <c r="M62"/>
      <c r="N62"/>
      <c r="O62"/>
      <c r="P62"/>
      <c r="Q62"/>
      <c r="R62"/>
      <c r="S62"/>
      <c r="T62"/>
      <c r="U62"/>
      <c r="V62"/>
      <c r="W62"/>
      <c r="X62"/>
      <c r="Y62"/>
      <c r="Z62"/>
      <c r="AA62"/>
      <c r="AB62"/>
      <c r="AC62"/>
      <c r="AD62"/>
      <c r="AE62"/>
      <c r="AF62"/>
      <c r="AG62"/>
      <c r="AH62"/>
      <c r="AI62"/>
    </row>
    <row r="63" spans="2:35" ht="12.75">
      <c r="B63"/>
      <c r="C63"/>
      <c r="D63"/>
      <c r="E63"/>
      <c r="F63"/>
      <c r="G63"/>
      <c r="H63"/>
      <c r="I63"/>
      <c r="J63"/>
      <c r="K63"/>
      <c r="L63"/>
      <c r="M63"/>
      <c r="N63"/>
      <c r="O63"/>
      <c r="P63"/>
      <c r="Q63"/>
      <c r="R63"/>
      <c r="S63"/>
      <c r="T63"/>
      <c r="U63"/>
      <c r="V63"/>
      <c r="W63"/>
      <c r="X63"/>
      <c r="Y63"/>
      <c r="Z63"/>
      <c r="AA63"/>
      <c r="AB63"/>
      <c r="AC63"/>
      <c r="AD63"/>
      <c r="AE63"/>
      <c r="AF63"/>
      <c r="AG63"/>
      <c r="AH63"/>
      <c r="AI63"/>
    </row>
    <row r="64" spans="2:35" ht="12.75">
      <c r="B64"/>
      <c r="C64"/>
      <c r="D64"/>
      <c r="E64"/>
      <c r="F64"/>
      <c r="G64"/>
      <c r="H64"/>
      <c r="I64"/>
      <c r="J64"/>
      <c r="K64"/>
      <c r="L64"/>
      <c r="M64"/>
      <c r="N64"/>
      <c r="O64"/>
      <c r="P64"/>
      <c r="Q64"/>
      <c r="R64"/>
      <c r="S64"/>
      <c r="T64"/>
      <c r="U64"/>
      <c r="V64"/>
      <c r="W64"/>
      <c r="X64"/>
      <c r="Y64"/>
      <c r="Z64"/>
      <c r="AA64"/>
      <c r="AB64"/>
      <c r="AC64"/>
      <c r="AD64"/>
      <c r="AE64"/>
      <c r="AF64"/>
      <c r="AG64"/>
      <c r="AH64"/>
      <c r="AI64"/>
    </row>
    <row r="65" spans="2:35" ht="12.75">
      <c r="B65"/>
      <c r="C65"/>
      <c r="D65"/>
      <c r="E65"/>
      <c r="F65"/>
      <c r="G65"/>
      <c r="H65"/>
      <c r="I65"/>
      <c r="J65"/>
      <c r="K65"/>
      <c r="L65"/>
      <c r="M65"/>
      <c r="N65"/>
      <c r="O65"/>
      <c r="P65"/>
      <c r="Q65"/>
      <c r="R65"/>
      <c r="S65"/>
      <c r="T65"/>
      <c r="U65"/>
      <c r="V65"/>
      <c r="W65"/>
      <c r="X65"/>
      <c r="Y65"/>
      <c r="Z65"/>
      <c r="AA65"/>
      <c r="AB65"/>
      <c r="AC65"/>
      <c r="AD65"/>
      <c r="AE65"/>
      <c r="AF65"/>
      <c r="AG65"/>
      <c r="AH65"/>
      <c r="AI65"/>
    </row>
    <row r="66" spans="2:35" ht="12.75">
      <c r="B66"/>
      <c r="C66"/>
      <c r="D66"/>
      <c r="E66"/>
      <c r="F66"/>
      <c r="G66"/>
      <c r="H66"/>
      <c r="I66"/>
      <c r="J66"/>
      <c r="K66"/>
      <c r="L66"/>
      <c r="M66"/>
      <c r="N66"/>
      <c r="O66"/>
      <c r="P66"/>
      <c r="Q66"/>
      <c r="R66"/>
      <c r="S66"/>
      <c r="T66"/>
      <c r="U66"/>
      <c r="V66"/>
      <c r="W66"/>
      <c r="X66"/>
      <c r="Y66"/>
      <c r="Z66"/>
      <c r="AA66"/>
      <c r="AB66"/>
      <c r="AC66"/>
      <c r="AD66"/>
      <c r="AE66"/>
      <c r="AF66"/>
      <c r="AG66"/>
      <c r="AH66"/>
      <c r="AI66"/>
    </row>
    <row r="67" spans="2:35" ht="12.75">
      <c r="B67"/>
      <c r="C67"/>
      <c r="D67"/>
      <c r="E67"/>
      <c r="F67"/>
      <c r="G67"/>
      <c r="H67"/>
      <c r="I67"/>
      <c r="J67"/>
      <c r="K67"/>
      <c r="L67"/>
      <c r="M67"/>
      <c r="N67"/>
      <c r="O67"/>
      <c r="P67"/>
      <c r="Q67"/>
      <c r="R67"/>
      <c r="S67"/>
      <c r="T67"/>
      <c r="U67"/>
      <c r="V67"/>
      <c r="W67"/>
      <c r="X67"/>
      <c r="Y67"/>
      <c r="Z67"/>
      <c r="AA67"/>
      <c r="AB67"/>
      <c r="AC67"/>
      <c r="AD67"/>
      <c r="AE67"/>
      <c r="AF67"/>
      <c r="AG67"/>
      <c r="AH67"/>
      <c r="AI67"/>
    </row>
    <row r="68" spans="2:35" ht="12.75">
      <c r="B68"/>
      <c r="C68"/>
      <c r="D68"/>
      <c r="E68"/>
      <c r="F68"/>
      <c r="G68"/>
      <c r="H68"/>
      <c r="I68"/>
      <c r="J68"/>
      <c r="K68"/>
      <c r="L68"/>
      <c r="M68"/>
      <c r="N68"/>
      <c r="O68"/>
      <c r="P68"/>
      <c r="Q68"/>
      <c r="R68"/>
      <c r="S68"/>
      <c r="T68"/>
      <c r="U68"/>
      <c r="V68"/>
      <c r="W68"/>
      <c r="X68"/>
      <c r="Y68"/>
      <c r="Z68"/>
      <c r="AA68"/>
      <c r="AB68"/>
      <c r="AC68"/>
      <c r="AD68"/>
      <c r="AE68"/>
      <c r="AF68"/>
      <c r="AG68"/>
      <c r="AH68"/>
      <c r="AI68"/>
    </row>
    <row r="69" spans="2:35" ht="12.75">
      <c r="B69"/>
      <c r="C69"/>
      <c r="D69"/>
      <c r="E69"/>
      <c r="F69"/>
      <c r="G69"/>
      <c r="H69"/>
      <c r="I69"/>
      <c r="J69"/>
      <c r="K69"/>
      <c r="L69"/>
      <c r="M69"/>
      <c r="N69"/>
      <c r="O69"/>
      <c r="P69"/>
      <c r="Q69"/>
      <c r="R69"/>
      <c r="S69"/>
      <c r="T69"/>
      <c r="U69"/>
      <c r="V69"/>
      <c r="W69"/>
      <c r="X69"/>
      <c r="Y69"/>
      <c r="Z69"/>
      <c r="AA69"/>
      <c r="AB69"/>
      <c r="AC69"/>
      <c r="AD69"/>
      <c r="AE69"/>
      <c r="AF69"/>
      <c r="AG69"/>
      <c r="AH69"/>
      <c r="AI69"/>
    </row>
    <row r="70" spans="2:35" ht="12.75">
      <c r="B70"/>
      <c r="C70"/>
      <c r="D70"/>
      <c r="E70"/>
      <c r="F70"/>
      <c r="G70"/>
      <c r="H70"/>
      <c r="I70"/>
      <c r="J70"/>
      <c r="K70"/>
      <c r="L70"/>
      <c r="M70"/>
      <c r="N70"/>
      <c r="O70"/>
      <c r="P70"/>
      <c r="Q70"/>
      <c r="R70"/>
      <c r="S70"/>
      <c r="T70"/>
      <c r="U70"/>
      <c r="V70"/>
      <c r="W70"/>
      <c r="X70"/>
      <c r="Y70"/>
      <c r="Z70"/>
      <c r="AA70"/>
      <c r="AB70"/>
      <c r="AC70"/>
      <c r="AD70"/>
      <c r="AE70"/>
      <c r="AF70"/>
      <c r="AG70"/>
      <c r="AH70"/>
      <c r="AI70"/>
    </row>
    <row r="71" spans="2:35" ht="12.75">
      <c r="B71"/>
      <c r="C71"/>
      <c r="D71"/>
      <c r="E71"/>
      <c r="F71"/>
      <c r="G71"/>
      <c r="H71"/>
      <c r="I71"/>
      <c r="J71"/>
      <c r="K71"/>
      <c r="L71"/>
      <c r="M71"/>
      <c r="N71"/>
      <c r="O71"/>
      <c r="P71"/>
      <c r="Q71"/>
      <c r="R71"/>
      <c r="S71"/>
      <c r="T71"/>
      <c r="U71"/>
      <c r="V71"/>
      <c r="W71"/>
      <c r="X71"/>
      <c r="Y71"/>
      <c r="Z71"/>
      <c r="AA71"/>
      <c r="AB71"/>
      <c r="AC71"/>
      <c r="AD71"/>
      <c r="AE71"/>
      <c r="AF71"/>
      <c r="AG71"/>
      <c r="AH71"/>
      <c r="AI71"/>
    </row>
    <row r="72" spans="2:35" ht="12.75">
      <c r="B72"/>
      <c r="C72"/>
      <c r="D72"/>
      <c r="E72"/>
      <c r="F72"/>
      <c r="G72"/>
      <c r="H72"/>
      <c r="I72"/>
      <c r="J72"/>
      <c r="K72"/>
      <c r="L72"/>
      <c r="M72"/>
      <c r="N72"/>
      <c r="O72"/>
      <c r="P72"/>
      <c r="Q72"/>
      <c r="R72"/>
      <c r="S72"/>
      <c r="T72"/>
      <c r="U72"/>
      <c r="V72"/>
      <c r="W72"/>
      <c r="X72"/>
      <c r="Y72"/>
      <c r="Z72"/>
      <c r="AA72"/>
      <c r="AB72"/>
      <c r="AC72"/>
      <c r="AD72"/>
      <c r="AE72"/>
      <c r="AF72"/>
      <c r="AG72"/>
      <c r="AH72"/>
      <c r="AI72"/>
    </row>
    <row r="73" spans="2:35" ht="12.75">
      <c r="B73"/>
      <c r="C73"/>
      <c r="D73"/>
      <c r="E73"/>
      <c r="F73"/>
      <c r="G73"/>
      <c r="H73"/>
      <c r="I73"/>
      <c r="J73"/>
      <c r="K73"/>
      <c r="L73"/>
      <c r="M73"/>
      <c r="N73"/>
      <c r="O73"/>
      <c r="P73"/>
      <c r="Q73"/>
      <c r="R73"/>
      <c r="S73"/>
      <c r="T73"/>
      <c r="U73"/>
      <c r="V73"/>
      <c r="W73"/>
      <c r="X73"/>
      <c r="Y73"/>
      <c r="Z73"/>
      <c r="AA73"/>
      <c r="AB73"/>
      <c r="AC73"/>
      <c r="AD73"/>
      <c r="AE73"/>
      <c r="AF73"/>
      <c r="AG73"/>
      <c r="AH73"/>
      <c r="AI73"/>
    </row>
    <row r="74" spans="2:35" ht="12.75">
      <c r="B74"/>
      <c r="C74"/>
      <c r="D74"/>
      <c r="E74"/>
      <c r="F74"/>
      <c r="G74"/>
      <c r="H74"/>
      <c r="I74"/>
      <c r="J74"/>
      <c r="K74"/>
      <c r="L74"/>
      <c r="M74"/>
      <c r="N74"/>
      <c r="O74"/>
      <c r="P74"/>
      <c r="Q74"/>
      <c r="R74"/>
      <c r="S74"/>
      <c r="T74"/>
      <c r="U74"/>
      <c r="V74"/>
      <c r="W74"/>
      <c r="X74"/>
      <c r="Y74"/>
      <c r="Z74"/>
      <c r="AA74"/>
      <c r="AB74"/>
      <c r="AC74"/>
      <c r="AD74"/>
      <c r="AE74"/>
      <c r="AF74"/>
      <c r="AG74"/>
      <c r="AH74"/>
      <c r="AI74"/>
    </row>
    <row r="75" spans="2:35" ht="12.75">
      <c r="B75"/>
      <c r="C75"/>
      <c r="D75"/>
      <c r="E75"/>
      <c r="F75"/>
      <c r="G75"/>
      <c r="H75"/>
      <c r="I75"/>
      <c r="J75"/>
      <c r="K75"/>
      <c r="L75"/>
      <c r="M75"/>
      <c r="N75"/>
      <c r="O75"/>
      <c r="P75"/>
      <c r="Q75"/>
      <c r="R75"/>
      <c r="S75"/>
      <c r="T75"/>
      <c r="U75"/>
      <c r="V75"/>
      <c r="W75"/>
      <c r="X75"/>
      <c r="Y75"/>
      <c r="Z75"/>
      <c r="AA75"/>
      <c r="AB75"/>
      <c r="AC75"/>
      <c r="AD75"/>
      <c r="AE75"/>
      <c r="AF75"/>
      <c r="AG75"/>
      <c r="AH75"/>
      <c r="AI75"/>
    </row>
    <row r="76" spans="2:35" ht="12.75">
      <c r="B76"/>
      <c r="C76"/>
      <c r="D76"/>
      <c r="E76"/>
      <c r="F76"/>
      <c r="G76"/>
      <c r="H76"/>
      <c r="I76"/>
      <c r="J76"/>
      <c r="K76"/>
      <c r="L76"/>
      <c r="M76"/>
      <c r="N76"/>
      <c r="O76"/>
      <c r="P76"/>
      <c r="Q76"/>
      <c r="R76"/>
      <c r="S76"/>
      <c r="T76"/>
      <c r="U76"/>
      <c r="V76"/>
      <c r="W76"/>
      <c r="X76"/>
      <c r="Y76"/>
      <c r="Z76"/>
      <c r="AA76"/>
      <c r="AB76"/>
      <c r="AC76"/>
      <c r="AD76"/>
      <c r="AE76"/>
      <c r="AF76"/>
      <c r="AG76"/>
      <c r="AH76"/>
      <c r="AI76"/>
    </row>
    <row r="77" spans="2:35" ht="12.75">
      <c r="B77"/>
      <c r="C77"/>
      <c r="D77"/>
      <c r="E77"/>
      <c r="F77"/>
      <c r="G77"/>
      <c r="H77"/>
      <c r="I77"/>
      <c r="J77"/>
      <c r="K77"/>
      <c r="L77"/>
      <c r="M77"/>
      <c r="N77"/>
      <c r="O77"/>
      <c r="P77"/>
      <c r="Q77"/>
      <c r="R77"/>
      <c r="S77"/>
      <c r="T77"/>
      <c r="U77"/>
      <c r="V77"/>
      <c r="W77"/>
      <c r="X77"/>
      <c r="Y77"/>
      <c r="Z77"/>
      <c r="AA77"/>
      <c r="AB77"/>
      <c r="AC77"/>
      <c r="AD77"/>
      <c r="AE77"/>
      <c r="AF77"/>
      <c r="AG77"/>
      <c r="AH77"/>
      <c r="AI77"/>
    </row>
    <row r="78" spans="2:35" ht="12.75">
      <c r="B78"/>
      <c r="C78"/>
      <c r="D78"/>
      <c r="E78"/>
      <c r="F78"/>
      <c r="G78"/>
      <c r="H78"/>
      <c r="I78"/>
      <c r="J78"/>
      <c r="K78"/>
      <c r="L78"/>
      <c r="M78"/>
      <c r="N78"/>
      <c r="O78"/>
      <c r="P78"/>
      <c r="Q78"/>
      <c r="R78"/>
      <c r="S78"/>
      <c r="T78"/>
      <c r="U78"/>
      <c r="V78"/>
      <c r="W78"/>
      <c r="X78"/>
      <c r="Y78"/>
      <c r="Z78"/>
      <c r="AA78"/>
      <c r="AB78"/>
      <c r="AC78"/>
      <c r="AD78"/>
      <c r="AE78"/>
      <c r="AF78"/>
      <c r="AG78"/>
      <c r="AH78"/>
      <c r="AI78"/>
    </row>
    <row r="79" spans="2:35" ht="12.75">
      <c r="B79"/>
      <c r="C79"/>
      <c r="D79"/>
      <c r="E79"/>
      <c r="F79"/>
      <c r="G79"/>
      <c r="H79"/>
      <c r="I79"/>
      <c r="J79"/>
      <c r="K79"/>
      <c r="L79"/>
      <c r="M79"/>
      <c r="N79"/>
      <c r="O79"/>
      <c r="P79"/>
      <c r="Q79"/>
      <c r="R79"/>
      <c r="S79"/>
      <c r="T79"/>
      <c r="U79"/>
      <c r="V79"/>
      <c r="W79"/>
      <c r="X79"/>
      <c r="Y79"/>
      <c r="Z79"/>
      <c r="AA79"/>
      <c r="AB79"/>
      <c r="AC79"/>
      <c r="AD79"/>
      <c r="AE79"/>
      <c r="AF79"/>
      <c r="AG79"/>
      <c r="AH79"/>
      <c r="AI79"/>
    </row>
    <row r="80" spans="2:35" ht="12.75">
      <c r="B80"/>
      <c r="C80"/>
      <c r="D80"/>
      <c r="E80"/>
      <c r="F80"/>
      <c r="G80"/>
      <c r="H80"/>
      <c r="I80"/>
      <c r="J80"/>
      <c r="K80"/>
      <c r="L80"/>
      <c r="M80"/>
      <c r="N80"/>
      <c r="O80"/>
      <c r="P80"/>
      <c r="Q80"/>
      <c r="R80"/>
      <c r="S80"/>
      <c r="T80"/>
      <c r="U80"/>
      <c r="V80"/>
      <c r="W80"/>
      <c r="X80"/>
      <c r="Y80"/>
      <c r="Z80"/>
      <c r="AA80"/>
      <c r="AB80"/>
      <c r="AC80"/>
      <c r="AD80"/>
      <c r="AE80"/>
      <c r="AF80"/>
      <c r="AG80"/>
      <c r="AH80"/>
      <c r="AI80"/>
    </row>
  </sheetData>
  <sheetProtection password="B271" sheet="1" objects="1" scenarios="1"/>
  <mergeCells count="93">
    <mergeCell ref="B1:D1"/>
    <mergeCell ref="B2:D2"/>
    <mergeCell ref="W10:AG10"/>
    <mergeCell ref="W4:AG5"/>
    <mergeCell ref="W8:AG9"/>
    <mergeCell ref="W6:AG6"/>
    <mergeCell ref="G4:P5"/>
    <mergeCell ref="B4:F5"/>
    <mergeCell ref="B6:F7"/>
    <mergeCell ref="G6:P7"/>
    <mergeCell ref="C30:G30"/>
    <mergeCell ref="P36:Q36"/>
    <mergeCell ref="W36:X36"/>
    <mergeCell ref="W37:X37"/>
    <mergeCell ref="P37:Q37"/>
    <mergeCell ref="C32:G32"/>
    <mergeCell ref="C37:H37"/>
    <mergeCell ref="C33:L33"/>
    <mergeCell ref="P33:X33"/>
    <mergeCell ref="M33:N33"/>
    <mergeCell ref="AW36:AZ36"/>
    <mergeCell ref="I37:J37"/>
    <mergeCell ref="AW37:AZ37"/>
    <mergeCell ref="AA37:AB37"/>
    <mergeCell ref="AW38:AZ38"/>
    <mergeCell ref="AA38:AB38"/>
    <mergeCell ref="AE1:AI1"/>
    <mergeCell ref="AE2:AI2"/>
    <mergeCell ref="H1:AB2"/>
    <mergeCell ref="AA36:AB36"/>
    <mergeCell ref="V22:Z22"/>
    <mergeCell ref="Y33:Z33"/>
    <mergeCell ref="AE32:AF32"/>
    <mergeCell ref="I25:J25"/>
    <mergeCell ref="Y32:AD32"/>
    <mergeCell ref="Q32:T32"/>
    <mergeCell ref="I38:J38"/>
    <mergeCell ref="P38:Q38"/>
    <mergeCell ref="W38:X38"/>
    <mergeCell ref="H32:I32"/>
    <mergeCell ref="I36:J36"/>
    <mergeCell ref="AD33:AI33"/>
    <mergeCell ref="V35:Z35"/>
    <mergeCell ref="C36:H36"/>
    <mergeCell ref="W24:X24"/>
    <mergeCell ref="M32:N32"/>
    <mergeCell ref="P22:S22"/>
    <mergeCell ref="W25:X25"/>
    <mergeCell ref="U32:V32"/>
    <mergeCell ref="AD20:AI20"/>
    <mergeCell ref="AE19:AF19"/>
    <mergeCell ref="M19:N19"/>
    <mergeCell ref="U19:V19"/>
    <mergeCell ref="Q19:T19"/>
    <mergeCell ref="Y19:AD19"/>
    <mergeCell ref="M20:N20"/>
    <mergeCell ref="P20:X20"/>
    <mergeCell ref="Y20:Z20"/>
    <mergeCell ref="AW24:AZ24"/>
    <mergeCell ref="W23:X23"/>
    <mergeCell ref="AW23:AZ23"/>
    <mergeCell ref="C25:H25"/>
    <mergeCell ref="I23:J23"/>
    <mergeCell ref="I24:J24"/>
    <mergeCell ref="P23:Q23"/>
    <mergeCell ref="P24:Q24"/>
    <mergeCell ref="P25:Q25"/>
    <mergeCell ref="AW25:AZ25"/>
    <mergeCell ref="J15:L15"/>
    <mergeCell ref="B8:F9"/>
    <mergeCell ref="G8:P9"/>
    <mergeCell ref="G10:P10"/>
    <mergeCell ref="C12:F12"/>
    <mergeCell ref="B10:F10"/>
    <mergeCell ref="C19:G19"/>
    <mergeCell ref="H17:I17"/>
    <mergeCell ref="H19:I19"/>
    <mergeCell ref="G12:I12"/>
    <mergeCell ref="C15:G15"/>
    <mergeCell ref="J28:L28"/>
    <mergeCell ref="C28:G28"/>
    <mergeCell ref="H30:I30"/>
    <mergeCell ref="AW2:AZ5"/>
    <mergeCell ref="C20:L20"/>
    <mergeCell ref="C23:H23"/>
    <mergeCell ref="C24:H24"/>
    <mergeCell ref="I22:L22"/>
    <mergeCell ref="C22:G22"/>
    <mergeCell ref="C17:G17"/>
    <mergeCell ref="C38:H38"/>
    <mergeCell ref="C35:G35"/>
    <mergeCell ref="I35:L35"/>
    <mergeCell ref="P35:S35"/>
  </mergeCells>
  <dataValidations count="4">
    <dataValidation type="decimal" allowBlank="1" showInputMessage="1" showErrorMessage="1" errorTitle="ACRES TO LARGE" error="Acres must be between 1 and 2000." sqref="H19:I19">
      <formula1>1</formula1>
      <formula2>2000.1</formula2>
    </dataValidation>
    <dataValidation type="decimal" allowBlank="1" showInputMessage="1" showErrorMessage="1" errorTitle="ACRES TO LARGE" error="Acres must be tetween 1 and 2000." sqref="H32:I32">
      <formula1>1</formula1>
      <formula2>2000.1</formula2>
    </dataValidation>
    <dataValidation type="decimal" allowBlank="1" showInputMessage="1" showErrorMessage="1" errorTitle="HYDRAULIC LENGTH" error="Length must be between 200 and 26,000 feet." sqref="U32:V32 U19:V19">
      <formula1>199.9</formula1>
      <formula2>26000.1</formula2>
    </dataValidation>
    <dataValidation type="decimal" allowBlank="1" showInputMessage="1" showErrorMessage="1" errorTitle="WRONG SLOPE" error="Slope must be between 0.3 and 64 percent." sqref="AE32:AF32 AE19:AF19">
      <formula1>0.29</formula1>
      <formula2>64.1</formula2>
    </dataValidation>
  </dataValidations>
  <printOptions/>
  <pageMargins left="0.75" right="0.5" top="0.75" bottom="0.25" header="0.5" footer="0.5"/>
  <pageSetup blackAndWhite="1"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codeName="Sheet6"/>
  <dimension ref="A2:CW366"/>
  <sheetViews>
    <sheetView zoomScale="90" zoomScaleNormal="90" workbookViewId="0" topLeftCell="A1">
      <pane ySplit="4" topLeftCell="BM5" activePane="bottomLeft" state="frozen"/>
      <selection pane="topLeft" activeCell="A1" sqref="A1"/>
      <selection pane="bottomLeft" activeCell="A125" sqref="A125"/>
    </sheetView>
  </sheetViews>
  <sheetFormatPr defaultColWidth="9.140625" defaultRowHeight="12.75"/>
  <cols>
    <col min="1" max="1" width="11.57421875" style="55" bestFit="1" customWidth="1"/>
    <col min="2" max="16384" width="8.00390625" style="55" customWidth="1"/>
  </cols>
  <sheetData>
    <row r="2" spans="1:39" ht="12.75">
      <c r="A2" s="54" t="s">
        <v>163</v>
      </c>
      <c r="B2" s="380" t="s">
        <v>292</v>
      </c>
      <c r="K2" s="6"/>
      <c r="O2" s="6"/>
      <c r="S2" s="6"/>
      <c r="W2" s="6"/>
      <c r="AA2" s="6"/>
      <c r="AE2" s="6"/>
      <c r="AI2" s="6"/>
      <c r="AM2" s="6"/>
    </row>
    <row r="3" spans="1:40" ht="12.75">
      <c r="A3" s="5" t="s">
        <v>45</v>
      </c>
      <c r="B3" s="6">
        <v>2</v>
      </c>
      <c r="C3" s="6">
        <v>5</v>
      </c>
      <c r="D3" s="6">
        <v>10</v>
      </c>
      <c r="E3" s="6">
        <v>25</v>
      </c>
      <c r="F3" s="6">
        <v>50</v>
      </c>
      <c r="G3" s="6">
        <v>100</v>
      </c>
      <c r="H3" s="5" t="s">
        <v>46</v>
      </c>
      <c r="I3" s="55" t="s">
        <v>164</v>
      </c>
      <c r="J3" s="7" t="s">
        <v>44</v>
      </c>
      <c r="K3" s="6"/>
      <c r="L3" s="6"/>
      <c r="M3" s="5"/>
      <c r="N3" s="6"/>
      <c r="O3" s="6"/>
      <c r="P3" s="6"/>
      <c r="Q3" s="5"/>
      <c r="R3" s="6"/>
      <c r="S3" s="6"/>
      <c r="T3" s="6"/>
      <c r="U3" s="5"/>
      <c r="V3" s="6"/>
      <c r="W3" s="6"/>
      <c r="X3" s="6"/>
      <c r="Y3" s="5"/>
      <c r="Z3" s="6"/>
      <c r="AA3" s="6"/>
      <c r="AB3" s="6"/>
      <c r="AC3" s="5"/>
      <c r="AD3" s="6"/>
      <c r="AE3" s="6"/>
      <c r="AF3" s="6"/>
      <c r="AG3" s="5"/>
      <c r="AH3" s="6"/>
      <c r="AI3" s="6"/>
      <c r="AJ3" s="6"/>
      <c r="AK3" s="5"/>
      <c r="AL3" s="6"/>
      <c r="AM3" s="6"/>
      <c r="AN3" s="6"/>
    </row>
    <row r="4" spans="1:40" ht="12.75">
      <c r="A4" s="6">
        <v>1</v>
      </c>
      <c r="B4" s="6">
        <v>2</v>
      </c>
      <c r="C4" s="6">
        <v>3</v>
      </c>
      <c r="D4" s="6">
        <v>4</v>
      </c>
      <c r="E4" s="6">
        <v>5</v>
      </c>
      <c r="F4" s="6">
        <v>6</v>
      </c>
      <c r="G4" s="6">
        <v>7</v>
      </c>
      <c r="H4" s="6">
        <v>8</v>
      </c>
      <c r="I4" s="55" t="s">
        <v>165</v>
      </c>
      <c r="J4" s="7" t="s">
        <v>47</v>
      </c>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row>
    <row r="5" spans="1:40" ht="12.75">
      <c r="A5" s="6"/>
      <c r="B5" s="8"/>
      <c r="C5" s="8"/>
      <c r="D5" s="8"/>
      <c r="E5" s="8"/>
      <c r="F5" s="8"/>
      <c r="G5" s="8"/>
      <c r="H5" s="8"/>
      <c r="J5" s="9"/>
      <c r="K5" s="56"/>
      <c r="L5"/>
      <c r="M5"/>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row>
    <row r="6" spans="1:40" ht="12.75">
      <c r="A6" s="6" t="s">
        <v>48</v>
      </c>
      <c r="B6" s="8">
        <v>3.8</v>
      </c>
      <c r="C6" s="8">
        <v>4.9</v>
      </c>
      <c r="D6" s="8">
        <v>5.7</v>
      </c>
      <c r="E6" s="8">
        <v>6.6</v>
      </c>
      <c r="F6" s="8">
        <v>7.3</v>
      </c>
      <c r="G6" s="8">
        <v>8.3</v>
      </c>
      <c r="H6" s="8">
        <v>37.3</v>
      </c>
      <c r="I6" s="55">
        <v>240</v>
      </c>
      <c r="J6" s="9">
        <v>1</v>
      </c>
      <c r="K6" s="56"/>
      <c r="L6"/>
      <c r="M6"/>
      <c r="N6" s="56"/>
      <c r="O6" s="56"/>
      <c r="P6" s="56"/>
      <c r="Q6" s="56"/>
      <c r="R6" s="56"/>
      <c r="S6" s="56"/>
      <c r="T6" s="56"/>
      <c r="U6" s="56"/>
      <c r="V6" s="56"/>
      <c r="W6" s="390"/>
      <c r="X6" s="56"/>
      <c r="Y6" s="56"/>
      <c r="Z6" s="56"/>
      <c r="AA6" s="56"/>
      <c r="AB6" s="56"/>
      <c r="AC6" s="56"/>
      <c r="AD6" s="56"/>
      <c r="AE6" s="56"/>
      <c r="AF6" s="56"/>
      <c r="AG6" s="56"/>
      <c r="AH6" s="56"/>
      <c r="AI6" s="56"/>
      <c r="AJ6" s="56"/>
      <c r="AK6" s="56"/>
      <c r="AL6" s="56"/>
      <c r="AM6" s="56"/>
      <c r="AN6" s="56"/>
    </row>
    <row r="7" spans="1:40" ht="12.75">
      <c r="A7" s="6" t="s">
        <v>49</v>
      </c>
      <c r="B7" s="8">
        <v>3.7</v>
      </c>
      <c r="C7" s="8">
        <v>4.8</v>
      </c>
      <c r="D7" s="8">
        <v>5.6</v>
      </c>
      <c r="E7" s="8">
        <v>6.5</v>
      </c>
      <c r="F7" s="8">
        <v>7.2</v>
      </c>
      <c r="G7" s="8">
        <v>8.2</v>
      </c>
      <c r="H7" s="8">
        <v>41.7</v>
      </c>
      <c r="I7" s="55">
        <v>240</v>
      </c>
      <c r="J7" s="9">
        <v>1</v>
      </c>
      <c r="K7" s="56"/>
      <c r="L7"/>
      <c r="M7"/>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row>
    <row r="8" spans="1:40" ht="12.75">
      <c r="A8" s="7" t="s">
        <v>50</v>
      </c>
      <c r="B8" s="8">
        <v>3.4</v>
      </c>
      <c r="C8" s="8">
        <v>4.5</v>
      </c>
      <c r="D8" s="8">
        <v>5.2</v>
      </c>
      <c r="E8" s="8">
        <v>6</v>
      </c>
      <c r="F8" s="8">
        <v>6.7</v>
      </c>
      <c r="G8" s="8">
        <v>7.6</v>
      </c>
      <c r="H8" s="8">
        <v>36.2</v>
      </c>
      <c r="I8" s="55">
        <v>240</v>
      </c>
      <c r="J8" s="9">
        <v>1</v>
      </c>
      <c r="K8" s="56"/>
      <c r="L8"/>
      <c r="M8"/>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row>
    <row r="9" spans="1:40" ht="12.75">
      <c r="A9" s="6" t="s">
        <v>51</v>
      </c>
      <c r="B9" s="8">
        <v>3.1</v>
      </c>
      <c r="C9" s="8">
        <v>4.2</v>
      </c>
      <c r="D9" s="8">
        <v>5</v>
      </c>
      <c r="E9" s="8">
        <v>5.8</v>
      </c>
      <c r="F9" s="8">
        <v>6.6</v>
      </c>
      <c r="G9" s="8">
        <v>7.4</v>
      </c>
      <c r="H9" s="8">
        <v>25.2</v>
      </c>
      <c r="I9" s="55">
        <v>320</v>
      </c>
      <c r="J9" s="9">
        <v>3</v>
      </c>
      <c r="K9" s="56"/>
      <c r="L9"/>
      <c r="M9"/>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row>
    <row r="10" spans="1:40" ht="12.75">
      <c r="A10" s="6" t="s">
        <v>52</v>
      </c>
      <c r="B10" s="8">
        <v>2.8</v>
      </c>
      <c r="C10" s="8">
        <v>3.8</v>
      </c>
      <c r="D10" s="8">
        <v>4.6</v>
      </c>
      <c r="E10" s="8">
        <v>5.3</v>
      </c>
      <c r="F10" s="8">
        <v>6.1</v>
      </c>
      <c r="G10" s="8">
        <v>6.9</v>
      </c>
      <c r="H10" s="8">
        <v>25.9</v>
      </c>
      <c r="I10" s="55">
        <v>320</v>
      </c>
      <c r="J10" s="9">
        <v>2</v>
      </c>
      <c r="K10" s="56"/>
      <c r="L10"/>
      <c r="M10"/>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row>
    <row r="11" spans="1:40" ht="12.75">
      <c r="A11" s="6" t="s">
        <v>53</v>
      </c>
      <c r="B11" s="8">
        <v>3.8</v>
      </c>
      <c r="C11" s="8">
        <v>4.9</v>
      </c>
      <c r="D11" s="8">
        <v>5.7</v>
      </c>
      <c r="E11" s="8">
        <v>6.6</v>
      </c>
      <c r="F11" s="8">
        <v>7.4</v>
      </c>
      <c r="G11" s="8">
        <v>8.2</v>
      </c>
      <c r="H11" s="8">
        <v>40.1</v>
      </c>
      <c r="I11" s="55">
        <v>240</v>
      </c>
      <c r="J11" s="9">
        <v>1</v>
      </c>
      <c r="K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row>
    <row r="12" spans="1:40" ht="12.75">
      <c r="A12" s="7" t="s">
        <v>54</v>
      </c>
      <c r="B12" s="8">
        <v>3.3</v>
      </c>
      <c r="C12" s="8">
        <v>4.4</v>
      </c>
      <c r="D12" s="8">
        <v>5.1</v>
      </c>
      <c r="E12" s="8">
        <v>5.9</v>
      </c>
      <c r="F12" s="8">
        <v>6.6</v>
      </c>
      <c r="G12" s="8">
        <v>7.4</v>
      </c>
      <c r="H12" s="8">
        <v>37</v>
      </c>
      <c r="I12" s="55">
        <v>240</v>
      </c>
      <c r="J12" s="9">
        <v>1</v>
      </c>
      <c r="K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row>
    <row r="13" spans="1:40" ht="12.75">
      <c r="A13" s="6" t="s">
        <v>55</v>
      </c>
      <c r="B13" s="8">
        <v>3.6</v>
      </c>
      <c r="C13" s="8">
        <v>4.6</v>
      </c>
      <c r="D13" s="8">
        <v>5.4</v>
      </c>
      <c r="E13" s="8">
        <v>6.3</v>
      </c>
      <c r="F13" s="8">
        <v>7.1</v>
      </c>
      <c r="G13" s="8">
        <v>8</v>
      </c>
      <c r="H13" s="8">
        <v>34.3</v>
      </c>
      <c r="I13" s="55">
        <v>240</v>
      </c>
      <c r="J13" s="9">
        <v>1</v>
      </c>
      <c r="K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row>
    <row r="14" spans="1:40" ht="12.75">
      <c r="A14" s="6" t="s">
        <v>56</v>
      </c>
      <c r="B14" s="8">
        <v>3.6</v>
      </c>
      <c r="C14" s="8">
        <v>4.6</v>
      </c>
      <c r="D14" s="8">
        <v>5.4</v>
      </c>
      <c r="E14" s="8">
        <v>6.2</v>
      </c>
      <c r="F14" s="8">
        <v>6.9</v>
      </c>
      <c r="G14" s="8">
        <v>7.9</v>
      </c>
      <c r="H14" s="8">
        <v>34</v>
      </c>
      <c r="I14" s="55">
        <v>240</v>
      </c>
      <c r="J14" s="9">
        <v>1</v>
      </c>
      <c r="K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row>
    <row r="15" spans="1:40" ht="12.75">
      <c r="A15" s="6" t="s">
        <v>57</v>
      </c>
      <c r="B15" s="8">
        <v>3.8</v>
      </c>
      <c r="C15" s="8">
        <v>4.9</v>
      </c>
      <c r="D15" s="8">
        <v>5.7</v>
      </c>
      <c r="E15" s="8">
        <v>6.7</v>
      </c>
      <c r="F15" s="8">
        <v>7.5</v>
      </c>
      <c r="G15" s="8">
        <v>8.4</v>
      </c>
      <c r="H15" s="8">
        <v>36.9</v>
      </c>
      <c r="I15" s="55">
        <v>240</v>
      </c>
      <c r="J15" s="9">
        <v>1</v>
      </c>
      <c r="K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row>
    <row r="16" spans="1:40" ht="12.75">
      <c r="A16" s="6" t="s">
        <v>58</v>
      </c>
      <c r="B16" s="8">
        <v>4</v>
      </c>
      <c r="C16" s="8">
        <v>5.1</v>
      </c>
      <c r="D16" s="8">
        <v>5.9</v>
      </c>
      <c r="E16" s="8">
        <v>6.8</v>
      </c>
      <c r="F16" s="8">
        <v>7.6</v>
      </c>
      <c r="G16" s="8">
        <v>8.5</v>
      </c>
      <c r="H16" s="8">
        <v>40.5</v>
      </c>
      <c r="I16" s="55">
        <v>240</v>
      </c>
      <c r="J16" s="9">
        <v>1</v>
      </c>
      <c r="K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row>
    <row r="17" spans="1:40" ht="12.75">
      <c r="A17" s="7" t="s">
        <v>59</v>
      </c>
      <c r="B17" s="8">
        <v>2.2</v>
      </c>
      <c r="C17" s="8">
        <v>3</v>
      </c>
      <c r="D17" s="8">
        <v>3.5</v>
      </c>
      <c r="E17" s="8">
        <v>4.1</v>
      </c>
      <c r="F17" s="8">
        <v>4.8</v>
      </c>
      <c r="G17" s="8">
        <v>5.2</v>
      </c>
      <c r="H17" s="8">
        <v>18.4</v>
      </c>
      <c r="I17" s="55">
        <v>640</v>
      </c>
      <c r="J17" s="9">
        <v>4</v>
      </c>
      <c r="K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row>
    <row r="18" spans="1:40" ht="12.75">
      <c r="A18" s="10" t="s">
        <v>2</v>
      </c>
      <c r="B18" s="11">
        <v>2.8</v>
      </c>
      <c r="C18" s="11">
        <v>3.8</v>
      </c>
      <c r="D18" s="11">
        <v>4.5</v>
      </c>
      <c r="E18" s="11">
        <v>5.2</v>
      </c>
      <c r="F18" s="11">
        <v>6</v>
      </c>
      <c r="G18" s="11">
        <v>6.7</v>
      </c>
      <c r="H18" s="11">
        <v>22.3</v>
      </c>
      <c r="I18" s="57">
        <v>640</v>
      </c>
      <c r="J18" s="9">
        <v>4</v>
      </c>
      <c r="K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row>
    <row r="19" spans="1:40" ht="12.75">
      <c r="A19" s="10" t="s">
        <v>60</v>
      </c>
      <c r="B19" s="11">
        <v>3.2</v>
      </c>
      <c r="C19" s="11">
        <v>4.1</v>
      </c>
      <c r="D19" s="11">
        <v>4.9</v>
      </c>
      <c r="E19" s="11">
        <v>5.7</v>
      </c>
      <c r="F19" s="11">
        <v>6.3</v>
      </c>
      <c r="G19" s="11">
        <v>7.2</v>
      </c>
      <c r="H19" s="11">
        <v>31.9</v>
      </c>
      <c r="I19" s="57">
        <v>240</v>
      </c>
      <c r="J19" s="9">
        <v>1</v>
      </c>
      <c r="K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row>
    <row r="20" spans="1:40" ht="12.75">
      <c r="A20" s="6" t="s">
        <v>61</v>
      </c>
      <c r="B20" s="8">
        <v>3</v>
      </c>
      <c r="C20" s="8">
        <v>4</v>
      </c>
      <c r="D20" s="8">
        <v>4.7</v>
      </c>
      <c r="E20" s="8">
        <v>5.5</v>
      </c>
      <c r="F20" s="8">
        <v>6.1</v>
      </c>
      <c r="G20" s="8">
        <v>7</v>
      </c>
      <c r="H20" s="8">
        <v>27.6</v>
      </c>
      <c r="I20" s="55">
        <v>320</v>
      </c>
      <c r="J20" s="9">
        <v>1</v>
      </c>
      <c r="K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row>
    <row r="21" spans="1:40" ht="12.75">
      <c r="A21" s="6" t="s">
        <v>62</v>
      </c>
      <c r="B21" s="8">
        <v>3.7</v>
      </c>
      <c r="C21" s="8">
        <v>4.7</v>
      </c>
      <c r="D21" s="8">
        <v>5.6</v>
      </c>
      <c r="E21" s="8">
        <v>6.4</v>
      </c>
      <c r="F21" s="8">
        <v>7.1</v>
      </c>
      <c r="G21" s="8">
        <v>8.1</v>
      </c>
      <c r="H21" s="8">
        <v>39</v>
      </c>
      <c r="I21" s="55">
        <v>240</v>
      </c>
      <c r="J21" s="9">
        <v>1</v>
      </c>
      <c r="K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row>
    <row r="22" spans="1:40" ht="12.75">
      <c r="A22" s="6" t="s">
        <v>3</v>
      </c>
      <c r="B22" s="8">
        <v>2.9</v>
      </c>
      <c r="C22" s="8">
        <v>4</v>
      </c>
      <c r="D22" s="8">
        <v>4.8</v>
      </c>
      <c r="E22" s="8">
        <v>5.5</v>
      </c>
      <c r="F22" s="8">
        <v>6.3</v>
      </c>
      <c r="G22" s="8">
        <v>7.1</v>
      </c>
      <c r="H22" s="8">
        <v>24.2</v>
      </c>
      <c r="I22" s="55">
        <v>640</v>
      </c>
      <c r="J22" s="9">
        <v>3</v>
      </c>
      <c r="K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row>
    <row r="23" spans="1:40" ht="12.75">
      <c r="A23" s="6" t="s">
        <v>63</v>
      </c>
      <c r="B23" s="8">
        <v>3.7</v>
      </c>
      <c r="C23" s="8">
        <v>4.8</v>
      </c>
      <c r="D23" s="8">
        <v>5.5</v>
      </c>
      <c r="E23" s="8">
        <v>6.4</v>
      </c>
      <c r="F23" s="8">
        <v>7.3</v>
      </c>
      <c r="G23" s="8">
        <v>8.2</v>
      </c>
      <c r="H23" s="8">
        <v>33.4</v>
      </c>
      <c r="I23" s="55">
        <v>240</v>
      </c>
      <c r="J23" s="9">
        <v>1</v>
      </c>
      <c r="K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row>
    <row r="24" spans="1:40" ht="12.75">
      <c r="A24" s="6" t="s">
        <v>64</v>
      </c>
      <c r="B24" s="8">
        <v>3.9</v>
      </c>
      <c r="C24" s="8">
        <v>5</v>
      </c>
      <c r="D24" s="8">
        <v>5.8</v>
      </c>
      <c r="E24" s="8">
        <v>6.7</v>
      </c>
      <c r="F24" s="8">
        <v>7.5</v>
      </c>
      <c r="G24" s="8">
        <v>8.4</v>
      </c>
      <c r="H24" s="8">
        <v>39.8</v>
      </c>
      <c r="I24" s="55">
        <v>240</v>
      </c>
      <c r="J24" s="9">
        <v>1</v>
      </c>
      <c r="K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row>
    <row r="25" spans="1:40" ht="12.75">
      <c r="A25" s="7" t="s">
        <v>65</v>
      </c>
      <c r="B25" s="8">
        <v>2.4</v>
      </c>
      <c r="C25" s="8">
        <v>3.2</v>
      </c>
      <c r="D25" s="8">
        <v>3.8</v>
      </c>
      <c r="E25" s="8">
        <v>4.5</v>
      </c>
      <c r="F25" s="8">
        <v>5.2</v>
      </c>
      <c r="G25" s="8">
        <v>5.7</v>
      </c>
      <c r="H25" s="8">
        <v>21.8</v>
      </c>
      <c r="I25" s="55">
        <v>640</v>
      </c>
      <c r="J25" s="9">
        <v>3</v>
      </c>
      <c r="K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row>
    <row r="26" spans="1:40" ht="12.75">
      <c r="A26" s="7" t="s">
        <v>66</v>
      </c>
      <c r="B26" s="8">
        <v>3.3</v>
      </c>
      <c r="C26" s="8">
        <v>4.3</v>
      </c>
      <c r="D26" s="8">
        <v>5.1</v>
      </c>
      <c r="E26" s="8">
        <v>5.8</v>
      </c>
      <c r="F26" s="8">
        <v>6.5</v>
      </c>
      <c r="G26" s="8">
        <v>7.5</v>
      </c>
      <c r="H26" s="8">
        <v>31.8</v>
      </c>
      <c r="I26" s="55">
        <v>240</v>
      </c>
      <c r="J26" s="9">
        <v>1</v>
      </c>
      <c r="K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row>
    <row r="27" spans="1:40" ht="12.75">
      <c r="A27" s="7" t="s">
        <v>67</v>
      </c>
      <c r="B27" s="8">
        <v>3.4</v>
      </c>
      <c r="C27" s="8">
        <v>4.4</v>
      </c>
      <c r="D27" s="8">
        <v>5.1</v>
      </c>
      <c r="E27" s="8">
        <v>5.9</v>
      </c>
      <c r="F27" s="8">
        <v>6.6</v>
      </c>
      <c r="G27" s="8">
        <v>7.4</v>
      </c>
      <c r="H27" s="8">
        <v>35.2</v>
      </c>
      <c r="I27" s="55">
        <v>240</v>
      </c>
      <c r="J27" s="9">
        <v>1</v>
      </c>
      <c r="K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row>
    <row r="28" spans="1:40" ht="12.75">
      <c r="A28" s="7" t="s">
        <v>68</v>
      </c>
      <c r="B28" s="8">
        <v>3.6</v>
      </c>
      <c r="C28" s="8">
        <v>4.6</v>
      </c>
      <c r="D28" s="8">
        <v>5.4</v>
      </c>
      <c r="E28" s="8">
        <v>6.2</v>
      </c>
      <c r="F28" s="8">
        <v>6.9</v>
      </c>
      <c r="G28" s="8">
        <v>7.9</v>
      </c>
      <c r="H28" s="8">
        <v>37.3</v>
      </c>
      <c r="I28" s="55">
        <v>240</v>
      </c>
      <c r="J28" s="9">
        <v>1</v>
      </c>
      <c r="K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row>
    <row r="29" spans="1:40" ht="12.75">
      <c r="A29" s="6" t="s">
        <v>4</v>
      </c>
      <c r="B29" s="8">
        <v>2.8</v>
      </c>
      <c r="C29" s="8">
        <v>3.8</v>
      </c>
      <c r="D29" s="8">
        <v>4.5</v>
      </c>
      <c r="E29" s="8">
        <v>5.2</v>
      </c>
      <c r="F29" s="8">
        <v>6.1</v>
      </c>
      <c r="G29" s="8">
        <v>6.8</v>
      </c>
      <c r="H29" s="8">
        <v>23</v>
      </c>
      <c r="I29" s="55">
        <v>640</v>
      </c>
      <c r="J29" s="9">
        <v>3</v>
      </c>
      <c r="K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row>
    <row r="30" spans="1:40" ht="12.75">
      <c r="A30" s="6" t="s">
        <v>69</v>
      </c>
      <c r="B30" s="8">
        <v>3.8</v>
      </c>
      <c r="C30" s="8">
        <v>4.8</v>
      </c>
      <c r="D30" s="8">
        <v>5.7</v>
      </c>
      <c r="E30" s="8">
        <v>6.6</v>
      </c>
      <c r="F30" s="8">
        <v>7.4</v>
      </c>
      <c r="G30" s="8">
        <v>8.3</v>
      </c>
      <c r="H30" s="8">
        <v>36.1</v>
      </c>
      <c r="I30" s="55">
        <v>240</v>
      </c>
      <c r="J30" s="9">
        <v>1</v>
      </c>
      <c r="K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row>
    <row r="31" spans="1:40" ht="12.75">
      <c r="A31" s="10" t="s">
        <v>5</v>
      </c>
      <c r="B31" s="11">
        <v>2.6</v>
      </c>
      <c r="C31" s="11">
        <v>3.5</v>
      </c>
      <c r="D31" s="11">
        <v>4.2</v>
      </c>
      <c r="E31" s="11">
        <v>4.9</v>
      </c>
      <c r="F31" s="11">
        <v>5.8</v>
      </c>
      <c r="G31" s="11">
        <v>6.3</v>
      </c>
      <c r="H31" s="11">
        <v>23.3</v>
      </c>
      <c r="I31" s="57">
        <v>640</v>
      </c>
      <c r="J31" s="9">
        <v>2</v>
      </c>
      <c r="K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row>
    <row r="32" spans="1:40" ht="12.75">
      <c r="A32" s="6" t="s">
        <v>70</v>
      </c>
      <c r="B32" s="8">
        <v>3</v>
      </c>
      <c r="C32" s="8">
        <v>4</v>
      </c>
      <c r="D32" s="8">
        <v>4.7</v>
      </c>
      <c r="E32" s="8">
        <v>5.5</v>
      </c>
      <c r="F32" s="8">
        <v>6.2</v>
      </c>
      <c r="G32" s="8">
        <v>7.1</v>
      </c>
      <c r="H32" s="8">
        <v>27.1</v>
      </c>
      <c r="I32" s="55">
        <v>320</v>
      </c>
      <c r="J32" s="9">
        <v>1</v>
      </c>
      <c r="K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row>
    <row r="33" spans="1:40" ht="12.75">
      <c r="A33" s="10" t="s">
        <v>30</v>
      </c>
      <c r="B33" s="11">
        <v>2.4</v>
      </c>
      <c r="C33" s="11">
        <v>3.3</v>
      </c>
      <c r="D33" s="11">
        <v>4</v>
      </c>
      <c r="E33" s="11">
        <v>4.7</v>
      </c>
      <c r="F33" s="11">
        <v>5.5</v>
      </c>
      <c r="G33" s="11">
        <v>5.8</v>
      </c>
      <c r="H33" s="11">
        <v>18.9</v>
      </c>
      <c r="I33" s="57">
        <v>640</v>
      </c>
      <c r="J33" s="9">
        <v>4</v>
      </c>
      <c r="K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row>
    <row r="34" spans="1:40" ht="12.75">
      <c r="A34" s="10" t="s">
        <v>6</v>
      </c>
      <c r="B34" s="11">
        <v>2.7</v>
      </c>
      <c r="C34" s="11">
        <v>3.5</v>
      </c>
      <c r="D34" s="11">
        <v>4.4</v>
      </c>
      <c r="E34" s="11">
        <v>5</v>
      </c>
      <c r="F34" s="11">
        <v>5.9</v>
      </c>
      <c r="G34" s="11">
        <v>6.4</v>
      </c>
      <c r="H34" s="11">
        <v>21.7</v>
      </c>
      <c r="I34" s="57">
        <v>640</v>
      </c>
      <c r="J34" s="9">
        <v>4</v>
      </c>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row>
    <row r="35" spans="1:40" ht="12.75">
      <c r="A35" s="10" t="s">
        <v>71</v>
      </c>
      <c r="B35" s="11">
        <v>3.6</v>
      </c>
      <c r="C35" s="11">
        <v>4.7</v>
      </c>
      <c r="D35" s="11">
        <v>5.5</v>
      </c>
      <c r="E35" s="11">
        <v>6.4</v>
      </c>
      <c r="F35" s="11">
        <v>7.1</v>
      </c>
      <c r="G35" s="11">
        <v>8.1</v>
      </c>
      <c r="H35" s="11">
        <v>40.2</v>
      </c>
      <c r="I35" s="57">
        <v>240</v>
      </c>
      <c r="J35" s="9">
        <v>1</v>
      </c>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row>
    <row r="36" spans="1:40" ht="12.75">
      <c r="A36" s="10" t="s">
        <v>72</v>
      </c>
      <c r="B36" s="11">
        <v>3.4</v>
      </c>
      <c r="C36" s="11">
        <v>4.3</v>
      </c>
      <c r="D36" s="11">
        <v>5.1</v>
      </c>
      <c r="E36" s="11">
        <v>5.9</v>
      </c>
      <c r="F36" s="11">
        <v>6.6</v>
      </c>
      <c r="G36" s="11">
        <v>7.5</v>
      </c>
      <c r="H36" s="11">
        <v>34.5</v>
      </c>
      <c r="I36" s="57">
        <v>240</v>
      </c>
      <c r="J36" s="9">
        <v>1</v>
      </c>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row>
    <row r="37" spans="1:40" ht="12.75">
      <c r="A37" s="10" t="s">
        <v>7</v>
      </c>
      <c r="B37" s="11">
        <v>2.4</v>
      </c>
      <c r="C37" s="11">
        <v>3.3</v>
      </c>
      <c r="D37" s="11">
        <v>3.9</v>
      </c>
      <c r="E37" s="11">
        <v>4.6</v>
      </c>
      <c r="F37" s="11">
        <v>5.4</v>
      </c>
      <c r="G37" s="11">
        <v>5.7</v>
      </c>
      <c r="H37" s="11">
        <v>21.9</v>
      </c>
      <c r="I37" s="57">
        <v>640</v>
      </c>
      <c r="J37" s="9">
        <v>3</v>
      </c>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row>
    <row r="38" spans="1:40" ht="12.75">
      <c r="A38" s="10" t="s">
        <v>73</v>
      </c>
      <c r="B38" s="11">
        <v>2.5</v>
      </c>
      <c r="C38" s="11">
        <v>3.3</v>
      </c>
      <c r="D38" s="11">
        <v>4</v>
      </c>
      <c r="E38" s="11">
        <v>4.7</v>
      </c>
      <c r="F38" s="11">
        <v>5.5</v>
      </c>
      <c r="G38" s="11">
        <v>5.9</v>
      </c>
      <c r="H38" s="11">
        <v>23.8</v>
      </c>
      <c r="I38" s="57">
        <v>640</v>
      </c>
      <c r="J38" s="9">
        <v>3</v>
      </c>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row>
    <row r="39" spans="1:40" ht="12.75">
      <c r="A39" s="10" t="s">
        <v>8</v>
      </c>
      <c r="B39" s="11">
        <v>2.4</v>
      </c>
      <c r="C39" s="11">
        <v>3.3</v>
      </c>
      <c r="D39" s="11">
        <v>4</v>
      </c>
      <c r="E39" s="11">
        <v>4.6</v>
      </c>
      <c r="F39" s="11">
        <v>5.4</v>
      </c>
      <c r="G39" s="11">
        <v>5.8</v>
      </c>
      <c r="H39" s="11">
        <v>17.9</v>
      </c>
      <c r="I39" s="57">
        <v>640</v>
      </c>
      <c r="J39" s="9">
        <v>5</v>
      </c>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row>
    <row r="40" spans="1:40" ht="12.75">
      <c r="A40" s="10" t="s">
        <v>9</v>
      </c>
      <c r="B40" s="11">
        <v>2.5</v>
      </c>
      <c r="C40" s="11">
        <v>3.4</v>
      </c>
      <c r="D40" s="11">
        <v>4.2</v>
      </c>
      <c r="E40" s="11">
        <v>4.8</v>
      </c>
      <c r="F40" s="11">
        <v>5.7</v>
      </c>
      <c r="G40" s="11">
        <v>6</v>
      </c>
      <c r="H40" s="11">
        <v>22.5</v>
      </c>
      <c r="I40" s="57">
        <v>640</v>
      </c>
      <c r="J40" s="9">
        <v>4</v>
      </c>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row>
    <row r="41" spans="1:40" ht="12.75">
      <c r="A41" s="10" t="s">
        <v>10</v>
      </c>
      <c r="B41" s="11">
        <v>2.3</v>
      </c>
      <c r="C41" s="11">
        <v>3.1</v>
      </c>
      <c r="D41" s="11">
        <v>3.6</v>
      </c>
      <c r="E41" s="11">
        <v>4.3</v>
      </c>
      <c r="F41" s="11">
        <v>4.9</v>
      </c>
      <c r="G41" s="11">
        <v>5.4</v>
      </c>
      <c r="H41" s="11">
        <v>17</v>
      </c>
      <c r="I41" s="57">
        <v>640</v>
      </c>
      <c r="J41" s="9">
        <v>5</v>
      </c>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row>
    <row r="42" spans="1:40" ht="12.75">
      <c r="A42" s="6" t="s">
        <v>74</v>
      </c>
      <c r="B42" s="8">
        <v>3.7</v>
      </c>
      <c r="C42" s="8">
        <v>4.7</v>
      </c>
      <c r="D42" s="8">
        <v>5.5</v>
      </c>
      <c r="E42" s="8">
        <v>6.4</v>
      </c>
      <c r="F42" s="8">
        <v>7.2</v>
      </c>
      <c r="G42" s="8">
        <v>8.2</v>
      </c>
      <c r="H42" s="8">
        <v>37</v>
      </c>
      <c r="I42" s="55">
        <v>240</v>
      </c>
      <c r="J42" s="9">
        <v>1</v>
      </c>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row>
    <row r="43" spans="1:40" ht="12.75">
      <c r="A43" s="10" t="s">
        <v>11</v>
      </c>
      <c r="B43" s="11">
        <v>2.3</v>
      </c>
      <c r="C43" s="11">
        <v>3.2</v>
      </c>
      <c r="D43" s="11">
        <v>3.7</v>
      </c>
      <c r="E43" s="11">
        <v>4.4</v>
      </c>
      <c r="F43" s="11">
        <v>5.1</v>
      </c>
      <c r="G43" s="11">
        <v>5.5</v>
      </c>
      <c r="H43" s="11">
        <v>16.9</v>
      </c>
      <c r="I43" s="57">
        <v>640</v>
      </c>
      <c r="J43" s="9">
        <v>5</v>
      </c>
      <c r="K43" s="56"/>
      <c r="L43"/>
      <c r="M43"/>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1:40" ht="12.75">
      <c r="A44" s="6" t="s">
        <v>75</v>
      </c>
      <c r="B44" s="8">
        <v>3.3</v>
      </c>
      <c r="C44" s="8">
        <v>4.5</v>
      </c>
      <c r="D44" s="8">
        <v>5.2</v>
      </c>
      <c r="E44" s="8">
        <v>6.1</v>
      </c>
      <c r="F44" s="8">
        <v>7</v>
      </c>
      <c r="G44" s="8">
        <v>7.8</v>
      </c>
      <c r="H44" s="8">
        <v>27.6</v>
      </c>
      <c r="I44" s="55">
        <v>320</v>
      </c>
      <c r="J44" s="9">
        <v>2</v>
      </c>
      <c r="K44" s="56"/>
      <c r="L44"/>
      <c r="M44"/>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row>
    <row r="45" spans="1:40" ht="12.75">
      <c r="A45" s="6" t="s">
        <v>76</v>
      </c>
      <c r="B45" s="8">
        <v>3.4</v>
      </c>
      <c r="C45" s="8">
        <v>4.4</v>
      </c>
      <c r="D45" s="8">
        <v>5.2</v>
      </c>
      <c r="E45" s="8">
        <v>6</v>
      </c>
      <c r="F45" s="8">
        <v>6.8</v>
      </c>
      <c r="G45" s="8">
        <v>7.7</v>
      </c>
      <c r="H45" s="8">
        <v>31.9</v>
      </c>
      <c r="I45" s="55">
        <v>240</v>
      </c>
      <c r="J45" s="9">
        <v>1</v>
      </c>
      <c r="K45" s="56"/>
      <c r="L45"/>
      <c r="M45"/>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row>
    <row r="46" spans="1:40" ht="12.75">
      <c r="A46" s="10" t="s">
        <v>12</v>
      </c>
      <c r="B46" s="11">
        <v>2.5</v>
      </c>
      <c r="C46" s="11">
        <v>3.4</v>
      </c>
      <c r="D46" s="11">
        <v>4.1</v>
      </c>
      <c r="E46" s="11">
        <v>4.7</v>
      </c>
      <c r="F46" s="11">
        <v>5.5</v>
      </c>
      <c r="G46" s="11">
        <v>5.9</v>
      </c>
      <c r="H46" s="11">
        <v>19.5</v>
      </c>
      <c r="I46" s="57">
        <v>640</v>
      </c>
      <c r="J46" s="9">
        <v>5</v>
      </c>
      <c r="K46" s="56"/>
      <c r="L46"/>
      <c r="M4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row>
    <row r="47" spans="1:40" ht="12.75">
      <c r="A47" s="10" t="s">
        <v>13</v>
      </c>
      <c r="B47" s="11">
        <v>2.6</v>
      </c>
      <c r="C47" s="11">
        <v>3.5</v>
      </c>
      <c r="D47" s="11">
        <v>4.2</v>
      </c>
      <c r="E47" s="11">
        <v>4.9</v>
      </c>
      <c r="F47" s="11">
        <v>5.8</v>
      </c>
      <c r="G47" s="11">
        <v>6.2</v>
      </c>
      <c r="H47" s="11">
        <v>21.5</v>
      </c>
      <c r="I47" s="57">
        <v>640</v>
      </c>
      <c r="J47" s="9">
        <v>4</v>
      </c>
      <c r="K47" s="56"/>
      <c r="L47"/>
      <c r="M47"/>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row>
    <row r="48" spans="1:40" ht="12.75">
      <c r="A48" s="10" t="s">
        <v>77</v>
      </c>
      <c r="B48" s="11">
        <v>3.4</v>
      </c>
      <c r="C48" s="11">
        <v>4.4</v>
      </c>
      <c r="D48" s="11">
        <v>5.2</v>
      </c>
      <c r="E48" s="11">
        <v>6</v>
      </c>
      <c r="F48" s="11">
        <v>6.7</v>
      </c>
      <c r="G48" s="11">
        <v>7.6</v>
      </c>
      <c r="H48" s="11">
        <v>35.3</v>
      </c>
      <c r="I48" s="57">
        <v>240</v>
      </c>
      <c r="J48" s="9">
        <v>1</v>
      </c>
      <c r="K48" s="56"/>
      <c r="L48"/>
      <c r="M48"/>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row>
    <row r="49" spans="1:40" ht="12.75">
      <c r="A49" s="10" t="s">
        <v>78</v>
      </c>
      <c r="B49" s="11">
        <v>3.5</v>
      </c>
      <c r="C49" s="11">
        <v>4.5</v>
      </c>
      <c r="D49" s="11">
        <v>5.3</v>
      </c>
      <c r="E49" s="11">
        <v>6.1</v>
      </c>
      <c r="F49" s="11">
        <v>6.8</v>
      </c>
      <c r="G49" s="11">
        <v>7.7</v>
      </c>
      <c r="H49" s="11">
        <v>36.4</v>
      </c>
      <c r="I49" s="57">
        <v>240</v>
      </c>
      <c r="J49" s="9">
        <v>1</v>
      </c>
      <c r="K49" s="56"/>
      <c r="L49"/>
      <c r="M49"/>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row>
    <row r="50" spans="1:40" ht="12.75">
      <c r="A50" s="6" t="s">
        <v>79</v>
      </c>
      <c r="B50" s="8">
        <v>2.8</v>
      </c>
      <c r="C50" s="8">
        <v>3.7</v>
      </c>
      <c r="D50" s="8">
        <v>4.4</v>
      </c>
      <c r="E50" s="8">
        <v>5.2</v>
      </c>
      <c r="F50" s="8">
        <v>5.9</v>
      </c>
      <c r="G50" s="8">
        <v>6.6</v>
      </c>
      <c r="H50" s="8">
        <v>26.3</v>
      </c>
      <c r="I50" s="55">
        <v>320</v>
      </c>
      <c r="J50" s="9">
        <v>1</v>
      </c>
      <c r="K50" s="56"/>
      <c r="L50"/>
      <c r="M50"/>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row>
    <row r="51" spans="1:40" ht="12.75">
      <c r="A51" s="7" t="s">
        <v>80</v>
      </c>
      <c r="B51" s="8">
        <v>3.6</v>
      </c>
      <c r="C51" s="8">
        <v>4.6</v>
      </c>
      <c r="D51" s="8">
        <v>5.4</v>
      </c>
      <c r="E51" s="8">
        <v>6.3</v>
      </c>
      <c r="F51" s="8">
        <v>7</v>
      </c>
      <c r="G51" s="8">
        <v>7.9</v>
      </c>
      <c r="H51" s="8">
        <v>38.3</v>
      </c>
      <c r="I51" s="55">
        <v>240</v>
      </c>
      <c r="J51" s="9">
        <v>1</v>
      </c>
      <c r="K51" s="56"/>
      <c r="L51"/>
      <c r="M51"/>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row>
    <row r="52" spans="1:40" ht="12.75">
      <c r="A52" s="10" t="s">
        <v>14</v>
      </c>
      <c r="B52" s="11">
        <v>2.4</v>
      </c>
      <c r="C52" s="11">
        <v>3.2</v>
      </c>
      <c r="D52" s="11">
        <v>3.8</v>
      </c>
      <c r="E52" s="11">
        <v>4.5</v>
      </c>
      <c r="F52" s="11">
        <v>5.2</v>
      </c>
      <c r="G52" s="11">
        <v>5.6</v>
      </c>
      <c r="H52" s="11">
        <v>17.4</v>
      </c>
      <c r="I52" s="57">
        <v>640</v>
      </c>
      <c r="J52" s="9">
        <v>5</v>
      </c>
      <c r="K52" s="56"/>
      <c r="L52"/>
      <c r="M52"/>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row>
    <row r="53" spans="1:40" ht="12.75">
      <c r="A53" s="6" t="s">
        <v>81</v>
      </c>
      <c r="B53" s="8">
        <v>3.3</v>
      </c>
      <c r="C53" s="8">
        <v>4.3</v>
      </c>
      <c r="D53" s="8">
        <v>5.1</v>
      </c>
      <c r="E53" s="8">
        <v>5.9</v>
      </c>
      <c r="F53" s="8">
        <v>6.8</v>
      </c>
      <c r="G53" s="8">
        <v>7.6</v>
      </c>
      <c r="H53" s="8">
        <v>27.8</v>
      </c>
      <c r="I53" s="55">
        <v>320</v>
      </c>
      <c r="J53" s="9">
        <v>2</v>
      </c>
      <c r="K53" s="56"/>
      <c r="L53"/>
      <c r="M53"/>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row>
    <row r="54" spans="1:40" ht="12.75">
      <c r="A54" s="6" t="s">
        <v>15</v>
      </c>
      <c r="B54" s="8">
        <v>2.9</v>
      </c>
      <c r="C54" s="8">
        <v>3.9</v>
      </c>
      <c r="D54" s="8">
        <v>4.7</v>
      </c>
      <c r="E54" s="8">
        <v>5.4</v>
      </c>
      <c r="F54" s="8">
        <v>6.2</v>
      </c>
      <c r="G54" s="8">
        <v>6.9</v>
      </c>
      <c r="H54" s="8">
        <v>22.6</v>
      </c>
      <c r="I54" s="55">
        <v>640</v>
      </c>
      <c r="J54" s="9">
        <v>3</v>
      </c>
      <c r="K54" s="56"/>
      <c r="L54"/>
      <c r="M54"/>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row>
    <row r="55" spans="1:40" ht="12.75">
      <c r="A55" s="6" t="s">
        <v>82</v>
      </c>
      <c r="B55" s="8">
        <v>3.9</v>
      </c>
      <c r="C55" s="8">
        <v>5</v>
      </c>
      <c r="D55" s="8">
        <v>5.9</v>
      </c>
      <c r="E55" s="8">
        <v>6.8</v>
      </c>
      <c r="F55" s="8">
        <v>7.6</v>
      </c>
      <c r="G55" s="8">
        <v>8.6</v>
      </c>
      <c r="H55" s="8">
        <v>40.8</v>
      </c>
      <c r="I55" s="55">
        <v>240</v>
      </c>
      <c r="J55" s="9">
        <v>1</v>
      </c>
      <c r="K55" s="56"/>
      <c r="L55"/>
      <c r="M55"/>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row>
    <row r="56" spans="1:40" ht="12.75">
      <c r="A56" s="10" t="s">
        <v>16</v>
      </c>
      <c r="B56" s="11">
        <v>2.4</v>
      </c>
      <c r="C56" s="11">
        <v>3.3</v>
      </c>
      <c r="D56" s="11">
        <v>3.9</v>
      </c>
      <c r="E56" s="11">
        <v>4.7</v>
      </c>
      <c r="F56" s="11">
        <v>5.5</v>
      </c>
      <c r="G56" s="11">
        <v>5.8</v>
      </c>
      <c r="H56" s="11">
        <v>20.7</v>
      </c>
      <c r="I56" s="57">
        <v>640</v>
      </c>
      <c r="J56" s="9">
        <v>4</v>
      </c>
      <c r="K56" s="56"/>
      <c r="L56"/>
      <c r="M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row>
    <row r="57" spans="1:40" ht="12.75">
      <c r="A57" s="10" t="s">
        <v>83</v>
      </c>
      <c r="B57" s="11">
        <v>3.5</v>
      </c>
      <c r="C57" s="11">
        <v>4.5</v>
      </c>
      <c r="D57" s="11">
        <v>5.3</v>
      </c>
      <c r="E57" s="11">
        <v>6.1</v>
      </c>
      <c r="F57" s="11">
        <v>6.8</v>
      </c>
      <c r="G57" s="11">
        <v>7.7</v>
      </c>
      <c r="H57" s="11">
        <v>37.5</v>
      </c>
      <c r="I57" s="57">
        <v>240</v>
      </c>
      <c r="J57" s="9">
        <v>1</v>
      </c>
      <c r="K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row>
    <row r="58" spans="1:40" ht="12.75">
      <c r="A58" s="6" t="s">
        <v>84</v>
      </c>
      <c r="B58" s="8">
        <v>2.9</v>
      </c>
      <c r="C58" s="8">
        <v>3.9</v>
      </c>
      <c r="D58" s="8">
        <v>4.6</v>
      </c>
      <c r="E58" s="8">
        <v>5.4</v>
      </c>
      <c r="F58" s="8">
        <v>6.1</v>
      </c>
      <c r="G58" s="8">
        <v>6.9</v>
      </c>
      <c r="H58" s="8">
        <v>26.8</v>
      </c>
      <c r="I58" s="55">
        <v>320</v>
      </c>
      <c r="J58" s="9">
        <v>1</v>
      </c>
      <c r="K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row>
    <row r="59" spans="1:40" ht="12.75">
      <c r="A59" s="6" t="s">
        <v>85</v>
      </c>
      <c r="B59" s="8">
        <v>3.7</v>
      </c>
      <c r="C59" s="8">
        <v>4.8</v>
      </c>
      <c r="D59" s="8">
        <v>5.6</v>
      </c>
      <c r="E59" s="8">
        <v>6.5</v>
      </c>
      <c r="F59" s="8">
        <v>7.2</v>
      </c>
      <c r="G59" s="8">
        <v>8.1</v>
      </c>
      <c r="H59" s="8">
        <v>41.5</v>
      </c>
      <c r="I59" s="55">
        <v>240</v>
      </c>
      <c r="J59" s="9">
        <v>1</v>
      </c>
      <c r="K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row>
    <row r="60" spans="1:40" ht="12.75">
      <c r="A60" s="10" t="s">
        <v>17</v>
      </c>
      <c r="B60" s="11">
        <v>2.3</v>
      </c>
      <c r="C60" s="11">
        <v>3.2</v>
      </c>
      <c r="D60" s="11">
        <v>3.7</v>
      </c>
      <c r="E60" s="11">
        <v>4.4</v>
      </c>
      <c r="F60" s="11">
        <v>5.1</v>
      </c>
      <c r="G60" s="11">
        <v>5.5</v>
      </c>
      <c r="H60" s="11">
        <v>19.3</v>
      </c>
      <c r="I60" s="57">
        <v>640</v>
      </c>
      <c r="J60" s="9">
        <v>4</v>
      </c>
      <c r="K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row>
    <row r="61" spans="1:40" ht="12.75">
      <c r="A61" s="6" t="s">
        <v>86</v>
      </c>
      <c r="B61" s="8">
        <v>3.6</v>
      </c>
      <c r="C61" s="8">
        <v>4.6</v>
      </c>
      <c r="D61" s="8">
        <v>5.4</v>
      </c>
      <c r="E61" s="8">
        <v>6.3</v>
      </c>
      <c r="F61" s="8">
        <v>7</v>
      </c>
      <c r="G61" s="8">
        <v>8</v>
      </c>
      <c r="H61" s="8">
        <v>36.7</v>
      </c>
      <c r="I61" s="55">
        <v>240</v>
      </c>
      <c r="J61" s="9">
        <v>1</v>
      </c>
      <c r="K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row>
    <row r="62" spans="1:40" ht="12.75">
      <c r="A62" s="6" t="s">
        <v>87</v>
      </c>
      <c r="B62" s="8">
        <v>3.5</v>
      </c>
      <c r="C62" s="8">
        <v>4.4</v>
      </c>
      <c r="D62" s="8">
        <v>5.2</v>
      </c>
      <c r="E62" s="8">
        <v>6.1</v>
      </c>
      <c r="F62" s="8">
        <v>6.8</v>
      </c>
      <c r="G62" s="8">
        <v>7.7</v>
      </c>
      <c r="H62" s="8">
        <v>32.4</v>
      </c>
      <c r="I62" s="55">
        <v>240</v>
      </c>
      <c r="J62" s="9">
        <v>1</v>
      </c>
      <c r="K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row>
    <row r="63" spans="1:40" ht="12.75">
      <c r="A63" s="7" t="s">
        <v>88</v>
      </c>
      <c r="B63" s="8">
        <v>3.2</v>
      </c>
      <c r="C63" s="8">
        <v>4.2</v>
      </c>
      <c r="D63" s="8">
        <v>5</v>
      </c>
      <c r="E63" s="8">
        <v>5.7</v>
      </c>
      <c r="F63" s="8">
        <v>6.4</v>
      </c>
      <c r="G63" s="8">
        <v>7.2</v>
      </c>
      <c r="H63" s="8">
        <v>30.9</v>
      </c>
      <c r="I63" s="55">
        <v>240</v>
      </c>
      <c r="J63" s="9">
        <v>1</v>
      </c>
      <c r="K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row>
    <row r="64" spans="1:40" ht="12.75">
      <c r="A64" s="6" t="s">
        <v>89</v>
      </c>
      <c r="B64" s="8">
        <v>3.2</v>
      </c>
      <c r="C64" s="8">
        <v>4.2</v>
      </c>
      <c r="D64" s="8">
        <v>5</v>
      </c>
      <c r="E64" s="8">
        <v>5.8</v>
      </c>
      <c r="F64" s="8">
        <v>6.6</v>
      </c>
      <c r="G64" s="8">
        <v>7.4</v>
      </c>
      <c r="H64" s="8">
        <v>29</v>
      </c>
      <c r="I64" s="55">
        <v>320</v>
      </c>
      <c r="J64" s="9">
        <v>1</v>
      </c>
      <c r="K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row>
    <row r="65" spans="1:40" ht="12.75">
      <c r="A65" s="10" t="s">
        <v>18</v>
      </c>
      <c r="B65" s="11">
        <v>2.7</v>
      </c>
      <c r="C65" s="11">
        <v>3.6</v>
      </c>
      <c r="D65" s="11">
        <v>4.4</v>
      </c>
      <c r="E65" s="11">
        <v>5</v>
      </c>
      <c r="F65" s="11">
        <v>5.8</v>
      </c>
      <c r="G65" s="11">
        <v>6.3</v>
      </c>
      <c r="H65" s="11">
        <v>20.6</v>
      </c>
      <c r="I65" s="57">
        <v>640</v>
      </c>
      <c r="J65" s="9">
        <v>4</v>
      </c>
      <c r="K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row>
    <row r="66" spans="1:40" ht="12.75">
      <c r="A66" s="10" t="s">
        <v>90</v>
      </c>
      <c r="B66" s="11">
        <v>3.6</v>
      </c>
      <c r="C66" s="11">
        <v>4.7</v>
      </c>
      <c r="D66" s="11">
        <v>5.5</v>
      </c>
      <c r="E66" s="11">
        <v>6.4</v>
      </c>
      <c r="F66" s="11">
        <v>7.1</v>
      </c>
      <c r="G66" s="11">
        <v>8</v>
      </c>
      <c r="H66" s="11">
        <v>40.7</v>
      </c>
      <c r="I66" s="57">
        <v>240</v>
      </c>
      <c r="J66" s="9">
        <v>1</v>
      </c>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row>
    <row r="67" spans="1:40" ht="12.75">
      <c r="A67" s="6" t="s">
        <v>91</v>
      </c>
      <c r="B67" s="8">
        <v>2.8</v>
      </c>
      <c r="C67" s="8">
        <v>3.8</v>
      </c>
      <c r="D67" s="8">
        <v>4.5</v>
      </c>
      <c r="E67" s="8">
        <v>5.3</v>
      </c>
      <c r="F67" s="8">
        <v>6</v>
      </c>
      <c r="G67" s="8">
        <v>6.7</v>
      </c>
      <c r="H67" s="8">
        <v>26.4</v>
      </c>
      <c r="I67" s="55">
        <v>320</v>
      </c>
      <c r="J67" s="9">
        <v>1</v>
      </c>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row>
    <row r="68" spans="1:40" ht="12.75">
      <c r="A68" s="6" t="s">
        <v>92</v>
      </c>
      <c r="B68" s="8">
        <v>3.9</v>
      </c>
      <c r="C68" s="8">
        <v>5</v>
      </c>
      <c r="D68" s="8">
        <v>5.8</v>
      </c>
      <c r="E68" s="8">
        <v>6.8</v>
      </c>
      <c r="F68" s="8">
        <v>7.6</v>
      </c>
      <c r="G68" s="8">
        <v>8.5</v>
      </c>
      <c r="H68" s="8">
        <v>37</v>
      </c>
      <c r="I68" s="55">
        <v>240</v>
      </c>
      <c r="J68" s="9">
        <v>1</v>
      </c>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row>
    <row r="69" spans="1:40" ht="12.75">
      <c r="A69" s="6" t="s">
        <v>93</v>
      </c>
      <c r="B69" s="8">
        <v>3.5</v>
      </c>
      <c r="C69" s="8">
        <v>4.5</v>
      </c>
      <c r="D69" s="8">
        <v>5.3</v>
      </c>
      <c r="E69" s="8">
        <v>6.1</v>
      </c>
      <c r="F69" s="8">
        <v>6.8</v>
      </c>
      <c r="G69" s="8">
        <v>7.7</v>
      </c>
      <c r="H69" s="8">
        <v>34.1</v>
      </c>
      <c r="I69" s="55">
        <v>240</v>
      </c>
      <c r="J69" s="9">
        <v>1</v>
      </c>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row>
    <row r="70" spans="1:40" ht="12.75">
      <c r="A70" s="10" t="s">
        <v>19</v>
      </c>
      <c r="B70" s="11">
        <v>2.4</v>
      </c>
      <c r="C70" s="11">
        <v>3.3</v>
      </c>
      <c r="D70" s="11">
        <v>3.9</v>
      </c>
      <c r="E70" s="11">
        <v>4.6</v>
      </c>
      <c r="F70" s="11">
        <v>5.3</v>
      </c>
      <c r="G70" s="11">
        <v>5.7</v>
      </c>
      <c r="H70" s="11">
        <v>17.3</v>
      </c>
      <c r="I70" s="57">
        <v>640</v>
      </c>
      <c r="J70" s="9">
        <v>5</v>
      </c>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row>
    <row r="71" spans="1:40" ht="12.75">
      <c r="A71" s="10" t="s">
        <v>94</v>
      </c>
      <c r="B71" s="11">
        <v>3.3</v>
      </c>
      <c r="C71" s="11">
        <v>4.3</v>
      </c>
      <c r="D71" s="11">
        <v>5.1</v>
      </c>
      <c r="E71" s="11">
        <v>5.8</v>
      </c>
      <c r="F71" s="11">
        <v>6.5</v>
      </c>
      <c r="G71" s="11">
        <v>7.3</v>
      </c>
      <c r="H71" s="11">
        <v>34.5</v>
      </c>
      <c r="I71" s="57">
        <v>240</v>
      </c>
      <c r="J71" s="9">
        <v>1</v>
      </c>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row>
    <row r="72" spans="1:40" ht="12.75">
      <c r="A72" s="6" t="s">
        <v>95</v>
      </c>
      <c r="B72" s="8">
        <v>3.9</v>
      </c>
      <c r="C72" s="8">
        <v>5</v>
      </c>
      <c r="D72" s="8">
        <v>5.8</v>
      </c>
      <c r="E72" s="8">
        <v>6.7</v>
      </c>
      <c r="F72" s="8">
        <v>7.5</v>
      </c>
      <c r="G72" s="8">
        <v>8.4</v>
      </c>
      <c r="H72" s="8">
        <v>39.8</v>
      </c>
      <c r="I72" s="55">
        <v>240</v>
      </c>
      <c r="J72" s="9">
        <v>1</v>
      </c>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row>
    <row r="73" spans="1:40" ht="12.75">
      <c r="A73" s="10" t="s">
        <v>20</v>
      </c>
      <c r="B73" s="11">
        <v>2.5</v>
      </c>
      <c r="C73" s="11">
        <v>3.4</v>
      </c>
      <c r="D73" s="11">
        <v>4.1</v>
      </c>
      <c r="E73" s="11">
        <v>4.8</v>
      </c>
      <c r="F73" s="11">
        <v>5.7</v>
      </c>
      <c r="G73" s="11">
        <v>6</v>
      </c>
      <c r="H73" s="11">
        <v>21.4</v>
      </c>
      <c r="I73" s="57">
        <v>640</v>
      </c>
      <c r="J73" s="9">
        <v>3</v>
      </c>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row>
    <row r="74" spans="1:40" ht="12.75">
      <c r="A74" s="10" t="s">
        <v>96</v>
      </c>
      <c r="B74" s="11">
        <v>2.4</v>
      </c>
      <c r="C74" s="11">
        <v>3.3</v>
      </c>
      <c r="D74" s="11">
        <v>3.9</v>
      </c>
      <c r="E74" s="11">
        <v>4.6</v>
      </c>
      <c r="F74" s="11">
        <v>5.3</v>
      </c>
      <c r="G74" s="11">
        <v>5.9</v>
      </c>
      <c r="H74" s="11">
        <v>22.3</v>
      </c>
      <c r="I74" s="57">
        <v>640</v>
      </c>
      <c r="J74" s="9">
        <v>3</v>
      </c>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row>
    <row r="75" spans="1:40" ht="12.75">
      <c r="A75" s="10" t="s">
        <v>97</v>
      </c>
      <c r="B75" s="11">
        <v>3.6</v>
      </c>
      <c r="C75" s="11">
        <v>4.6</v>
      </c>
      <c r="D75" s="11">
        <v>5.5</v>
      </c>
      <c r="E75" s="11">
        <v>6.3</v>
      </c>
      <c r="F75" s="11">
        <v>7</v>
      </c>
      <c r="G75" s="11">
        <v>8</v>
      </c>
      <c r="H75" s="11">
        <v>36.9</v>
      </c>
      <c r="I75" s="57">
        <v>240</v>
      </c>
      <c r="J75" s="9">
        <v>1</v>
      </c>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row>
    <row r="76" spans="1:40" ht="12.75">
      <c r="A76" s="10" t="s">
        <v>98</v>
      </c>
      <c r="B76" s="11">
        <v>2.7</v>
      </c>
      <c r="C76" s="11">
        <v>3.6</v>
      </c>
      <c r="D76" s="11">
        <v>4.3</v>
      </c>
      <c r="E76" s="11">
        <v>5.1</v>
      </c>
      <c r="F76" s="11">
        <v>5.8</v>
      </c>
      <c r="G76" s="11">
        <v>6.5</v>
      </c>
      <c r="H76" s="11">
        <v>25</v>
      </c>
      <c r="I76" s="57">
        <v>640</v>
      </c>
      <c r="J76" s="9">
        <v>2</v>
      </c>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row>
    <row r="77" spans="1:40" ht="12.75">
      <c r="A77" s="6" t="s">
        <v>99</v>
      </c>
      <c r="B77" s="8">
        <v>3</v>
      </c>
      <c r="C77" s="8">
        <v>4.1</v>
      </c>
      <c r="D77" s="8">
        <v>4.8</v>
      </c>
      <c r="E77" s="8">
        <v>5.6</v>
      </c>
      <c r="F77" s="8">
        <v>6.3</v>
      </c>
      <c r="G77" s="8">
        <v>7.1</v>
      </c>
      <c r="H77" s="8">
        <v>28.8</v>
      </c>
      <c r="I77" s="55">
        <v>320</v>
      </c>
      <c r="J77" s="9">
        <v>1</v>
      </c>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row>
    <row r="78" spans="1:40" ht="12.75">
      <c r="A78" s="6" t="s">
        <v>21</v>
      </c>
      <c r="B78" s="8">
        <v>2.8</v>
      </c>
      <c r="C78" s="8">
        <v>3.7</v>
      </c>
      <c r="D78" s="8">
        <v>4.5</v>
      </c>
      <c r="E78" s="8">
        <v>5.2</v>
      </c>
      <c r="F78" s="8">
        <v>6</v>
      </c>
      <c r="G78" s="8">
        <v>6.6</v>
      </c>
      <c r="H78" s="8">
        <v>23.3</v>
      </c>
      <c r="I78" s="55">
        <v>640</v>
      </c>
      <c r="J78" s="9">
        <v>3</v>
      </c>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row>
    <row r="79" spans="1:40" ht="12.75">
      <c r="A79" s="7" t="s">
        <v>100</v>
      </c>
      <c r="B79" s="8">
        <v>2.5</v>
      </c>
      <c r="C79" s="8">
        <v>3.4</v>
      </c>
      <c r="D79" s="8">
        <v>4.1</v>
      </c>
      <c r="E79" s="8">
        <v>4.8</v>
      </c>
      <c r="F79" s="8">
        <v>5.5</v>
      </c>
      <c r="G79" s="8">
        <v>6</v>
      </c>
      <c r="H79" s="8">
        <v>23.6</v>
      </c>
      <c r="I79" s="55">
        <v>640</v>
      </c>
      <c r="J79" s="9">
        <v>2</v>
      </c>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row>
    <row r="80" spans="1:40" ht="12.75">
      <c r="A80" s="7" t="s">
        <v>101</v>
      </c>
      <c r="B80" s="8">
        <v>3.4</v>
      </c>
      <c r="C80" s="8">
        <v>4.3</v>
      </c>
      <c r="D80" s="8">
        <v>5.1</v>
      </c>
      <c r="E80" s="8">
        <v>5.9</v>
      </c>
      <c r="F80" s="8">
        <v>6.6</v>
      </c>
      <c r="G80" s="8">
        <v>7.5</v>
      </c>
      <c r="H80" s="8">
        <v>33.6</v>
      </c>
      <c r="I80" s="55">
        <v>240</v>
      </c>
      <c r="J80" s="9">
        <v>1</v>
      </c>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row>
    <row r="81" spans="1:40" ht="12.75">
      <c r="A81" s="6" t="s">
        <v>102</v>
      </c>
      <c r="B81" s="8">
        <v>3</v>
      </c>
      <c r="C81" s="8">
        <v>4.1</v>
      </c>
      <c r="D81" s="8">
        <v>4.8</v>
      </c>
      <c r="E81" s="8">
        <v>5.6</v>
      </c>
      <c r="F81" s="8">
        <v>6.4</v>
      </c>
      <c r="G81" s="8">
        <v>7.2</v>
      </c>
      <c r="H81" s="8">
        <v>24.6</v>
      </c>
      <c r="I81" s="55">
        <v>320</v>
      </c>
      <c r="J81" s="9">
        <v>3</v>
      </c>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row>
    <row r="82" spans="1:40" ht="12.75">
      <c r="A82" s="7" t="s">
        <v>103</v>
      </c>
      <c r="B82" s="8">
        <v>2.3</v>
      </c>
      <c r="C82" s="8">
        <v>3.1</v>
      </c>
      <c r="D82" s="8">
        <v>3.6</v>
      </c>
      <c r="E82" s="8">
        <v>4.3</v>
      </c>
      <c r="F82" s="8">
        <v>5</v>
      </c>
      <c r="G82" s="8">
        <v>5.5</v>
      </c>
      <c r="H82" s="8">
        <v>21</v>
      </c>
      <c r="I82" s="55">
        <v>640</v>
      </c>
      <c r="J82" s="9">
        <v>3</v>
      </c>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row>
    <row r="83" spans="1:40" ht="12.75">
      <c r="A83" s="6" t="s">
        <v>104</v>
      </c>
      <c r="B83" s="8">
        <v>3.2</v>
      </c>
      <c r="C83" s="8">
        <v>4.2</v>
      </c>
      <c r="D83" s="8">
        <v>5</v>
      </c>
      <c r="E83" s="8">
        <v>5.8</v>
      </c>
      <c r="F83" s="8">
        <v>6.6</v>
      </c>
      <c r="G83" s="8">
        <v>7.4</v>
      </c>
      <c r="H83" s="8">
        <v>27.7</v>
      </c>
      <c r="I83" s="55">
        <v>320</v>
      </c>
      <c r="J83" s="9">
        <v>2</v>
      </c>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row>
    <row r="84" spans="1:40" ht="12.75">
      <c r="A84" s="6" t="s">
        <v>105</v>
      </c>
      <c r="B84" s="8">
        <v>2.9</v>
      </c>
      <c r="C84" s="8">
        <v>3.9</v>
      </c>
      <c r="D84" s="8">
        <v>4.6</v>
      </c>
      <c r="E84" s="8">
        <v>5.4</v>
      </c>
      <c r="F84" s="8">
        <v>6</v>
      </c>
      <c r="G84" s="8">
        <v>6.8</v>
      </c>
      <c r="H84" s="8">
        <v>28.6</v>
      </c>
      <c r="I84" s="55">
        <v>320</v>
      </c>
      <c r="J84" s="9">
        <v>1</v>
      </c>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row>
    <row r="85" spans="1:40" ht="12.75">
      <c r="A85" s="6" t="s">
        <v>106</v>
      </c>
      <c r="B85" s="8">
        <v>3</v>
      </c>
      <c r="C85" s="8">
        <v>4.1</v>
      </c>
      <c r="D85" s="8">
        <v>4.8</v>
      </c>
      <c r="E85" s="8">
        <v>5.6</v>
      </c>
      <c r="F85" s="8">
        <v>6.4</v>
      </c>
      <c r="G85" s="8">
        <v>7.3</v>
      </c>
      <c r="H85" s="8">
        <v>26.6</v>
      </c>
      <c r="I85" s="55">
        <v>320</v>
      </c>
      <c r="J85" s="9">
        <v>2</v>
      </c>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row>
    <row r="86" spans="1:40" ht="12.75">
      <c r="A86" s="7" t="s">
        <v>107</v>
      </c>
      <c r="B86" s="8">
        <v>3.3</v>
      </c>
      <c r="C86" s="8">
        <v>4.3</v>
      </c>
      <c r="D86" s="8">
        <v>5.1</v>
      </c>
      <c r="E86" s="8">
        <v>5.8</v>
      </c>
      <c r="F86" s="8">
        <v>6.5</v>
      </c>
      <c r="G86" s="8">
        <v>7.4</v>
      </c>
      <c r="H86" s="8">
        <v>33.5</v>
      </c>
      <c r="I86" s="55">
        <v>240</v>
      </c>
      <c r="J86" s="9">
        <v>1</v>
      </c>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row>
    <row r="87" spans="1:40" ht="12.75">
      <c r="A87" s="7" t="s">
        <v>108</v>
      </c>
      <c r="B87" s="8">
        <v>2.5</v>
      </c>
      <c r="C87" s="8">
        <v>3.4</v>
      </c>
      <c r="D87" s="8">
        <v>4.1</v>
      </c>
      <c r="E87" s="8">
        <v>4.9</v>
      </c>
      <c r="F87" s="8">
        <v>5.7</v>
      </c>
      <c r="G87" s="8">
        <v>6.1</v>
      </c>
      <c r="H87" s="8">
        <v>23.9</v>
      </c>
      <c r="I87" s="55">
        <v>640</v>
      </c>
      <c r="J87" s="9">
        <v>2</v>
      </c>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row>
    <row r="88" spans="1:40" ht="12.75">
      <c r="A88" s="6" t="s">
        <v>22</v>
      </c>
      <c r="B88" s="8">
        <v>2.7</v>
      </c>
      <c r="C88" s="8">
        <v>3.6</v>
      </c>
      <c r="D88" s="8">
        <v>4.3</v>
      </c>
      <c r="E88" s="8">
        <v>5</v>
      </c>
      <c r="F88" s="8">
        <v>5.9</v>
      </c>
      <c r="G88" s="8">
        <v>6.5</v>
      </c>
      <c r="H88" s="8">
        <v>23.3</v>
      </c>
      <c r="I88" s="55">
        <v>640</v>
      </c>
      <c r="J88" s="9">
        <v>3</v>
      </c>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row>
    <row r="89" spans="1:40" ht="12.75">
      <c r="A89" s="7" t="s">
        <v>109</v>
      </c>
      <c r="B89" s="8">
        <v>2.8</v>
      </c>
      <c r="C89" s="8">
        <v>3.7</v>
      </c>
      <c r="D89" s="8">
        <v>4.4</v>
      </c>
      <c r="E89" s="8">
        <v>5.2</v>
      </c>
      <c r="F89" s="8">
        <v>5.9</v>
      </c>
      <c r="G89" s="8">
        <v>6.7</v>
      </c>
      <c r="H89" s="8">
        <v>26.8</v>
      </c>
      <c r="I89" s="55">
        <v>640</v>
      </c>
      <c r="J89" s="9">
        <v>2</v>
      </c>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row>
    <row r="90" spans="1:40" ht="12.75">
      <c r="A90" s="6" t="s">
        <v>110</v>
      </c>
      <c r="B90" s="8">
        <v>3.1</v>
      </c>
      <c r="C90" s="8">
        <v>4.1</v>
      </c>
      <c r="D90" s="8">
        <v>4.9</v>
      </c>
      <c r="E90" s="8">
        <v>5.7</v>
      </c>
      <c r="F90" s="8">
        <v>6.4</v>
      </c>
      <c r="G90" s="8">
        <v>7.3</v>
      </c>
      <c r="H90" s="8">
        <v>28.4</v>
      </c>
      <c r="I90" s="55">
        <v>320</v>
      </c>
      <c r="J90" s="9">
        <v>1</v>
      </c>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row>
    <row r="91" spans="1:40" ht="12.75">
      <c r="A91" s="10" t="s">
        <v>23</v>
      </c>
      <c r="B91" s="11">
        <v>2.4</v>
      </c>
      <c r="C91" s="11">
        <v>3.2</v>
      </c>
      <c r="D91" s="11">
        <v>3.8</v>
      </c>
      <c r="E91" s="11">
        <v>4.5</v>
      </c>
      <c r="F91" s="11">
        <v>5.3</v>
      </c>
      <c r="G91" s="11">
        <v>5.7</v>
      </c>
      <c r="H91" s="11">
        <v>20.2</v>
      </c>
      <c r="I91" s="57">
        <v>640</v>
      </c>
      <c r="J91" s="9">
        <v>4</v>
      </c>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row>
    <row r="92" spans="1:40" ht="12.75">
      <c r="A92" s="6" t="s">
        <v>111</v>
      </c>
      <c r="B92" s="8">
        <v>3.5</v>
      </c>
      <c r="C92" s="8">
        <v>4.5</v>
      </c>
      <c r="D92" s="8">
        <v>5.3</v>
      </c>
      <c r="E92" s="8">
        <v>6.1</v>
      </c>
      <c r="F92" s="8">
        <v>7</v>
      </c>
      <c r="G92" s="8">
        <v>7.8</v>
      </c>
      <c r="H92" s="8">
        <v>30.6</v>
      </c>
      <c r="I92" s="55">
        <v>240</v>
      </c>
      <c r="J92" s="9">
        <v>1</v>
      </c>
      <c r="K92" s="56"/>
      <c r="L92"/>
      <c r="M92"/>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row>
    <row r="93" spans="1:40" ht="12.75">
      <c r="A93" s="10" t="s">
        <v>24</v>
      </c>
      <c r="B93" s="11">
        <v>2.6</v>
      </c>
      <c r="C93" s="11">
        <v>3.5</v>
      </c>
      <c r="D93" s="11">
        <v>4.2</v>
      </c>
      <c r="E93" s="11">
        <v>4.8</v>
      </c>
      <c r="F93" s="11">
        <v>5.7</v>
      </c>
      <c r="G93" s="11">
        <v>6</v>
      </c>
      <c r="H93" s="11">
        <v>19.8</v>
      </c>
      <c r="I93" s="57">
        <v>640</v>
      </c>
      <c r="J93" s="9">
        <v>5</v>
      </c>
      <c r="K93" s="56"/>
      <c r="L93"/>
      <c r="M93"/>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row>
    <row r="94" spans="1:40" ht="12.75">
      <c r="A94" s="10" t="s">
        <v>112</v>
      </c>
      <c r="B94" s="11">
        <v>3.5</v>
      </c>
      <c r="C94" s="11">
        <v>4.5</v>
      </c>
      <c r="D94" s="11">
        <v>5.3</v>
      </c>
      <c r="E94" s="11">
        <v>6.1</v>
      </c>
      <c r="F94" s="11">
        <v>6.8</v>
      </c>
      <c r="G94" s="11">
        <v>7.8</v>
      </c>
      <c r="H94" s="11">
        <v>34.7</v>
      </c>
      <c r="I94" s="57">
        <v>240</v>
      </c>
      <c r="J94" s="9">
        <v>1</v>
      </c>
      <c r="K94" s="56"/>
      <c r="L94"/>
      <c r="M94"/>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row>
    <row r="95" spans="1:40" ht="12.75">
      <c r="A95" s="10" t="s">
        <v>113</v>
      </c>
      <c r="B95" s="11">
        <v>2.4</v>
      </c>
      <c r="C95" s="11">
        <v>3.2</v>
      </c>
      <c r="D95" s="11">
        <v>3.8</v>
      </c>
      <c r="E95" s="11">
        <v>4.5</v>
      </c>
      <c r="F95" s="11">
        <v>5.3</v>
      </c>
      <c r="G95" s="11">
        <v>5.7</v>
      </c>
      <c r="H95" s="11">
        <v>21.3</v>
      </c>
      <c r="I95" s="57">
        <v>640</v>
      </c>
      <c r="J95" s="9">
        <v>3</v>
      </c>
      <c r="K95" s="56"/>
      <c r="L95"/>
      <c r="M95"/>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row>
    <row r="96" spans="1:40" ht="12.75">
      <c r="A96" s="10" t="s">
        <v>114</v>
      </c>
      <c r="B96" s="11">
        <v>2.2</v>
      </c>
      <c r="C96" s="11">
        <v>3</v>
      </c>
      <c r="D96" s="11">
        <v>3.5</v>
      </c>
      <c r="E96" s="11">
        <v>4.2</v>
      </c>
      <c r="F96" s="11">
        <v>4.8</v>
      </c>
      <c r="G96" s="11">
        <v>5.3</v>
      </c>
      <c r="H96" s="11">
        <v>16.7</v>
      </c>
      <c r="I96" s="57">
        <v>640</v>
      </c>
      <c r="J96" s="9">
        <v>4</v>
      </c>
      <c r="K96" s="56"/>
      <c r="L96"/>
      <c r="M9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row>
    <row r="97" spans="1:40" ht="12.75">
      <c r="A97" s="10" t="s">
        <v>115</v>
      </c>
      <c r="B97" s="11">
        <v>2.6</v>
      </c>
      <c r="C97" s="11">
        <v>3.5</v>
      </c>
      <c r="D97" s="11">
        <v>4.2</v>
      </c>
      <c r="E97" s="11">
        <v>5</v>
      </c>
      <c r="F97" s="11">
        <v>5.7</v>
      </c>
      <c r="G97" s="11">
        <v>6.3</v>
      </c>
      <c r="H97" s="11">
        <v>24.4</v>
      </c>
      <c r="I97" s="57">
        <v>640</v>
      </c>
      <c r="J97" s="9">
        <v>2</v>
      </c>
      <c r="K97" s="56"/>
      <c r="L97"/>
      <c r="M97"/>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row>
    <row r="98" spans="1:40" ht="12.75">
      <c r="A98" s="6" t="s">
        <v>116</v>
      </c>
      <c r="B98" s="8">
        <v>2.9</v>
      </c>
      <c r="C98" s="8">
        <v>4</v>
      </c>
      <c r="D98" s="8">
        <v>4.7</v>
      </c>
      <c r="E98" s="8">
        <v>5.5</v>
      </c>
      <c r="F98" s="8">
        <v>6.2</v>
      </c>
      <c r="G98" s="8">
        <v>7.1</v>
      </c>
      <c r="H98" s="8">
        <v>25.1</v>
      </c>
      <c r="I98" s="55">
        <v>320</v>
      </c>
      <c r="J98" s="9">
        <v>3</v>
      </c>
      <c r="K98" s="56"/>
      <c r="L98"/>
      <c r="M98"/>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row>
    <row r="99" spans="1:40" ht="12.75">
      <c r="A99" s="10" t="s">
        <v>25</v>
      </c>
      <c r="B99" s="11">
        <v>2.4</v>
      </c>
      <c r="C99" s="11">
        <v>3.2</v>
      </c>
      <c r="D99" s="11">
        <v>3.8</v>
      </c>
      <c r="E99" s="11">
        <v>4.5</v>
      </c>
      <c r="F99" s="11">
        <v>5.2</v>
      </c>
      <c r="G99" s="11">
        <v>5.6</v>
      </c>
      <c r="H99" s="11">
        <v>15.8</v>
      </c>
      <c r="I99" s="57">
        <v>640</v>
      </c>
      <c r="J99" s="9">
        <v>5</v>
      </c>
      <c r="K99" s="56"/>
      <c r="L99"/>
      <c r="M99"/>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row>
    <row r="100" spans="1:40" ht="12.75">
      <c r="A100" s="10" t="s">
        <v>26</v>
      </c>
      <c r="B100" s="11">
        <v>2.5</v>
      </c>
      <c r="C100" s="11">
        <v>3.4</v>
      </c>
      <c r="D100" s="11">
        <v>4.1</v>
      </c>
      <c r="E100" s="11">
        <v>4.7</v>
      </c>
      <c r="F100" s="11">
        <v>5.5</v>
      </c>
      <c r="G100" s="11">
        <v>5.9</v>
      </c>
      <c r="H100" s="11">
        <v>19.7</v>
      </c>
      <c r="I100" s="57">
        <v>640</v>
      </c>
      <c r="J100" s="9">
        <v>5</v>
      </c>
      <c r="K100" s="56"/>
      <c r="L100"/>
      <c r="M100"/>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row>
    <row r="101" spans="1:40" ht="12.75">
      <c r="A101" s="6" t="s">
        <v>117</v>
      </c>
      <c r="B101" s="8">
        <v>3.6</v>
      </c>
      <c r="C101" s="8">
        <v>4.6</v>
      </c>
      <c r="D101" s="8">
        <v>5.4</v>
      </c>
      <c r="E101" s="8">
        <v>6.2</v>
      </c>
      <c r="F101" s="8">
        <v>7.1</v>
      </c>
      <c r="G101" s="8">
        <v>8</v>
      </c>
      <c r="H101" s="8">
        <v>34</v>
      </c>
      <c r="I101" s="55">
        <v>240</v>
      </c>
      <c r="J101" s="9">
        <v>1</v>
      </c>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row>
    <row r="102" spans="1:40" ht="12.75">
      <c r="A102" s="7" t="s">
        <v>118</v>
      </c>
      <c r="B102" s="8">
        <v>2.3</v>
      </c>
      <c r="C102" s="8">
        <v>3.1</v>
      </c>
      <c r="D102" s="8">
        <v>3.7</v>
      </c>
      <c r="E102" s="8">
        <v>4.4</v>
      </c>
      <c r="F102" s="8">
        <v>5</v>
      </c>
      <c r="G102" s="8">
        <v>5.5</v>
      </c>
      <c r="H102" s="8">
        <v>19</v>
      </c>
      <c r="I102" s="55">
        <v>640</v>
      </c>
      <c r="J102" s="9">
        <v>3</v>
      </c>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row>
    <row r="103" spans="1:40" ht="12.75">
      <c r="A103" s="10" t="s">
        <v>27</v>
      </c>
      <c r="B103" s="11">
        <v>2.5</v>
      </c>
      <c r="C103" s="11">
        <v>3.4</v>
      </c>
      <c r="D103" s="11">
        <v>4</v>
      </c>
      <c r="E103" s="11">
        <v>4.8</v>
      </c>
      <c r="F103" s="11">
        <v>5.6</v>
      </c>
      <c r="G103" s="11">
        <v>6</v>
      </c>
      <c r="H103" s="11">
        <v>22.2</v>
      </c>
      <c r="I103" s="57">
        <v>640</v>
      </c>
      <c r="J103" s="9">
        <v>3</v>
      </c>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row>
    <row r="104" spans="1:40" ht="12.75">
      <c r="A104" s="10" t="s">
        <v>119</v>
      </c>
      <c r="B104" s="11">
        <v>3.5</v>
      </c>
      <c r="C104" s="11">
        <v>4.5</v>
      </c>
      <c r="D104" s="11">
        <v>5.3</v>
      </c>
      <c r="E104" s="11">
        <v>6.1</v>
      </c>
      <c r="F104" s="11">
        <v>6.8</v>
      </c>
      <c r="G104" s="11">
        <v>7.7</v>
      </c>
      <c r="H104" s="11">
        <v>35.5</v>
      </c>
      <c r="I104" s="57">
        <v>240</v>
      </c>
      <c r="J104" s="9">
        <v>1</v>
      </c>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row>
    <row r="105" spans="1:40" ht="12.75">
      <c r="A105" s="10" t="s">
        <v>28</v>
      </c>
      <c r="B105" s="11">
        <v>2.2</v>
      </c>
      <c r="C105" s="11">
        <v>3</v>
      </c>
      <c r="D105" s="11">
        <v>3.6</v>
      </c>
      <c r="E105" s="11">
        <v>4.2</v>
      </c>
      <c r="F105" s="11">
        <v>4.8</v>
      </c>
      <c r="G105" s="11">
        <v>5.3</v>
      </c>
      <c r="H105" s="11">
        <v>18.2</v>
      </c>
      <c r="I105" s="57">
        <v>640</v>
      </c>
      <c r="J105" s="9">
        <v>4</v>
      </c>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row>
    <row r="106" spans="1:40" ht="12.75">
      <c r="A106" s="10" t="s">
        <v>120</v>
      </c>
      <c r="B106" s="11">
        <v>3.1</v>
      </c>
      <c r="C106" s="11">
        <v>4.1</v>
      </c>
      <c r="D106" s="11">
        <v>4.8</v>
      </c>
      <c r="E106" s="11">
        <v>5.5</v>
      </c>
      <c r="F106" s="11">
        <v>6.2</v>
      </c>
      <c r="G106" s="11">
        <v>7.1</v>
      </c>
      <c r="H106" s="11">
        <v>30.1</v>
      </c>
      <c r="I106" s="57">
        <v>240</v>
      </c>
      <c r="J106" s="9">
        <v>1</v>
      </c>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row>
    <row r="107" spans="1:40" ht="12.75">
      <c r="A107" s="10" t="s">
        <v>29</v>
      </c>
      <c r="B107" s="11">
        <v>2.3</v>
      </c>
      <c r="C107" s="11">
        <v>3.2</v>
      </c>
      <c r="D107" s="11">
        <v>3.8</v>
      </c>
      <c r="E107" s="11">
        <v>4.4</v>
      </c>
      <c r="F107" s="11">
        <v>5.1</v>
      </c>
      <c r="G107" s="11">
        <v>5.5</v>
      </c>
      <c r="H107" s="11">
        <v>18.6</v>
      </c>
      <c r="I107" s="57">
        <v>640</v>
      </c>
      <c r="J107" s="9">
        <v>4</v>
      </c>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row>
    <row r="108" spans="1:40" ht="12.75">
      <c r="A108" s="6" t="s">
        <v>121</v>
      </c>
      <c r="B108" s="8">
        <v>3.8</v>
      </c>
      <c r="C108" s="8">
        <v>4.9</v>
      </c>
      <c r="D108" s="8">
        <v>5.7</v>
      </c>
      <c r="E108" s="8">
        <v>6.6</v>
      </c>
      <c r="F108" s="8">
        <v>7.4</v>
      </c>
      <c r="G108" s="8">
        <v>8.4</v>
      </c>
      <c r="H108" s="8">
        <v>36</v>
      </c>
      <c r="I108" s="55">
        <v>240</v>
      </c>
      <c r="J108" s="9">
        <v>1</v>
      </c>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row>
    <row r="109" spans="1:40" ht="12.75">
      <c r="A109" s="7" t="s">
        <v>122</v>
      </c>
      <c r="B109" s="8">
        <v>3.8</v>
      </c>
      <c r="C109" s="8">
        <v>4.8</v>
      </c>
      <c r="D109" s="8">
        <v>5.6</v>
      </c>
      <c r="E109" s="8">
        <v>6.5</v>
      </c>
      <c r="F109" s="8">
        <v>7.3</v>
      </c>
      <c r="G109" s="8">
        <v>8.3</v>
      </c>
      <c r="H109" s="8">
        <v>37.3</v>
      </c>
      <c r="I109" s="55">
        <v>240</v>
      </c>
      <c r="J109" s="9">
        <v>1</v>
      </c>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row>
    <row r="110" spans="1:40" ht="12.75">
      <c r="A110" s="7" t="s">
        <v>123</v>
      </c>
      <c r="B110" s="8">
        <v>3.5</v>
      </c>
      <c r="C110" s="8">
        <v>4.6</v>
      </c>
      <c r="D110" s="8">
        <v>5.3</v>
      </c>
      <c r="E110" s="8">
        <v>6.2</v>
      </c>
      <c r="F110" s="8">
        <v>6.9</v>
      </c>
      <c r="G110" s="8">
        <v>7.8</v>
      </c>
      <c r="H110" s="8">
        <v>38.1</v>
      </c>
      <c r="I110" s="55">
        <v>240</v>
      </c>
      <c r="J110" s="9">
        <v>1</v>
      </c>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row>
    <row r="111" spans="1:40" ht="12.75">
      <c r="A111" s="6"/>
      <c r="B111" s="6"/>
      <c r="C111" s="6"/>
      <c r="D111" s="6"/>
      <c r="E111" s="6"/>
      <c r="F111" s="6"/>
      <c r="G111" s="6"/>
      <c r="H111" s="6"/>
      <c r="I111" s="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row>
    <row r="112" spans="1:11" ht="12.75">
      <c r="A112" s="397" t="str">
        <f>'Hyd Sum'!C15</f>
        <v>Diversion No.</v>
      </c>
      <c r="B112" s="395">
        <f>'Hyd Sum'!H15</f>
        <v>0</v>
      </c>
      <c r="C112" s="395">
        <f>'Hyd Sum'!M15</f>
        <v>0</v>
      </c>
      <c r="D112" s="58"/>
      <c r="E112" s="58"/>
      <c r="F112" s="386"/>
      <c r="G112" s="393"/>
      <c r="H112" s="386"/>
      <c r="I112" s="393"/>
      <c r="J112" s="386"/>
      <c r="K112" s="393"/>
    </row>
    <row r="113" spans="1:11" ht="12.75">
      <c r="A113" s="362"/>
      <c r="B113" s="60"/>
      <c r="C113" s="60"/>
      <c r="D113" s="60"/>
      <c r="E113" s="60"/>
      <c r="F113" s="59"/>
      <c r="G113" s="61"/>
      <c r="H113" s="60"/>
      <c r="I113" s="61"/>
      <c r="J113" s="59"/>
      <c r="K113" s="61"/>
    </row>
    <row r="114" spans="1:11" ht="12.75">
      <c r="A114" s="362"/>
      <c r="B114" s="363" t="s">
        <v>166</v>
      </c>
      <c r="C114" s="363" t="s">
        <v>167</v>
      </c>
      <c r="D114" s="385" t="s">
        <v>168</v>
      </c>
      <c r="E114" s="60"/>
      <c r="F114" s="443" t="s">
        <v>166</v>
      </c>
      <c r="G114" s="442"/>
      <c r="H114" s="459" t="s">
        <v>167</v>
      </c>
      <c r="I114" s="442"/>
      <c r="J114" s="444" t="s">
        <v>168</v>
      </c>
      <c r="K114" s="442"/>
    </row>
    <row r="115" spans="1:12" ht="12.75">
      <c r="A115" s="387"/>
      <c r="E115" s="60"/>
      <c r="F115" s="59"/>
      <c r="G115" s="61"/>
      <c r="H115" s="60"/>
      <c r="I115" s="61"/>
      <c r="J115" s="59"/>
      <c r="K115" s="61"/>
      <c r="L115" s="380"/>
    </row>
    <row r="116" spans="1:12" ht="12.75">
      <c r="A116" s="362" t="e">
        <f>IF('Hyd Sum'!Y20="","#N/A",'Hyd Sum'!Y20)</f>
        <v>#N/A</v>
      </c>
      <c r="B116" s="63" t="e">
        <f>IF('Hyd Sum'!AW23&lt;0.1,0.1,'Hyd Sum'!AW23)</f>
        <v>#N/A</v>
      </c>
      <c r="C116" s="63" t="e">
        <f>IF('Hyd Sum'!AW24&lt;0.1,0.1,'Hyd Sum'!AW24)</f>
        <v>#N/A</v>
      </c>
      <c r="D116" s="63" t="e">
        <f>IF('Hyd Sum'!AW25&lt;0.1,0.1,'Hyd Sum'!AW25)</f>
        <v>#N/A</v>
      </c>
      <c r="E116" s="60"/>
      <c r="F116" s="64" t="e">
        <f>B116</f>
        <v>#N/A</v>
      </c>
      <c r="G116" s="398" t="e">
        <f>VLOOKUP($B116,$A$151:$CW$191,HLOOKUP($A116,$B$149:$CW$150,2))</f>
        <v>#N/A</v>
      </c>
      <c r="H116" s="65" t="e">
        <f>C116</f>
        <v>#N/A</v>
      </c>
      <c r="I116" s="398" t="e">
        <f>VLOOKUP($C116,$A$151:$CW$191,HLOOKUP($A116,$B$149:$CW$150,2))</f>
        <v>#N/A</v>
      </c>
      <c r="J116" s="64" t="e">
        <f>D116</f>
        <v>#N/A</v>
      </c>
      <c r="K116" s="398" t="e">
        <f>VLOOKUP($D116,$A$151:$CW$191,HLOOKUP($A116,$B$149:$CW$150,2))</f>
        <v>#N/A</v>
      </c>
      <c r="L116" s="384" t="s">
        <v>314</v>
      </c>
    </row>
    <row r="117" spans="1:11" ht="13.5" thickBot="1">
      <c r="A117" s="417" t="s">
        <v>32</v>
      </c>
      <c r="B117" s="418" t="s">
        <v>291</v>
      </c>
      <c r="C117" s="418" t="s">
        <v>291</v>
      </c>
      <c r="D117" s="418" t="s">
        <v>291</v>
      </c>
      <c r="E117" s="67"/>
      <c r="F117" s="417" t="s">
        <v>291</v>
      </c>
      <c r="G117" s="419" t="s">
        <v>295</v>
      </c>
      <c r="H117" s="418" t="s">
        <v>291</v>
      </c>
      <c r="I117" s="419" t="s">
        <v>295</v>
      </c>
      <c r="J117" s="417" t="s">
        <v>291</v>
      </c>
      <c r="K117" s="419" t="s">
        <v>295</v>
      </c>
    </row>
    <row r="118" spans="1:11" ht="12.75">
      <c r="A118" s="394" t="str">
        <f>'Hyd Sum'!C28</f>
        <v>Diversion No.</v>
      </c>
      <c r="B118" s="395">
        <f>'Hyd Sum'!H28</f>
        <v>0</v>
      </c>
      <c r="C118" s="396">
        <f>'Hyd Sum'!M28</f>
        <v>0</v>
      </c>
      <c r="D118" s="60"/>
      <c r="E118" s="60"/>
      <c r="F118" s="386"/>
      <c r="G118" s="393"/>
      <c r="H118" s="386"/>
      <c r="I118" s="393"/>
      <c r="J118" s="386"/>
      <c r="K118" s="393"/>
    </row>
    <row r="119" spans="1:11" ht="12.75">
      <c r="A119" s="362"/>
      <c r="B119" s="60"/>
      <c r="C119" s="60"/>
      <c r="D119" s="60"/>
      <c r="E119" s="60"/>
      <c r="F119" s="59"/>
      <c r="G119" s="61"/>
      <c r="H119" s="59"/>
      <c r="I119" s="61"/>
      <c r="J119" s="59"/>
      <c r="K119" s="61"/>
    </row>
    <row r="120" spans="1:11" ht="12.75">
      <c r="A120" s="362" t="s">
        <v>32</v>
      </c>
      <c r="B120" s="60" t="s">
        <v>166</v>
      </c>
      <c r="C120" s="60" t="s">
        <v>167</v>
      </c>
      <c r="D120" s="62" t="s">
        <v>168</v>
      </c>
      <c r="E120" s="60"/>
      <c r="F120" s="443" t="s">
        <v>166</v>
      </c>
      <c r="G120" s="442"/>
      <c r="H120" s="443" t="s">
        <v>167</v>
      </c>
      <c r="I120" s="442"/>
      <c r="J120" s="444" t="s">
        <v>168</v>
      </c>
      <c r="K120" s="442"/>
    </row>
    <row r="121" spans="1:12" ht="12.75">
      <c r="A121" s="387"/>
      <c r="E121" s="60"/>
      <c r="F121" s="59"/>
      <c r="G121" s="61"/>
      <c r="H121" s="59"/>
      <c r="I121" s="61"/>
      <c r="J121" s="59"/>
      <c r="K121" s="61"/>
      <c r="L121" s="380"/>
    </row>
    <row r="122" spans="1:12" ht="12.75">
      <c r="A122" s="362" t="e">
        <f>IF('Hyd Sum'!Y33="","#N/A",'Hyd Sum'!Y33)</f>
        <v>#N/A</v>
      </c>
      <c r="B122" s="63" t="e">
        <f>IF('Hyd Sum'!AW36&lt;0.1,0.1,'Hyd Sum'!AW36)</f>
        <v>#N/A</v>
      </c>
      <c r="C122" s="63" t="e">
        <f>IF('Hyd Sum'!AW37&lt;0.1,0.1,'Hyd Sum'!AW37)</f>
        <v>#N/A</v>
      </c>
      <c r="D122" s="63" t="e">
        <f>IF('Hyd Sum'!AW38&lt;0.1,0.1,'Hyd Sum'!AW38)</f>
        <v>#N/A</v>
      </c>
      <c r="E122" s="60"/>
      <c r="F122" s="64" t="e">
        <f>B122</f>
        <v>#N/A</v>
      </c>
      <c r="G122" s="398" t="e">
        <f>VLOOKUP($B122,$A$151:$CW$191,HLOOKUP($A122,$B$149:$CW$150,2))</f>
        <v>#N/A</v>
      </c>
      <c r="H122" s="64" t="e">
        <f>C122</f>
        <v>#N/A</v>
      </c>
      <c r="I122" s="398" t="e">
        <f>VLOOKUP($C122,$A$151:$CW$191,HLOOKUP($A122,$B$149:$CW$150,2))</f>
        <v>#N/A</v>
      </c>
      <c r="J122" s="64" t="e">
        <f>D122</f>
        <v>#N/A</v>
      </c>
      <c r="K122" s="398" t="e">
        <f>VLOOKUP($D122,$A$151:$CW$191,HLOOKUP($A122,$B$149:$CW$150,2))</f>
        <v>#N/A</v>
      </c>
      <c r="L122" s="384" t="s">
        <v>314</v>
      </c>
    </row>
    <row r="123" spans="1:11" ht="13.5" thickBot="1">
      <c r="A123" s="417" t="s">
        <v>32</v>
      </c>
      <c r="B123" s="418" t="s">
        <v>291</v>
      </c>
      <c r="C123" s="418" t="s">
        <v>291</v>
      </c>
      <c r="D123" s="418" t="s">
        <v>291</v>
      </c>
      <c r="E123" s="67"/>
      <c r="F123" s="417" t="s">
        <v>291</v>
      </c>
      <c r="G123" s="419" t="s">
        <v>295</v>
      </c>
      <c r="H123" s="418" t="s">
        <v>291</v>
      </c>
      <c r="I123" s="419" t="s">
        <v>295</v>
      </c>
      <c r="J123" s="417" t="s">
        <v>291</v>
      </c>
      <c r="K123" s="419" t="s">
        <v>295</v>
      </c>
    </row>
    <row r="124" spans="1:11" ht="12.75">
      <c r="A124" s="362"/>
      <c r="B124" s="58"/>
      <c r="C124" s="60"/>
      <c r="D124" s="60"/>
      <c r="E124" s="60"/>
      <c r="F124" s="59"/>
      <c r="G124" s="61"/>
      <c r="H124" s="60"/>
      <c r="I124" s="61"/>
      <c r="J124" s="59"/>
      <c r="K124" s="61"/>
    </row>
    <row r="125" spans="1:11" ht="12.75">
      <c r="A125" s="362"/>
      <c r="B125" s="60"/>
      <c r="C125" s="60"/>
      <c r="D125" s="60"/>
      <c r="E125" s="60"/>
      <c r="F125" s="59"/>
      <c r="G125" s="61"/>
      <c r="H125" s="60"/>
      <c r="I125" s="61"/>
      <c r="J125" s="59"/>
      <c r="K125" s="61"/>
    </row>
    <row r="126" spans="1:11" ht="12.75">
      <c r="A126" s="362"/>
      <c r="B126" s="60"/>
      <c r="C126" s="60"/>
      <c r="D126" s="62"/>
      <c r="E126" s="60"/>
      <c r="F126" s="443"/>
      <c r="G126" s="442"/>
      <c r="H126" s="459"/>
      <c r="I126" s="442"/>
      <c r="J126" s="444"/>
      <c r="K126" s="445"/>
    </row>
    <row r="127" spans="1:11" ht="12.75">
      <c r="A127" s="362"/>
      <c r="B127" s="63"/>
      <c r="C127" s="63"/>
      <c r="D127" s="63"/>
      <c r="E127" s="60"/>
      <c r="F127" s="59"/>
      <c r="G127" s="61"/>
      <c r="H127" s="60"/>
      <c r="I127" s="61"/>
      <c r="J127" s="59"/>
      <c r="K127" s="61"/>
    </row>
    <row r="128" spans="1:11" ht="12.75">
      <c r="A128" s="362"/>
      <c r="B128" s="60"/>
      <c r="C128" s="60"/>
      <c r="D128" s="60"/>
      <c r="E128" s="60"/>
      <c r="F128" s="64"/>
      <c r="G128" s="61"/>
      <c r="H128" s="65"/>
      <c r="I128" s="61"/>
      <c r="J128" s="64"/>
      <c r="K128" s="61"/>
    </row>
    <row r="129" spans="1:11" ht="12.75">
      <c r="A129" s="362"/>
      <c r="B129" s="60"/>
      <c r="C129" s="60"/>
      <c r="D129" s="60"/>
      <c r="E129" s="60"/>
      <c r="F129" s="59"/>
      <c r="G129" s="61"/>
      <c r="H129" s="60"/>
      <c r="I129" s="61"/>
      <c r="J129" s="59"/>
      <c r="K129" s="61"/>
    </row>
    <row r="130" spans="1:11" ht="12.75">
      <c r="A130" s="362"/>
      <c r="B130" s="60"/>
      <c r="C130" s="60"/>
      <c r="D130" s="60"/>
      <c r="E130" s="60"/>
      <c r="F130" s="59"/>
      <c r="G130" s="61"/>
      <c r="H130" s="60"/>
      <c r="I130" s="61"/>
      <c r="J130" s="59"/>
      <c r="K130" s="61"/>
    </row>
    <row r="131" spans="1:11" ht="13.5" thickBot="1">
      <c r="A131" s="388"/>
      <c r="B131" s="67"/>
      <c r="C131" s="67"/>
      <c r="D131" s="67"/>
      <c r="E131" s="67"/>
      <c r="F131" s="66"/>
      <c r="G131" s="68"/>
      <c r="H131" s="67"/>
      <c r="I131" s="68"/>
      <c r="J131" s="66"/>
      <c r="K131" s="68"/>
    </row>
    <row r="132" spans="1:11" ht="12.75">
      <c r="A132" s="362"/>
      <c r="B132" s="58"/>
      <c r="C132" s="60"/>
      <c r="D132" s="60"/>
      <c r="E132" s="60"/>
      <c r="F132" s="59"/>
      <c r="G132" s="61"/>
      <c r="H132" s="60"/>
      <c r="I132" s="61"/>
      <c r="J132" s="59"/>
      <c r="K132" s="61"/>
    </row>
    <row r="133" spans="1:11" ht="12.75">
      <c r="A133" s="362"/>
      <c r="B133" s="60"/>
      <c r="C133" s="60"/>
      <c r="D133" s="60"/>
      <c r="E133" s="60"/>
      <c r="F133" s="59"/>
      <c r="G133" s="61"/>
      <c r="H133" s="60"/>
      <c r="I133" s="61"/>
      <c r="J133" s="59"/>
      <c r="K133" s="61"/>
    </row>
    <row r="134" spans="1:11" ht="12.75">
      <c r="A134" s="362"/>
      <c r="B134" s="60"/>
      <c r="C134" s="60"/>
      <c r="D134" s="62"/>
      <c r="E134" s="60"/>
      <c r="F134" s="443"/>
      <c r="G134" s="442"/>
      <c r="H134" s="459"/>
      <c r="I134" s="442"/>
      <c r="J134" s="444"/>
      <c r="K134" s="445"/>
    </row>
    <row r="135" spans="1:11" ht="12.75">
      <c r="A135" s="362"/>
      <c r="B135" s="63"/>
      <c r="C135" s="63"/>
      <c r="D135" s="63"/>
      <c r="E135" s="60"/>
      <c r="F135" s="59"/>
      <c r="G135" s="61"/>
      <c r="H135" s="60"/>
      <c r="I135" s="61"/>
      <c r="J135" s="59"/>
      <c r="K135" s="61"/>
    </row>
    <row r="136" spans="1:11" ht="12.75">
      <c r="A136" s="362"/>
      <c r="B136" s="60"/>
      <c r="C136" s="60"/>
      <c r="D136" s="60"/>
      <c r="E136" s="60"/>
      <c r="F136" s="64"/>
      <c r="G136" s="61"/>
      <c r="H136" s="65"/>
      <c r="I136" s="61"/>
      <c r="J136" s="64"/>
      <c r="K136" s="61"/>
    </row>
    <row r="137" spans="1:11" ht="12.75">
      <c r="A137" s="362"/>
      <c r="B137" s="60"/>
      <c r="C137" s="60"/>
      <c r="D137" s="60"/>
      <c r="E137" s="60"/>
      <c r="F137" s="59"/>
      <c r="G137" s="61"/>
      <c r="H137" s="60"/>
      <c r="I137" s="61"/>
      <c r="J137" s="59"/>
      <c r="K137" s="61"/>
    </row>
    <row r="138" spans="1:11" ht="12.75">
      <c r="A138" s="362"/>
      <c r="B138" s="60"/>
      <c r="C138" s="60"/>
      <c r="D138" s="60"/>
      <c r="E138" s="60"/>
      <c r="F138" s="59"/>
      <c r="G138" s="61"/>
      <c r="H138" s="60"/>
      <c r="I138" s="61"/>
      <c r="J138" s="59"/>
      <c r="K138" s="61"/>
    </row>
    <row r="139" spans="1:11" ht="13.5" thickBot="1">
      <c r="A139" s="388"/>
      <c r="B139" s="67"/>
      <c r="C139" s="67"/>
      <c r="D139" s="67"/>
      <c r="E139" s="67"/>
      <c r="F139" s="66"/>
      <c r="G139" s="68"/>
      <c r="H139" s="67"/>
      <c r="I139" s="68"/>
      <c r="J139" s="66"/>
      <c r="K139" s="68"/>
    </row>
    <row r="140" spans="1:11" ht="12.75">
      <c r="A140" s="362"/>
      <c r="B140" s="392"/>
      <c r="C140" s="392"/>
      <c r="D140" s="392"/>
      <c r="E140" s="392"/>
      <c r="F140" s="392"/>
      <c r="G140" s="392"/>
      <c r="H140" s="392"/>
      <c r="I140" s="392"/>
      <c r="J140" s="392"/>
      <c r="K140" s="392"/>
    </row>
    <row r="141" spans="1:11" ht="12.75">
      <c r="A141" s="362"/>
      <c r="B141" s="60"/>
      <c r="C141" s="60"/>
      <c r="D141" s="60"/>
      <c r="E141" s="60"/>
      <c r="F141" s="60"/>
      <c r="G141" s="60"/>
      <c r="H141" s="60"/>
      <c r="I141" s="60"/>
      <c r="J141" s="60"/>
      <c r="K141" s="60"/>
    </row>
    <row r="142" spans="1:7" ht="12.75">
      <c r="A142" s="384" t="s">
        <v>288</v>
      </c>
      <c r="B142" s="384"/>
      <c r="C142" s="384"/>
      <c r="D142" s="384" t="s">
        <v>316</v>
      </c>
      <c r="E142" s="384"/>
      <c r="F142" s="384"/>
      <c r="G142" s="384"/>
    </row>
    <row r="143" spans="1:57" ht="12.75">
      <c r="A143" s="55">
        <v>40</v>
      </c>
      <c r="B143" s="55">
        <v>41</v>
      </c>
      <c r="C143" s="55">
        <v>42</v>
      </c>
      <c r="D143" s="55">
        <v>43</v>
      </c>
      <c r="E143" s="55">
        <v>44</v>
      </c>
      <c r="F143" s="55">
        <v>45</v>
      </c>
      <c r="G143" s="55">
        <v>46</v>
      </c>
      <c r="H143" s="55">
        <v>47</v>
      </c>
      <c r="I143" s="55">
        <v>48</v>
      </c>
      <c r="J143" s="55">
        <v>49</v>
      </c>
      <c r="K143" s="55">
        <v>50</v>
      </c>
      <c r="L143" s="55">
        <v>51</v>
      </c>
      <c r="M143" s="55">
        <v>52</v>
      </c>
      <c r="N143" s="55">
        <v>53</v>
      </c>
      <c r="O143" s="55">
        <v>54</v>
      </c>
      <c r="P143" s="55">
        <v>55</v>
      </c>
      <c r="Q143" s="55">
        <v>56</v>
      </c>
      <c r="R143" s="55">
        <v>57</v>
      </c>
      <c r="S143" s="55">
        <v>58</v>
      </c>
      <c r="T143" s="55">
        <v>59</v>
      </c>
      <c r="U143" s="55">
        <v>60</v>
      </c>
      <c r="V143" s="55">
        <v>61</v>
      </c>
      <c r="W143" s="55">
        <v>62</v>
      </c>
      <c r="X143" s="55">
        <v>63</v>
      </c>
      <c r="Y143" s="55">
        <v>64</v>
      </c>
      <c r="Z143" s="55">
        <v>65</v>
      </c>
      <c r="AA143" s="55">
        <v>66</v>
      </c>
      <c r="AB143" s="55">
        <v>67</v>
      </c>
      <c r="AC143" s="55">
        <v>68</v>
      </c>
      <c r="AD143" s="55">
        <v>69</v>
      </c>
      <c r="AE143" s="55">
        <v>70</v>
      </c>
      <c r="AF143" s="55">
        <v>71</v>
      </c>
      <c r="AG143" s="55">
        <v>72</v>
      </c>
      <c r="AH143" s="55">
        <v>73</v>
      </c>
      <c r="AI143" s="55">
        <v>74</v>
      </c>
      <c r="AJ143" s="55">
        <v>75</v>
      </c>
      <c r="AK143" s="55">
        <v>76</v>
      </c>
      <c r="AL143" s="55">
        <v>77</v>
      </c>
      <c r="AM143" s="55">
        <v>78</v>
      </c>
      <c r="AN143" s="55">
        <v>79</v>
      </c>
      <c r="AO143" s="55">
        <v>80</v>
      </c>
      <c r="AP143" s="55">
        <v>81</v>
      </c>
      <c r="AQ143" s="55">
        <v>82</v>
      </c>
      <c r="AR143" s="55">
        <v>83</v>
      </c>
      <c r="AS143" s="55">
        <v>84</v>
      </c>
      <c r="AT143" s="55">
        <v>85</v>
      </c>
      <c r="AU143" s="55">
        <v>86</v>
      </c>
      <c r="AV143" s="55">
        <v>87</v>
      </c>
      <c r="AW143" s="55">
        <v>88</v>
      </c>
      <c r="AX143" s="55">
        <v>89</v>
      </c>
      <c r="AY143" s="55">
        <v>90</v>
      </c>
      <c r="AZ143" s="55">
        <v>91</v>
      </c>
      <c r="BA143" s="55">
        <v>92</v>
      </c>
      <c r="BB143" s="55">
        <v>93</v>
      </c>
      <c r="BC143" s="55">
        <v>94</v>
      </c>
      <c r="BD143" s="55">
        <v>95</v>
      </c>
      <c r="BE143" s="391" t="s">
        <v>124</v>
      </c>
    </row>
    <row r="144" spans="1:57" ht="12.75">
      <c r="A144" s="55">
        <v>3</v>
      </c>
      <c r="B144" s="55">
        <v>2.878</v>
      </c>
      <c r="C144" s="55">
        <v>2.762</v>
      </c>
      <c r="D144" s="55">
        <v>2.651</v>
      </c>
      <c r="E144" s="55">
        <v>2.545</v>
      </c>
      <c r="F144" s="55">
        <v>2.444</v>
      </c>
      <c r="G144" s="55">
        <v>2.348</v>
      </c>
      <c r="H144" s="55">
        <v>2.255</v>
      </c>
      <c r="I144" s="55">
        <v>2.167</v>
      </c>
      <c r="J144" s="55">
        <v>2.082</v>
      </c>
      <c r="K144" s="55">
        <v>2</v>
      </c>
      <c r="L144" s="55">
        <v>1.922</v>
      </c>
      <c r="M144" s="55">
        <v>1.846</v>
      </c>
      <c r="N144" s="55">
        <v>1.774</v>
      </c>
      <c r="O144" s="55">
        <v>1.704</v>
      </c>
      <c r="P144" s="55">
        <v>1.636</v>
      </c>
      <c r="Q144" s="55">
        <v>1.571</v>
      </c>
      <c r="R144" s="55">
        <v>1.509</v>
      </c>
      <c r="S144" s="55">
        <v>1.448</v>
      </c>
      <c r="T144" s="55">
        <v>1.39</v>
      </c>
      <c r="U144" s="55">
        <v>1.333</v>
      </c>
      <c r="V144" s="55">
        <v>1.279</v>
      </c>
      <c r="W144" s="55">
        <v>1.226</v>
      </c>
      <c r="X144" s="55">
        <v>1.175</v>
      </c>
      <c r="Y144" s="55">
        <v>1.125</v>
      </c>
      <c r="Z144" s="55">
        <v>1.077</v>
      </c>
      <c r="AA144" s="55">
        <v>1.03</v>
      </c>
      <c r="AB144" s="55">
        <v>0.985</v>
      </c>
      <c r="AC144" s="55">
        <v>0.941</v>
      </c>
      <c r="AD144" s="55">
        <v>0.899</v>
      </c>
      <c r="AE144" s="55">
        <v>0.857</v>
      </c>
      <c r="AF144" s="55">
        <v>0.817</v>
      </c>
      <c r="AG144" s="55">
        <v>0.778</v>
      </c>
      <c r="AH144" s="55">
        <v>0.74</v>
      </c>
      <c r="AI144" s="55">
        <v>0.703</v>
      </c>
      <c r="AJ144" s="55">
        <v>0.667</v>
      </c>
      <c r="AK144" s="55">
        <v>0.632</v>
      </c>
      <c r="AL144" s="55">
        <v>0.597</v>
      </c>
      <c r="AM144" s="55">
        <v>0.564</v>
      </c>
      <c r="AN144" s="55">
        <v>0.532</v>
      </c>
      <c r="AO144" s="55">
        <v>0.5</v>
      </c>
      <c r="AP144" s="55">
        <v>0.469</v>
      </c>
      <c r="AQ144" s="55">
        <v>0.439</v>
      </c>
      <c r="AR144" s="55">
        <v>0.41</v>
      </c>
      <c r="AS144" s="55">
        <v>0.381</v>
      </c>
      <c r="AT144" s="55">
        <v>0.353</v>
      </c>
      <c r="AU144" s="55">
        <v>0.326</v>
      </c>
      <c r="AV144" s="55">
        <v>0.299</v>
      </c>
      <c r="AW144" s="55">
        <v>0.273</v>
      </c>
      <c r="AX144" s="55">
        <v>0.247</v>
      </c>
      <c r="AY144" s="55">
        <v>0.222</v>
      </c>
      <c r="AZ144" s="55">
        <v>0.198</v>
      </c>
      <c r="BA144" s="55">
        <v>0.174</v>
      </c>
      <c r="BB144" s="55">
        <v>0.151</v>
      </c>
      <c r="BC144" s="55">
        <v>0.128</v>
      </c>
      <c r="BD144" s="55">
        <v>0.105</v>
      </c>
      <c r="BE144" s="391" t="s">
        <v>315</v>
      </c>
    </row>
    <row r="147" ht="12.75">
      <c r="A147" s="384" t="s">
        <v>294</v>
      </c>
    </row>
    <row r="148" spans="1:101" ht="15.75">
      <c r="A148"/>
      <c r="B148" s="166" t="s">
        <v>32</v>
      </c>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row>
    <row r="149" spans="1:101" ht="12.75">
      <c r="A149"/>
      <c r="B149" s="2">
        <v>0.1</v>
      </c>
      <c r="C149" s="2">
        <v>0.2</v>
      </c>
      <c r="D149" s="2">
        <v>0.3</v>
      </c>
      <c r="E149" s="2">
        <v>0.4</v>
      </c>
      <c r="F149" s="2">
        <v>0.5</v>
      </c>
      <c r="G149" s="2">
        <v>0.6</v>
      </c>
      <c r="H149" s="2">
        <v>0.7</v>
      </c>
      <c r="I149" s="2">
        <v>0.8</v>
      </c>
      <c r="J149" s="2">
        <v>0.9</v>
      </c>
      <c r="K149" s="2">
        <v>1</v>
      </c>
      <c r="L149" s="2">
        <v>1.1</v>
      </c>
      <c r="M149" s="2">
        <v>1.2</v>
      </c>
      <c r="N149" s="2">
        <v>1.3</v>
      </c>
      <c r="O149" s="2">
        <v>1.4</v>
      </c>
      <c r="P149" s="2">
        <v>1.5</v>
      </c>
      <c r="Q149" s="2">
        <v>1.6</v>
      </c>
      <c r="R149" s="2">
        <v>1.7</v>
      </c>
      <c r="S149" s="2">
        <v>1.8</v>
      </c>
      <c r="T149" s="2">
        <v>1.9</v>
      </c>
      <c r="U149" s="2">
        <v>2</v>
      </c>
      <c r="V149" s="2">
        <v>2.1</v>
      </c>
      <c r="W149" s="2">
        <v>2.2</v>
      </c>
      <c r="X149" s="2">
        <v>2.3</v>
      </c>
      <c r="Y149" s="2">
        <v>2.4</v>
      </c>
      <c r="Z149" s="2">
        <v>2.5</v>
      </c>
      <c r="AA149" s="2">
        <v>2.6</v>
      </c>
      <c r="AB149" s="2">
        <v>2.7</v>
      </c>
      <c r="AC149" s="2">
        <v>2.8</v>
      </c>
      <c r="AD149" s="2">
        <v>2.9</v>
      </c>
      <c r="AE149" s="2">
        <v>3</v>
      </c>
      <c r="AF149" s="2">
        <v>3.1</v>
      </c>
      <c r="AG149" s="2">
        <v>3.2</v>
      </c>
      <c r="AH149" s="2">
        <v>3.3</v>
      </c>
      <c r="AI149" s="2">
        <v>3.4</v>
      </c>
      <c r="AJ149" s="2">
        <v>3.5</v>
      </c>
      <c r="AK149" s="2">
        <v>3.6</v>
      </c>
      <c r="AL149" s="2">
        <v>3.7</v>
      </c>
      <c r="AM149" s="2">
        <v>3.8</v>
      </c>
      <c r="AN149" s="2">
        <v>3.9</v>
      </c>
      <c r="AO149" s="2">
        <v>4</v>
      </c>
      <c r="AP149" s="2">
        <v>4.1</v>
      </c>
      <c r="AQ149" s="2">
        <v>4.2</v>
      </c>
      <c r="AR149" s="2">
        <v>4.3</v>
      </c>
      <c r="AS149" s="2">
        <v>4.4</v>
      </c>
      <c r="AT149" s="2">
        <v>4.5</v>
      </c>
      <c r="AU149" s="2">
        <v>4.6</v>
      </c>
      <c r="AV149" s="2">
        <v>4.7</v>
      </c>
      <c r="AW149" s="2">
        <v>4.8</v>
      </c>
      <c r="AX149" s="2">
        <v>4.9</v>
      </c>
      <c r="AY149" s="2">
        <v>5</v>
      </c>
      <c r="AZ149" s="2">
        <v>5.1</v>
      </c>
      <c r="BA149" s="2">
        <v>5.2</v>
      </c>
      <c r="BB149" s="2">
        <v>5.3</v>
      </c>
      <c r="BC149" s="2">
        <v>5.4</v>
      </c>
      <c r="BD149" s="2">
        <v>5.5</v>
      </c>
      <c r="BE149" s="2">
        <v>5.6</v>
      </c>
      <c r="BF149" s="2">
        <v>5.7</v>
      </c>
      <c r="BG149" s="2">
        <v>5.8</v>
      </c>
      <c r="BH149" s="2">
        <v>5.9</v>
      </c>
      <c r="BI149" s="2">
        <v>5.999999999999995</v>
      </c>
      <c r="BJ149" s="2">
        <v>6.099999999999994</v>
      </c>
      <c r="BK149" s="2">
        <v>6.199999999999994</v>
      </c>
      <c r="BL149" s="2">
        <v>6.299999999999994</v>
      </c>
      <c r="BM149" s="2">
        <v>6.399999999999993</v>
      </c>
      <c r="BN149" s="2">
        <v>6.499999999999993</v>
      </c>
      <c r="BO149" s="2">
        <v>6.5999999999999925</v>
      </c>
      <c r="BP149" s="2">
        <v>6.699999999999992</v>
      </c>
      <c r="BQ149" s="2">
        <v>6.799999999999992</v>
      </c>
      <c r="BR149" s="2">
        <v>6.8999999999999915</v>
      </c>
      <c r="BS149" s="2">
        <v>6.999999999999991</v>
      </c>
      <c r="BT149" s="2">
        <v>7.099999999999991</v>
      </c>
      <c r="BU149" s="2">
        <v>7.19999999999999</v>
      </c>
      <c r="BV149" s="2">
        <v>7.29999999999999</v>
      </c>
      <c r="BW149" s="2">
        <v>7.39999999999999</v>
      </c>
      <c r="BX149" s="2">
        <v>7.499999999999989</v>
      </c>
      <c r="BY149" s="2">
        <v>7.599999999999989</v>
      </c>
      <c r="BZ149" s="2">
        <v>7.699999999999989</v>
      </c>
      <c r="CA149" s="2">
        <v>7.799999999999988</v>
      </c>
      <c r="CB149" s="2">
        <v>7.899999999999988</v>
      </c>
      <c r="CC149" s="2">
        <v>7.999999999999988</v>
      </c>
      <c r="CD149" s="2">
        <v>8.099999999999987</v>
      </c>
      <c r="CE149" s="2">
        <v>8.199999999999987</v>
      </c>
      <c r="CF149" s="2">
        <v>8.299999999999986</v>
      </c>
      <c r="CG149" s="2">
        <v>8.399999999999986</v>
      </c>
      <c r="CH149" s="2">
        <v>8.499999999999986</v>
      </c>
      <c r="CI149" s="2">
        <v>8.599999999999985</v>
      </c>
      <c r="CJ149" s="2">
        <v>8.699999999999985</v>
      </c>
      <c r="CK149" s="2">
        <v>8.799999999999985</v>
      </c>
      <c r="CL149" s="2">
        <v>8.899999999999984</v>
      </c>
      <c r="CM149" s="2">
        <v>8.999999999999984</v>
      </c>
      <c r="CN149" s="2">
        <v>9.099999999999984</v>
      </c>
      <c r="CO149" s="2">
        <v>9.199999999999983</v>
      </c>
      <c r="CP149" s="2">
        <v>9.299999999999983</v>
      </c>
      <c r="CQ149" s="2">
        <v>9.399999999999983</v>
      </c>
      <c r="CR149" s="2">
        <v>9.499999999999982</v>
      </c>
      <c r="CS149" s="2">
        <v>9.599999999999982</v>
      </c>
      <c r="CT149" s="2">
        <v>9.699999999999982</v>
      </c>
      <c r="CU149" s="2">
        <v>9.799999999999981</v>
      </c>
      <c r="CV149" s="2">
        <v>9.89999999999998</v>
      </c>
      <c r="CW149" s="2">
        <v>9.99999999999998</v>
      </c>
    </row>
    <row r="150" spans="1:101" ht="16.5" thickBot="1">
      <c r="A150" s="166" t="s">
        <v>183</v>
      </c>
      <c r="B150">
        <v>2</v>
      </c>
      <c r="C150">
        <f>1+B150</f>
        <v>3</v>
      </c>
      <c r="D150">
        <f aca="true" t="shared" si="0" ref="D150:BO150">1+C150</f>
        <v>4</v>
      </c>
      <c r="E150">
        <f t="shared" si="0"/>
        <v>5</v>
      </c>
      <c r="F150">
        <f t="shared" si="0"/>
        <v>6</v>
      </c>
      <c r="G150">
        <f t="shared" si="0"/>
        <v>7</v>
      </c>
      <c r="H150">
        <f t="shared" si="0"/>
        <v>8</v>
      </c>
      <c r="I150">
        <f t="shared" si="0"/>
        <v>9</v>
      </c>
      <c r="J150">
        <f t="shared" si="0"/>
        <v>10</v>
      </c>
      <c r="K150">
        <f t="shared" si="0"/>
        <v>11</v>
      </c>
      <c r="L150">
        <f t="shared" si="0"/>
        <v>12</v>
      </c>
      <c r="M150">
        <f t="shared" si="0"/>
        <v>13</v>
      </c>
      <c r="N150">
        <f t="shared" si="0"/>
        <v>14</v>
      </c>
      <c r="O150">
        <f t="shared" si="0"/>
        <v>15</v>
      </c>
      <c r="P150">
        <f t="shared" si="0"/>
        <v>16</v>
      </c>
      <c r="Q150">
        <f t="shared" si="0"/>
        <v>17</v>
      </c>
      <c r="R150">
        <f t="shared" si="0"/>
        <v>18</v>
      </c>
      <c r="S150">
        <f t="shared" si="0"/>
        <v>19</v>
      </c>
      <c r="T150">
        <f t="shared" si="0"/>
        <v>20</v>
      </c>
      <c r="U150">
        <f t="shared" si="0"/>
        <v>21</v>
      </c>
      <c r="V150">
        <f t="shared" si="0"/>
        <v>22</v>
      </c>
      <c r="W150">
        <f t="shared" si="0"/>
        <v>23</v>
      </c>
      <c r="X150">
        <f t="shared" si="0"/>
        <v>24</v>
      </c>
      <c r="Y150">
        <f t="shared" si="0"/>
        <v>25</v>
      </c>
      <c r="Z150">
        <f t="shared" si="0"/>
        <v>26</v>
      </c>
      <c r="AA150">
        <f t="shared" si="0"/>
        <v>27</v>
      </c>
      <c r="AB150">
        <f t="shared" si="0"/>
        <v>28</v>
      </c>
      <c r="AC150">
        <f t="shared" si="0"/>
        <v>29</v>
      </c>
      <c r="AD150">
        <f t="shared" si="0"/>
        <v>30</v>
      </c>
      <c r="AE150">
        <f t="shared" si="0"/>
        <v>31</v>
      </c>
      <c r="AF150">
        <f t="shared" si="0"/>
        <v>32</v>
      </c>
      <c r="AG150">
        <f t="shared" si="0"/>
        <v>33</v>
      </c>
      <c r="AH150">
        <f t="shared" si="0"/>
        <v>34</v>
      </c>
      <c r="AI150">
        <f t="shared" si="0"/>
        <v>35</v>
      </c>
      <c r="AJ150">
        <f t="shared" si="0"/>
        <v>36</v>
      </c>
      <c r="AK150">
        <f t="shared" si="0"/>
        <v>37</v>
      </c>
      <c r="AL150">
        <f t="shared" si="0"/>
        <v>38</v>
      </c>
      <c r="AM150">
        <f t="shared" si="0"/>
        <v>39</v>
      </c>
      <c r="AN150">
        <f t="shared" si="0"/>
        <v>40</v>
      </c>
      <c r="AO150">
        <f t="shared" si="0"/>
        <v>41</v>
      </c>
      <c r="AP150">
        <f t="shared" si="0"/>
        <v>42</v>
      </c>
      <c r="AQ150">
        <f t="shared" si="0"/>
        <v>43</v>
      </c>
      <c r="AR150">
        <f t="shared" si="0"/>
        <v>44</v>
      </c>
      <c r="AS150">
        <f t="shared" si="0"/>
        <v>45</v>
      </c>
      <c r="AT150">
        <f t="shared" si="0"/>
        <v>46</v>
      </c>
      <c r="AU150">
        <f t="shared" si="0"/>
        <v>47</v>
      </c>
      <c r="AV150">
        <f t="shared" si="0"/>
        <v>48</v>
      </c>
      <c r="AW150">
        <f t="shared" si="0"/>
        <v>49</v>
      </c>
      <c r="AX150">
        <f t="shared" si="0"/>
        <v>50</v>
      </c>
      <c r="AY150">
        <f t="shared" si="0"/>
        <v>51</v>
      </c>
      <c r="AZ150">
        <f t="shared" si="0"/>
        <v>52</v>
      </c>
      <c r="BA150">
        <f t="shared" si="0"/>
        <v>53</v>
      </c>
      <c r="BB150">
        <f t="shared" si="0"/>
        <v>54</v>
      </c>
      <c r="BC150">
        <f t="shared" si="0"/>
        <v>55</v>
      </c>
      <c r="BD150">
        <f t="shared" si="0"/>
        <v>56</v>
      </c>
      <c r="BE150">
        <f t="shared" si="0"/>
        <v>57</v>
      </c>
      <c r="BF150">
        <f t="shared" si="0"/>
        <v>58</v>
      </c>
      <c r="BG150">
        <f t="shared" si="0"/>
        <v>59</v>
      </c>
      <c r="BH150">
        <f t="shared" si="0"/>
        <v>60</v>
      </c>
      <c r="BI150">
        <f t="shared" si="0"/>
        <v>61</v>
      </c>
      <c r="BJ150">
        <f t="shared" si="0"/>
        <v>62</v>
      </c>
      <c r="BK150">
        <f t="shared" si="0"/>
        <v>63</v>
      </c>
      <c r="BL150">
        <f t="shared" si="0"/>
        <v>64</v>
      </c>
      <c r="BM150">
        <f t="shared" si="0"/>
        <v>65</v>
      </c>
      <c r="BN150">
        <f t="shared" si="0"/>
        <v>66</v>
      </c>
      <c r="BO150">
        <f t="shared" si="0"/>
        <v>67</v>
      </c>
      <c r="BP150">
        <f aca="true" t="shared" si="1" ref="BP150:CW150">1+BO150</f>
        <v>68</v>
      </c>
      <c r="BQ150">
        <f t="shared" si="1"/>
        <v>69</v>
      </c>
      <c r="BR150">
        <f t="shared" si="1"/>
        <v>70</v>
      </c>
      <c r="BS150">
        <f t="shared" si="1"/>
        <v>71</v>
      </c>
      <c r="BT150">
        <f t="shared" si="1"/>
        <v>72</v>
      </c>
      <c r="BU150">
        <f t="shared" si="1"/>
        <v>73</v>
      </c>
      <c r="BV150">
        <f t="shared" si="1"/>
        <v>74</v>
      </c>
      <c r="BW150">
        <f t="shared" si="1"/>
        <v>75</v>
      </c>
      <c r="BX150">
        <f t="shared" si="1"/>
        <v>76</v>
      </c>
      <c r="BY150">
        <f t="shared" si="1"/>
        <v>77</v>
      </c>
      <c r="BZ150">
        <f t="shared" si="1"/>
        <v>78</v>
      </c>
      <c r="CA150">
        <f t="shared" si="1"/>
        <v>79</v>
      </c>
      <c r="CB150">
        <f t="shared" si="1"/>
        <v>80</v>
      </c>
      <c r="CC150">
        <f t="shared" si="1"/>
        <v>81</v>
      </c>
      <c r="CD150">
        <f t="shared" si="1"/>
        <v>82</v>
      </c>
      <c r="CE150">
        <f t="shared" si="1"/>
        <v>83</v>
      </c>
      <c r="CF150">
        <f t="shared" si="1"/>
        <v>84</v>
      </c>
      <c r="CG150">
        <f t="shared" si="1"/>
        <v>85</v>
      </c>
      <c r="CH150">
        <f t="shared" si="1"/>
        <v>86</v>
      </c>
      <c r="CI150">
        <f t="shared" si="1"/>
        <v>87</v>
      </c>
      <c r="CJ150">
        <f t="shared" si="1"/>
        <v>88</v>
      </c>
      <c r="CK150">
        <f t="shared" si="1"/>
        <v>89</v>
      </c>
      <c r="CL150">
        <f t="shared" si="1"/>
        <v>90</v>
      </c>
      <c r="CM150">
        <f t="shared" si="1"/>
        <v>91</v>
      </c>
      <c r="CN150">
        <f t="shared" si="1"/>
        <v>92</v>
      </c>
      <c r="CO150">
        <f t="shared" si="1"/>
        <v>93</v>
      </c>
      <c r="CP150">
        <f t="shared" si="1"/>
        <v>94</v>
      </c>
      <c r="CQ150">
        <f t="shared" si="1"/>
        <v>95</v>
      </c>
      <c r="CR150">
        <f t="shared" si="1"/>
        <v>96</v>
      </c>
      <c r="CS150">
        <f t="shared" si="1"/>
        <v>97</v>
      </c>
      <c r="CT150">
        <f t="shared" si="1"/>
        <v>98</v>
      </c>
      <c r="CU150">
        <f t="shared" si="1"/>
        <v>99</v>
      </c>
      <c r="CV150">
        <f t="shared" si="1"/>
        <v>100</v>
      </c>
      <c r="CW150">
        <f t="shared" si="1"/>
        <v>101</v>
      </c>
    </row>
    <row r="151" spans="1:101" ht="12.75">
      <c r="A151" s="167">
        <v>0.1</v>
      </c>
      <c r="B151" s="168">
        <v>1.59</v>
      </c>
      <c r="C151" s="169">
        <v>1.25</v>
      </c>
      <c r="D151" s="169">
        <v>1.06</v>
      </c>
      <c r="E151" s="170">
        <v>0.92</v>
      </c>
      <c r="F151" s="169">
        <v>0.83</v>
      </c>
      <c r="G151" s="169">
        <v>0.75</v>
      </c>
      <c r="H151" s="169">
        <v>0.69</v>
      </c>
      <c r="I151" s="169">
        <v>0.64</v>
      </c>
      <c r="J151" s="170">
        <v>0.59</v>
      </c>
      <c r="K151" s="169">
        <v>0.56</v>
      </c>
      <c r="L151" s="169">
        <v>0.54</v>
      </c>
      <c r="M151" s="169">
        <v>0.52</v>
      </c>
      <c r="N151" s="169">
        <v>0.5</v>
      </c>
      <c r="O151" s="170">
        <v>0.48</v>
      </c>
      <c r="P151" s="169">
        <v>0.46</v>
      </c>
      <c r="Q151" s="169">
        <v>0.43</v>
      </c>
      <c r="R151" s="169">
        <v>0.41</v>
      </c>
      <c r="S151" s="169">
        <v>0.39</v>
      </c>
      <c r="T151" s="170">
        <v>0.37</v>
      </c>
      <c r="U151" s="169">
        <v>0.35</v>
      </c>
      <c r="V151" s="169">
        <v>0.34</v>
      </c>
      <c r="W151" s="169">
        <v>0.33</v>
      </c>
      <c r="X151" s="169">
        <v>0.32</v>
      </c>
      <c r="Y151" s="170">
        <v>0.31</v>
      </c>
      <c r="Z151" s="169">
        <v>0.31</v>
      </c>
      <c r="AA151" s="169">
        <v>0.3</v>
      </c>
      <c r="AB151" s="169">
        <v>0.29</v>
      </c>
      <c r="AC151" s="169">
        <v>0.28</v>
      </c>
      <c r="AD151" s="170">
        <v>0.27</v>
      </c>
      <c r="AE151" s="169">
        <v>0.26</v>
      </c>
      <c r="AF151" s="169">
        <v>0.26</v>
      </c>
      <c r="AG151" s="169">
        <v>0.25</v>
      </c>
      <c r="AH151" s="169">
        <v>0.25</v>
      </c>
      <c r="AI151" s="170">
        <v>0.24</v>
      </c>
      <c r="AJ151" s="169">
        <v>0.24</v>
      </c>
      <c r="AK151" s="169">
        <v>0.23</v>
      </c>
      <c r="AL151" s="169">
        <v>0.23</v>
      </c>
      <c r="AM151" s="169">
        <v>0.22</v>
      </c>
      <c r="AN151" s="170">
        <v>0.22</v>
      </c>
      <c r="AO151" s="169">
        <v>0.21</v>
      </c>
      <c r="AP151" s="169">
        <v>0.21</v>
      </c>
      <c r="AQ151" s="169">
        <v>0.2</v>
      </c>
      <c r="AR151" s="169">
        <v>0.2</v>
      </c>
      <c r="AS151" s="170">
        <v>0.19</v>
      </c>
      <c r="AT151" s="169">
        <v>0.19</v>
      </c>
      <c r="AU151" s="169">
        <v>0.19</v>
      </c>
      <c r="AV151" s="169">
        <v>0.18</v>
      </c>
      <c r="AW151" s="169">
        <v>0.18</v>
      </c>
      <c r="AX151" s="170">
        <v>0.17</v>
      </c>
      <c r="AY151" s="169">
        <v>0.17</v>
      </c>
      <c r="AZ151" s="169">
        <v>0.17</v>
      </c>
      <c r="BA151" s="169">
        <v>0.17</v>
      </c>
      <c r="BB151" s="169">
        <v>0.16</v>
      </c>
      <c r="BC151" s="170">
        <v>0.16</v>
      </c>
      <c r="BD151" s="169">
        <v>0.16</v>
      </c>
      <c r="BE151" s="169">
        <v>0.16</v>
      </c>
      <c r="BF151" s="169">
        <v>0.16</v>
      </c>
      <c r="BG151" s="169">
        <v>0.15</v>
      </c>
      <c r="BH151" s="170">
        <v>0.15</v>
      </c>
      <c r="BI151" s="169">
        <v>0.15</v>
      </c>
      <c r="BJ151" s="169">
        <v>0.15</v>
      </c>
      <c r="BK151" s="169">
        <v>0.15</v>
      </c>
      <c r="BL151" s="169">
        <v>0.14</v>
      </c>
      <c r="BM151" s="170">
        <v>0.14</v>
      </c>
      <c r="BN151" s="169">
        <v>0.14</v>
      </c>
      <c r="BO151" s="169">
        <v>0.14</v>
      </c>
      <c r="BP151" s="169">
        <v>0.14</v>
      </c>
      <c r="BQ151" s="169">
        <v>0.13</v>
      </c>
      <c r="BR151" s="170">
        <v>0.13</v>
      </c>
      <c r="BS151" s="169">
        <v>0.13</v>
      </c>
      <c r="BT151" s="169">
        <v>0.13</v>
      </c>
      <c r="BU151" s="169">
        <v>0.13</v>
      </c>
      <c r="BV151" s="169">
        <v>0.13</v>
      </c>
      <c r="BW151" s="170">
        <v>0.13</v>
      </c>
      <c r="BX151" s="169">
        <v>0.13</v>
      </c>
      <c r="BY151" s="169">
        <v>0.12</v>
      </c>
      <c r="BZ151" s="169">
        <v>0.12</v>
      </c>
      <c r="CA151" s="169">
        <v>0.12</v>
      </c>
      <c r="CB151" s="170">
        <v>0.12</v>
      </c>
      <c r="CC151" s="169">
        <v>0.12</v>
      </c>
      <c r="CD151" s="169">
        <v>0.12</v>
      </c>
      <c r="CE151" s="169">
        <v>0.12</v>
      </c>
      <c r="CF151" s="169">
        <v>0.11</v>
      </c>
      <c r="CG151" s="170">
        <v>0.11</v>
      </c>
      <c r="CH151" s="169">
        <v>0.11</v>
      </c>
      <c r="CI151" s="169">
        <v>0.11</v>
      </c>
      <c r="CJ151" s="169">
        <v>0.11</v>
      </c>
      <c r="CK151" s="169">
        <v>0.1</v>
      </c>
      <c r="CL151" s="170">
        <v>0.1</v>
      </c>
      <c r="CM151" s="169">
        <v>0.1</v>
      </c>
      <c r="CN151" s="169">
        <v>0.1</v>
      </c>
      <c r="CO151" s="169">
        <v>0.1</v>
      </c>
      <c r="CP151" s="169">
        <v>0.1</v>
      </c>
      <c r="CQ151" s="170">
        <v>0.1</v>
      </c>
      <c r="CR151" s="169">
        <v>0.1</v>
      </c>
      <c r="CS151" s="169">
        <v>0.09</v>
      </c>
      <c r="CT151" s="169">
        <v>0.09</v>
      </c>
      <c r="CU151" s="169">
        <v>0.09</v>
      </c>
      <c r="CV151" s="169">
        <v>0.09</v>
      </c>
      <c r="CW151" s="171">
        <v>0.09</v>
      </c>
    </row>
    <row r="152" spans="1:101" ht="12.75">
      <c r="A152" s="2">
        <v>0.11</v>
      </c>
      <c r="B152" s="172">
        <v>1.59</v>
      </c>
      <c r="C152" s="173">
        <v>1.24</v>
      </c>
      <c r="D152" s="173">
        <v>1.05</v>
      </c>
      <c r="E152" s="174">
        <v>0.91</v>
      </c>
      <c r="F152" s="173">
        <v>0.82</v>
      </c>
      <c r="G152" s="173">
        <v>0.74</v>
      </c>
      <c r="H152" s="173">
        <v>0.68</v>
      </c>
      <c r="I152" s="173">
        <v>0.63</v>
      </c>
      <c r="J152" s="174">
        <v>0.59</v>
      </c>
      <c r="K152" s="173">
        <v>0.56</v>
      </c>
      <c r="L152" s="173">
        <f aca="true" t="shared" si="2" ref="L152:O191">L151-0.01</f>
        <v>0.53</v>
      </c>
      <c r="M152" s="173">
        <f t="shared" si="2"/>
        <v>0.51</v>
      </c>
      <c r="N152" s="173">
        <f t="shared" si="2"/>
        <v>0.49</v>
      </c>
      <c r="O152" s="174">
        <f>O151-0.01</f>
        <v>0.47</v>
      </c>
      <c r="P152" s="173">
        <f>P151-0.01</f>
        <v>0.45</v>
      </c>
      <c r="Q152" s="173">
        <v>0.43</v>
      </c>
      <c r="R152" s="173">
        <v>0.41</v>
      </c>
      <c r="S152" s="173">
        <v>0.39</v>
      </c>
      <c r="T152" s="174">
        <v>0.37</v>
      </c>
      <c r="U152" s="173">
        <v>0.35</v>
      </c>
      <c r="V152" s="173">
        <v>0.34</v>
      </c>
      <c r="W152" s="173">
        <v>0.33</v>
      </c>
      <c r="X152" s="173">
        <v>0.32</v>
      </c>
      <c r="Y152" s="174">
        <v>0.31</v>
      </c>
      <c r="Z152" s="173">
        <v>0.3</v>
      </c>
      <c r="AA152" s="173">
        <v>0.29</v>
      </c>
      <c r="AB152" s="173">
        <v>0.28</v>
      </c>
      <c r="AC152" s="173">
        <f aca="true" t="shared" si="3" ref="AC152:AF191">AC151</f>
        <v>0.28</v>
      </c>
      <c r="AD152" s="174">
        <f t="shared" si="3"/>
        <v>0.27</v>
      </c>
      <c r="AE152" s="173">
        <f t="shared" si="3"/>
        <v>0.26</v>
      </c>
      <c r="AF152" s="173">
        <v>0.25</v>
      </c>
      <c r="AG152" s="173">
        <f aca="true" t="shared" si="4" ref="AG152:AH191">AG151</f>
        <v>0.25</v>
      </c>
      <c r="AH152" s="173">
        <v>0.24</v>
      </c>
      <c r="AI152" s="174">
        <f aca="true" t="shared" si="5" ref="AI152:AJ190">AI151</f>
        <v>0.24</v>
      </c>
      <c r="AJ152" s="173">
        <v>0.23</v>
      </c>
      <c r="AK152" s="173">
        <f aca="true" t="shared" si="6" ref="AK152:AL191">AK151</f>
        <v>0.23</v>
      </c>
      <c r="AL152" s="173">
        <v>0.22</v>
      </c>
      <c r="AM152" s="173">
        <f aca="true" t="shared" si="7" ref="AM152:AN190">AM151</f>
        <v>0.22</v>
      </c>
      <c r="AN152" s="174">
        <v>0.21</v>
      </c>
      <c r="AO152" s="173">
        <f aca="true" t="shared" si="8" ref="AO152:AP191">AO151</f>
        <v>0.21</v>
      </c>
      <c r="AP152" s="173">
        <v>0.2</v>
      </c>
      <c r="AQ152" s="173">
        <f aca="true" t="shared" si="9" ref="AQ152:AV191">AQ151</f>
        <v>0.2</v>
      </c>
      <c r="AR152" s="173">
        <f t="shared" si="9"/>
        <v>0.2</v>
      </c>
      <c r="AS152" s="174">
        <f t="shared" si="9"/>
        <v>0.19</v>
      </c>
      <c r="AT152" s="173">
        <f t="shared" si="9"/>
        <v>0.19</v>
      </c>
      <c r="AU152" s="173">
        <v>0.18</v>
      </c>
      <c r="AV152" s="173">
        <f>AV151</f>
        <v>0.18</v>
      </c>
      <c r="AW152" s="173">
        <f aca="true" t="shared" si="10" ref="AW152:BA191">AW151</f>
        <v>0.18</v>
      </c>
      <c r="AX152" s="174">
        <f t="shared" si="10"/>
        <v>0.17</v>
      </c>
      <c r="AY152" s="173">
        <f t="shared" si="10"/>
        <v>0.17</v>
      </c>
      <c r="AZ152" s="173">
        <f t="shared" si="10"/>
        <v>0.17</v>
      </c>
      <c r="BA152" s="173">
        <v>0.16</v>
      </c>
      <c r="BB152" s="173">
        <f aca="true" t="shared" si="11" ref="BB152:BG191">BB151</f>
        <v>0.16</v>
      </c>
      <c r="BC152" s="174">
        <f t="shared" si="11"/>
        <v>0.16</v>
      </c>
      <c r="BD152" s="173">
        <f t="shared" si="11"/>
        <v>0.16</v>
      </c>
      <c r="BE152" s="173">
        <f t="shared" si="11"/>
        <v>0.16</v>
      </c>
      <c r="BF152" s="173">
        <v>0.15</v>
      </c>
      <c r="BG152" s="173">
        <f aca="true" t="shared" si="12" ref="BG152:BS152">BG151</f>
        <v>0.15</v>
      </c>
      <c r="BH152" s="174">
        <f t="shared" si="12"/>
        <v>0.15</v>
      </c>
      <c r="BI152" s="173">
        <f t="shared" si="12"/>
        <v>0.15</v>
      </c>
      <c r="BJ152" s="173">
        <f t="shared" si="12"/>
        <v>0.15</v>
      </c>
      <c r="BK152" s="173">
        <f t="shared" si="12"/>
        <v>0.15</v>
      </c>
      <c r="BL152" s="173">
        <f t="shared" si="12"/>
        <v>0.14</v>
      </c>
      <c r="BM152" s="174">
        <f t="shared" si="12"/>
        <v>0.14</v>
      </c>
      <c r="BN152" s="173">
        <f t="shared" si="12"/>
        <v>0.14</v>
      </c>
      <c r="BO152" s="173">
        <f t="shared" si="12"/>
        <v>0.14</v>
      </c>
      <c r="BP152" s="173">
        <f t="shared" si="12"/>
        <v>0.14</v>
      </c>
      <c r="BQ152" s="173">
        <f t="shared" si="12"/>
        <v>0.13</v>
      </c>
      <c r="BR152" s="174">
        <f t="shared" si="12"/>
        <v>0.13</v>
      </c>
      <c r="BS152" s="173">
        <f t="shared" si="12"/>
        <v>0.13</v>
      </c>
      <c r="BT152" s="173">
        <f aca="true" t="shared" si="13" ref="BT152:BW191">BT151</f>
        <v>0.13</v>
      </c>
      <c r="BU152" s="173">
        <f t="shared" si="13"/>
        <v>0.13</v>
      </c>
      <c r="BV152" s="173">
        <f t="shared" si="13"/>
        <v>0.13</v>
      </c>
      <c r="BW152" s="174">
        <f t="shared" si="13"/>
        <v>0.13</v>
      </c>
      <c r="BX152" s="173">
        <v>0.12</v>
      </c>
      <c r="BY152" s="173">
        <f aca="true" t="shared" si="14" ref="BY152:CN152">BY151</f>
        <v>0.12</v>
      </c>
      <c r="BZ152" s="173">
        <f t="shared" si="14"/>
        <v>0.12</v>
      </c>
      <c r="CA152" s="173">
        <f t="shared" si="14"/>
        <v>0.12</v>
      </c>
      <c r="CB152" s="174">
        <f t="shared" si="14"/>
        <v>0.12</v>
      </c>
      <c r="CC152" s="173">
        <f t="shared" si="14"/>
        <v>0.12</v>
      </c>
      <c r="CD152" s="173">
        <f t="shared" si="14"/>
        <v>0.12</v>
      </c>
      <c r="CE152" s="173">
        <f t="shared" si="14"/>
        <v>0.12</v>
      </c>
      <c r="CF152" s="173">
        <f t="shared" si="14"/>
        <v>0.11</v>
      </c>
      <c r="CG152" s="174">
        <f t="shared" si="14"/>
        <v>0.11</v>
      </c>
      <c r="CH152" s="173">
        <f t="shared" si="14"/>
        <v>0.11</v>
      </c>
      <c r="CI152" s="173">
        <f t="shared" si="14"/>
        <v>0.11</v>
      </c>
      <c r="CJ152" s="173">
        <f t="shared" si="14"/>
        <v>0.11</v>
      </c>
      <c r="CK152" s="173">
        <f t="shared" si="14"/>
        <v>0.1</v>
      </c>
      <c r="CL152" s="174">
        <f t="shared" si="14"/>
        <v>0.1</v>
      </c>
      <c r="CM152" s="173">
        <f t="shared" si="14"/>
        <v>0.1</v>
      </c>
      <c r="CN152" s="173">
        <f t="shared" si="14"/>
        <v>0.1</v>
      </c>
      <c r="CO152" s="173">
        <f aca="true" t="shared" si="15" ref="CO152:CP191">CO151</f>
        <v>0.1</v>
      </c>
      <c r="CP152" s="173">
        <f>CP151</f>
        <v>0.1</v>
      </c>
      <c r="CQ152" s="174">
        <f aca="true" t="shared" si="16" ref="CQ152:CR191">CQ151</f>
        <v>0.1</v>
      </c>
      <c r="CR152" s="173">
        <v>0.09</v>
      </c>
      <c r="CS152" s="173">
        <f aca="true" t="shared" si="17" ref="CS152:CW191">CS151</f>
        <v>0.09</v>
      </c>
      <c r="CT152" s="173">
        <f t="shared" si="17"/>
        <v>0.09</v>
      </c>
      <c r="CU152" s="173">
        <f t="shared" si="17"/>
        <v>0.09</v>
      </c>
      <c r="CV152" s="173">
        <f t="shared" si="17"/>
        <v>0.09</v>
      </c>
      <c r="CW152" s="175">
        <f t="shared" si="17"/>
        <v>0.09</v>
      </c>
    </row>
    <row r="153" spans="1:101" ht="12.75">
      <c r="A153" s="2">
        <v>0.12</v>
      </c>
      <c r="B153" s="172">
        <v>1.59</v>
      </c>
      <c r="C153" s="173">
        <v>1.23</v>
      </c>
      <c r="D153" s="173">
        <v>1.04</v>
      </c>
      <c r="E153" s="174">
        <v>0.91</v>
      </c>
      <c r="F153" s="173">
        <v>0.82</v>
      </c>
      <c r="G153" s="173">
        <v>0.74</v>
      </c>
      <c r="H153" s="173">
        <v>0.68</v>
      </c>
      <c r="I153" s="173">
        <v>0.63</v>
      </c>
      <c r="J153" s="174">
        <v>0.58</v>
      </c>
      <c r="K153" s="173">
        <f aca="true" t="shared" si="18" ref="K153:K191">K152-0.01</f>
        <v>0.55</v>
      </c>
      <c r="L153" s="173">
        <v>0.53</v>
      </c>
      <c r="M153" s="173">
        <v>0.51</v>
      </c>
      <c r="N153" s="173">
        <v>0.49</v>
      </c>
      <c r="O153" s="174">
        <v>0.47</v>
      </c>
      <c r="P153" s="173">
        <v>0.45</v>
      </c>
      <c r="Q153" s="173">
        <v>0.43</v>
      </c>
      <c r="R153" s="173">
        <v>0.41</v>
      </c>
      <c r="S153" s="173">
        <v>0.39</v>
      </c>
      <c r="T153" s="174">
        <f>T152-0.01</f>
        <v>0.36</v>
      </c>
      <c r="U153" s="173">
        <f>U152-0.01</f>
        <v>0.33999999999999997</v>
      </c>
      <c r="V153" s="173">
        <v>0.34</v>
      </c>
      <c r="W153" s="173">
        <v>0.33</v>
      </c>
      <c r="X153" s="173">
        <v>0.32</v>
      </c>
      <c r="Y153" s="174">
        <v>0.31</v>
      </c>
      <c r="Z153" s="173">
        <f aca="true" t="shared" si="19" ref="Z153:AB190">Z152</f>
        <v>0.3</v>
      </c>
      <c r="AA153" s="173">
        <f t="shared" si="19"/>
        <v>0.29</v>
      </c>
      <c r="AB153" s="173">
        <f t="shared" si="19"/>
        <v>0.28</v>
      </c>
      <c r="AC153" s="173">
        <v>0.27</v>
      </c>
      <c r="AD153" s="174">
        <v>0.26</v>
      </c>
      <c r="AE153" s="173">
        <f t="shared" si="3"/>
        <v>0.26</v>
      </c>
      <c r="AF153" s="173">
        <f t="shared" si="3"/>
        <v>0.25</v>
      </c>
      <c r="AG153" s="173">
        <f t="shared" si="4"/>
        <v>0.25</v>
      </c>
      <c r="AH153" s="173">
        <f t="shared" si="4"/>
        <v>0.24</v>
      </c>
      <c r="AI153" s="174">
        <f t="shared" si="5"/>
        <v>0.24</v>
      </c>
      <c r="AJ153" s="173">
        <f t="shared" si="5"/>
        <v>0.23</v>
      </c>
      <c r="AK153" s="173">
        <f t="shared" si="6"/>
        <v>0.23</v>
      </c>
      <c r="AL153" s="173">
        <f t="shared" si="6"/>
        <v>0.22</v>
      </c>
      <c r="AM153" s="173">
        <f t="shared" si="7"/>
        <v>0.22</v>
      </c>
      <c r="AN153" s="174">
        <f t="shared" si="7"/>
        <v>0.21</v>
      </c>
      <c r="AO153" s="173">
        <f t="shared" si="8"/>
        <v>0.21</v>
      </c>
      <c r="AP153" s="173">
        <f t="shared" si="8"/>
        <v>0.2</v>
      </c>
      <c r="AQ153" s="173">
        <f t="shared" si="9"/>
        <v>0.2</v>
      </c>
      <c r="AR153" s="173">
        <v>0.19</v>
      </c>
      <c r="AS153" s="174">
        <f t="shared" si="9"/>
        <v>0.19</v>
      </c>
      <c r="AT153" s="173">
        <f t="shared" si="9"/>
        <v>0.19</v>
      </c>
      <c r="AU153" s="173">
        <f t="shared" si="9"/>
        <v>0.18</v>
      </c>
      <c r="AV153" s="173">
        <f t="shared" si="9"/>
        <v>0.18</v>
      </c>
      <c r="AW153" s="173">
        <v>0.17</v>
      </c>
      <c r="AX153" s="174">
        <f t="shared" si="10"/>
        <v>0.17</v>
      </c>
      <c r="AY153" s="173">
        <f t="shared" si="10"/>
        <v>0.17</v>
      </c>
      <c r="AZ153" s="173">
        <f t="shared" si="10"/>
        <v>0.17</v>
      </c>
      <c r="BA153" s="173">
        <f t="shared" si="10"/>
        <v>0.16</v>
      </c>
      <c r="BB153" s="173">
        <f t="shared" si="11"/>
        <v>0.16</v>
      </c>
      <c r="BC153" s="174">
        <f t="shared" si="11"/>
        <v>0.16</v>
      </c>
      <c r="BD153" s="173">
        <f t="shared" si="11"/>
        <v>0.16</v>
      </c>
      <c r="BE153" s="173">
        <f t="shared" si="11"/>
        <v>0.16</v>
      </c>
      <c r="BF153" s="173">
        <f t="shared" si="11"/>
        <v>0.15</v>
      </c>
      <c r="BG153" s="173">
        <f aca="true" t="shared" si="20" ref="BG153:BJ154">BG152</f>
        <v>0.15</v>
      </c>
      <c r="BH153" s="174">
        <f t="shared" si="20"/>
        <v>0.15</v>
      </c>
      <c r="BI153" s="173">
        <f t="shared" si="20"/>
        <v>0.15</v>
      </c>
      <c r="BJ153" s="173">
        <f t="shared" si="20"/>
        <v>0.15</v>
      </c>
      <c r="BK153" s="173">
        <v>0.14</v>
      </c>
      <c r="BL153" s="173">
        <f aca="true" t="shared" si="21" ref="BL153:BO154">BL152</f>
        <v>0.14</v>
      </c>
      <c r="BM153" s="174">
        <f t="shared" si="21"/>
        <v>0.14</v>
      </c>
      <c r="BN153" s="173">
        <f t="shared" si="21"/>
        <v>0.14</v>
      </c>
      <c r="BO153" s="173">
        <f t="shared" si="21"/>
        <v>0.14</v>
      </c>
      <c r="BP153" s="173">
        <v>0.13</v>
      </c>
      <c r="BQ153" s="173">
        <f aca="true" t="shared" si="22" ref="BQ153:BS156">BQ152</f>
        <v>0.13</v>
      </c>
      <c r="BR153" s="174">
        <f t="shared" si="22"/>
        <v>0.13</v>
      </c>
      <c r="BS153" s="173">
        <f t="shared" si="22"/>
        <v>0.13</v>
      </c>
      <c r="BT153" s="173">
        <f t="shared" si="13"/>
        <v>0.13</v>
      </c>
      <c r="BU153" s="173">
        <f t="shared" si="13"/>
        <v>0.13</v>
      </c>
      <c r="BV153" s="173">
        <f t="shared" si="13"/>
        <v>0.13</v>
      </c>
      <c r="BW153" s="174">
        <v>0.12</v>
      </c>
      <c r="BX153" s="173">
        <f aca="true" t="shared" si="23" ref="BX153:BY191">BX152</f>
        <v>0.12</v>
      </c>
      <c r="BY153" s="173">
        <f aca="true" t="shared" si="24" ref="BY153:CD154">BY152</f>
        <v>0.12</v>
      </c>
      <c r="BZ153" s="173">
        <f t="shared" si="24"/>
        <v>0.12</v>
      </c>
      <c r="CA153" s="173">
        <f t="shared" si="24"/>
        <v>0.12</v>
      </c>
      <c r="CB153" s="174">
        <f t="shared" si="24"/>
        <v>0.12</v>
      </c>
      <c r="CC153" s="173">
        <f t="shared" si="24"/>
        <v>0.12</v>
      </c>
      <c r="CD153" s="173">
        <f t="shared" si="24"/>
        <v>0.12</v>
      </c>
      <c r="CE153" s="173">
        <v>0.11</v>
      </c>
      <c r="CF153" s="173">
        <f aca="true" t="shared" si="25" ref="CF153:CI155">CF152</f>
        <v>0.11</v>
      </c>
      <c r="CG153" s="174">
        <f t="shared" si="25"/>
        <v>0.11</v>
      </c>
      <c r="CH153" s="173">
        <f t="shared" si="25"/>
        <v>0.11</v>
      </c>
      <c r="CI153" s="173">
        <f t="shared" si="25"/>
        <v>0.11</v>
      </c>
      <c r="CJ153" s="173">
        <v>0.1</v>
      </c>
      <c r="CK153" s="173">
        <f aca="true" t="shared" si="26" ref="CK153:CN159">CK152</f>
        <v>0.1</v>
      </c>
      <c r="CL153" s="174">
        <f t="shared" si="26"/>
        <v>0.1</v>
      </c>
      <c r="CM153" s="173">
        <f t="shared" si="26"/>
        <v>0.1</v>
      </c>
      <c r="CN153" s="173">
        <f t="shared" si="26"/>
        <v>0.1</v>
      </c>
      <c r="CO153" s="173">
        <f t="shared" si="15"/>
        <v>0.1</v>
      </c>
      <c r="CP153" s="173">
        <f t="shared" si="15"/>
        <v>0.1</v>
      </c>
      <c r="CQ153" s="174">
        <f t="shared" si="16"/>
        <v>0.1</v>
      </c>
      <c r="CR153" s="173">
        <f t="shared" si="16"/>
        <v>0.09</v>
      </c>
      <c r="CS153" s="173">
        <f t="shared" si="17"/>
        <v>0.09</v>
      </c>
      <c r="CT153" s="173">
        <f t="shared" si="17"/>
        <v>0.09</v>
      </c>
      <c r="CU153" s="173">
        <f t="shared" si="17"/>
        <v>0.09</v>
      </c>
      <c r="CV153" s="173">
        <f t="shared" si="17"/>
        <v>0.09</v>
      </c>
      <c r="CW153" s="175">
        <f t="shared" si="17"/>
        <v>0.09</v>
      </c>
    </row>
    <row r="154" spans="1:101" ht="12.75">
      <c r="A154" s="2">
        <v>0.13</v>
      </c>
      <c r="B154" s="172">
        <v>1.59</v>
      </c>
      <c r="C154" s="173">
        <v>1.22</v>
      </c>
      <c r="D154" s="173">
        <v>1.04</v>
      </c>
      <c r="E154" s="174">
        <v>0.9</v>
      </c>
      <c r="F154" s="173">
        <v>0.81</v>
      </c>
      <c r="G154" s="173">
        <v>0.73</v>
      </c>
      <c r="H154" s="173">
        <v>0.67</v>
      </c>
      <c r="I154" s="173">
        <v>0.62</v>
      </c>
      <c r="J154" s="174">
        <v>0.58</v>
      </c>
      <c r="K154" s="173">
        <v>0.55</v>
      </c>
      <c r="L154" s="173">
        <v>0.52</v>
      </c>
      <c r="M154" s="173">
        <f t="shared" si="2"/>
        <v>0.5</v>
      </c>
      <c r="N154" s="173">
        <f t="shared" si="2"/>
        <v>0.48</v>
      </c>
      <c r="O154" s="174">
        <v>0.46</v>
      </c>
      <c r="P154" s="173">
        <f aca="true" t="shared" si="27" ref="P154:S190">P153-0.01</f>
        <v>0.44</v>
      </c>
      <c r="Q154" s="173">
        <f t="shared" si="27"/>
        <v>0.42</v>
      </c>
      <c r="R154" s="173">
        <f t="shared" si="27"/>
        <v>0.39999999999999997</v>
      </c>
      <c r="S154" s="173">
        <f t="shared" si="27"/>
        <v>0.38</v>
      </c>
      <c r="T154" s="174">
        <v>0.36</v>
      </c>
      <c r="U154" s="173">
        <v>0.34</v>
      </c>
      <c r="V154" s="173">
        <f>V153-0.01</f>
        <v>0.33</v>
      </c>
      <c r="W154" s="173">
        <f>W153-0.01</f>
        <v>0.32</v>
      </c>
      <c r="X154" s="173">
        <f>X153-0.01</f>
        <v>0.31</v>
      </c>
      <c r="Y154" s="174">
        <v>0.31</v>
      </c>
      <c r="Z154" s="173">
        <f t="shared" si="19"/>
        <v>0.3</v>
      </c>
      <c r="AA154" s="173">
        <f t="shared" si="19"/>
        <v>0.29</v>
      </c>
      <c r="AB154" s="173">
        <f t="shared" si="19"/>
        <v>0.28</v>
      </c>
      <c r="AC154" s="173">
        <f t="shared" si="3"/>
        <v>0.27</v>
      </c>
      <c r="AD154" s="174">
        <f t="shared" si="3"/>
        <v>0.26</v>
      </c>
      <c r="AE154" s="173">
        <v>0.25</v>
      </c>
      <c r="AF154" s="173">
        <f t="shared" si="3"/>
        <v>0.25</v>
      </c>
      <c r="AG154" s="173">
        <v>0.24</v>
      </c>
      <c r="AH154" s="173">
        <f t="shared" si="4"/>
        <v>0.24</v>
      </c>
      <c r="AI154" s="174">
        <v>0.23</v>
      </c>
      <c r="AJ154" s="173">
        <f t="shared" si="5"/>
        <v>0.23</v>
      </c>
      <c r="AK154" s="173">
        <v>0.22</v>
      </c>
      <c r="AL154" s="173">
        <f t="shared" si="6"/>
        <v>0.22</v>
      </c>
      <c r="AM154" s="173">
        <v>0.21</v>
      </c>
      <c r="AN154" s="174">
        <f t="shared" si="7"/>
        <v>0.21</v>
      </c>
      <c r="AO154" s="173">
        <v>0.2</v>
      </c>
      <c r="AP154" s="173">
        <f t="shared" si="8"/>
        <v>0.2</v>
      </c>
      <c r="AQ154" s="173">
        <f t="shared" si="9"/>
        <v>0.2</v>
      </c>
      <c r="AR154" s="173">
        <f t="shared" si="9"/>
        <v>0.19</v>
      </c>
      <c r="AS154" s="174">
        <f t="shared" si="9"/>
        <v>0.19</v>
      </c>
      <c r="AT154" s="173">
        <v>0.18</v>
      </c>
      <c r="AU154" s="173">
        <f t="shared" si="9"/>
        <v>0.18</v>
      </c>
      <c r="AV154" s="173">
        <f t="shared" si="9"/>
        <v>0.18</v>
      </c>
      <c r="AW154" s="173">
        <f t="shared" si="10"/>
        <v>0.17</v>
      </c>
      <c r="AX154" s="174">
        <f t="shared" si="10"/>
        <v>0.17</v>
      </c>
      <c r="AY154" s="173">
        <f t="shared" si="10"/>
        <v>0.17</v>
      </c>
      <c r="AZ154" s="173">
        <v>0.16</v>
      </c>
      <c r="BA154" s="173">
        <f t="shared" si="10"/>
        <v>0.16</v>
      </c>
      <c r="BB154" s="173">
        <f t="shared" si="11"/>
        <v>0.16</v>
      </c>
      <c r="BC154" s="174">
        <f t="shared" si="11"/>
        <v>0.16</v>
      </c>
      <c r="BD154" s="173">
        <f t="shared" si="11"/>
        <v>0.16</v>
      </c>
      <c r="BE154" s="173">
        <v>0.15</v>
      </c>
      <c r="BF154" s="173">
        <f t="shared" si="11"/>
        <v>0.15</v>
      </c>
      <c r="BG154" s="173">
        <f t="shared" si="20"/>
        <v>0.15</v>
      </c>
      <c r="BH154" s="174">
        <f t="shared" si="20"/>
        <v>0.15</v>
      </c>
      <c r="BI154" s="173">
        <f t="shared" si="20"/>
        <v>0.15</v>
      </c>
      <c r="BJ154" s="173">
        <f t="shared" si="20"/>
        <v>0.15</v>
      </c>
      <c r="BK154" s="173">
        <f aca="true" t="shared" si="28" ref="BK154:BK162">BK153</f>
        <v>0.14</v>
      </c>
      <c r="BL154" s="173">
        <f t="shared" si="21"/>
        <v>0.14</v>
      </c>
      <c r="BM154" s="174">
        <f t="shared" si="21"/>
        <v>0.14</v>
      </c>
      <c r="BN154" s="173">
        <f t="shared" si="21"/>
        <v>0.14</v>
      </c>
      <c r="BO154" s="173">
        <f t="shared" si="21"/>
        <v>0.14</v>
      </c>
      <c r="BP154" s="173">
        <f aca="true" t="shared" si="29" ref="BP154:BP162">BP153</f>
        <v>0.13</v>
      </c>
      <c r="BQ154" s="173">
        <f t="shared" si="22"/>
        <v>0.13</v>
      </c>
      <c r="BR154" s="174">
        <f t="shared" si="22"/>
        <v>0.13</v>
      </c>
      <c r="BS154" s="173">
        <f t="shared" si="22"/>
        <v>0.13</v>
      </c>
      <c r="BT154" s="173">
        <f t="shared" si="13"/>
        <v>0.13</v>
      </c>
      <c r="BU154" s="173">
        <f t="shared" si="13"/>
        <v>0.13</v>
      </c>
      <c r="BV154" s="173">
        <v>0.12</v>
      </c>
      <c r="BW154" s="174">
        <f t="shared" si="13"/>
        <v>0.12</v>
      </c>
      <c r="BX154" s="173">
        <f t="shared" si="23"/>
        <v>0.12</v>
      </c>
      <c r="BY154" s="173">
        <f t="shared" si="24"/>
        <v>0.12</v>
      </c>
      <c r="BZ154" s="173">
        <f t="shared" si="24"/>
        <v>0.12</v>
      </c>
      <c r="CA154" s="173">
        <f t="shared" si="24"/>
        <v>0.12</v>
      </c>
      <c r="CB154" s="174">
        <f t="shared" si="24"/>
        <v>0.12</v>
      </c>
      <c r="CC154" s="173">
        <f t="shared" si="24"/>
        <v>0.12</v>
      </c>
      <c r="CD154" s="173">
        <f t="shared" si="24"/>
        <v>0.12</v>
      </c>
      <c r="CE154" s="173">
        <f aca="true" t="shared" si="30" ref="CE154:CE163">CE153</f>
        <v>0.11</v>
      </c>
      <c r="CF154" s="173">
        <f t="shared" si="25"/>
        <v>0.11</v>
      </c>
      <c r="CG154" s="174">
        <f t="shared" si="25"/>
        <v>0.11</v>
      </c>
      <c r="CH154" s="173">
        <f t="shared" si="25"/>
        <v>0.11</v>
      </c>
      <c r="CI154" s="173">
        <f t="shared" si="25"/>
        <v>0.11</v>
      </c>
      <c r="CJ154" s="173">
        <f aca="true" t="shared" si="31" ref="CJ154:CJ167">CJ153</f>
        <v>0.1</v>
      </c>
      <c r="CK154" s="173">
        <f t="shared" si="26"/>
        <v>0.1</v>
      </c>
      <c r="CL154" s="174">
        <f t="shared" si="26"/>
        <v>0.1</v>
      </c>
      <c r="CM154" s="173">
        <f t="shared" si="26"/>
        <v>0.1</v>
      </c>
      <c r="CN154" s="173">
        <f t="shared" si="26"/>
        <v>0.1</v>
      </c>
      <c r="CO154" s="173">
        <f t="shared" si="15"/>
        <v>0.1</v>
      </c>
      <c r="CP154" s="173">
        <f t="shared" si="15"/>
        <v>0.1</v>
      </c>
      <c r="CQ154" s="174">
        <v>0.09</v>
      </c>
      <c r="CR154" s="173">
        <f t="shared" si="16"/>
        <v>0.09</v>
      </c>
      <c r="CS154" s="173">
        <f t="shared" si="17"/>
        <v>0.09</v>
      </c>
      <c r="CT154" s="173">
        <f t="shared" si="17"/>
        <v>0.09</v>
      </c>
      <c r="CU154" s="173">
        <f t="shared" si="17"/>
        <v>0.09</v>
      </c>
      <c r="CV154" s="173">
        <f t="shared" si="17"/>
        <v>0.09</v>
      </c>
      <c r="CW154" s="175">
        <f t="shared" si="17"/>
        <v>0.09</v>
      </c>
    </row>
    <row r="155" spans="1:101" ht="13.5" thickBot="1">
      <c r="A155" s="2">
        <v>0.14</v>
      </c>
      <c r="B155" s="176">
        <v>1.59</v>
      </c>
      <c r="C155" s="177">
        <v>1.22</v>
      </c>
      <c r="D155" s="177">
        <v>1.03</v>
      </c>
      <c r="E155" s="178">
        <v>0.89</v>
      </c>
      <c r="F155" s="177">
        <v>0.8</v>
      </c>
      <c r="G155" s="177">
        <v>0.72</v>
      </c>
      <c r="H155" s="177">
        <v>0.67</v>
      </c>
      <c r="I155" s="177">
        <v>0.62</v>
      </c>
      <c r="J155" s="177">
        <v>0.57</v>
      </c>
      <c r="K155" s="177">
        <f t="shared" si="18"/>
        <v>0.54</v>
      </c>
      <c r="L155" s="177">
        <v>0.52</v>
      </c>
      <c r="M155" s="177">
        <v>0.5</v>
      </c>
      <c r="N155" s="177">
        <v>0.48</v>
      </c>
      <c r="O155" s="178">
        <v>0.46</v>
      </c>
      <c r="P155" s="179">
        <v>0.44</v>
      </c>
      <c r="Q155" s="177">
        <v>0.42</v>
      </c>
      <c r="R155" s="177">
        <v>0.4</v>
      </c>
      <c r="S155" s="177">
        <v>0.38</v>
      </c>
      <c r="T155" s="178">
        <v>0.36</v>
      </c>
      <c r="U155" s="177">
        <v>0.34</v>
      </c>
      <c r="V155" s="177">
        <v>0.33</v>
      </c>
      <c r="W155" s="177">
        <v>0.32</v>
      </c>
      <c r="X155" s="177">
        <v>0.31</v>
      </c>
      <c r="Y155" s="178">
        <f>Y154-0.01</f>
        <v>0.3</v>
      </c>
      <c r="Z155" s="179">
        <f t="shared" si="19"/>
        <v>0.3</v>
      </c>
      <c r="AA155" s="177">
        <f t="shared" si="19"/>
        <v>0.29</v>
      </c>
      <c r="AB155" s="177">
        <f t="shared" si="19"/>
        <v>0.28</v>
      </c>
      <c r="AC155" s="177">
        <f t="shared" si="3"/>
        <v>0.27</v>
      </c>
      <c r="AD155" s="178">
        <f t="shared" si="3"/>
        <v>0.26</v>
      </c>
      <c r="AE155" s="177">
        <f t="shared" si="3"/>
        <v>0.25</v>
      </c>
      <c r="AF155" s="177">
        <f t="shared" si="3"/>
        <v>0.25</v>
      </c>
      <c r="AG155" s="177">
        <f t="shared" si="4"/>
        <v>0.24</v>
      </c>
      <c r="AH155" s="177">
        <f t="shared" si="4"/>
        <v>0.24</v>
      </c>
      <c r="AI155" s="178">
        <f t="shared" si="5"/>
        <v>0.23</v>
      </c>
      <c r="AJ155" s="177">
        <f t="shared" si="5"/>
        <v>0.23</v>
      </c>
      <c r="AK155" s="177">
        <f t="shared" si="6"/>
        <v>0.22</v>
      </c>
      <c r="AL155" s="177">
        <f t="shared" si="6"/>
        <v>0.22</v>
      </c>
      <c r="AM155" s="177">
        <f t="shared" si="7"/>
        <v>0.21</v>
      </c>
      <c r="AN155" s="178">
        <f t="shared" si="7"/>
        <v>0.21</v>
      </c>
      <c r="AO155" s="177">
        <f t="shared" si="8"/>
        <v>0.2</v>
      </c>
      <c r="AP155" s="177">
        <f t="shared" si="8"/>
        <v>0.2</v>
      </c>
      <c r="AQ155" s="177">
        <v>0.19</v>
      </c>
      <c r="AR155" s="177">
        <f t="shared" si="9"/>
        <v>0.19</v>
      </c>
      <c r="AS155" s="178">
        <f t="shared" si="9"/>
        <v>0.19</v>
      </c>
      <c r="AT155" s="177">
        <f t="shared" si="9"/>
        <v>0.18</v>
      </c>
      <c r="AU155" s="177">
        <f t="shared" si="9"/>
        <v>0.18</v>
      </c>
      <c r="AV155" s="177">
        <f t="shared" si="9"/>
        <v>0.18</v>
      </c>
      <c r="AW155" s="177">
        <f t="shared" si="10"/>
        <v>0.17</v>
      </c>
      <c r="AX155" s="178">
        <f t="shared" si="10"/>
        <v>0.17</v>
      </c>
      <c r="AY155" s="177">
        <v>0.16</v>
      </c>
      <c r="AZ155" s="177">
        <f t="shared" si="10"/>
        <v>0.16</v>
      </c>
      <c r="BA155" s="177">
        <f t="shared" si="10"/>
        <v>0.16</v>
      </c>
      <c r="BB155" s="177">
        <f t="shared" si="11"/>
        <v>0.16</v>
      </c>
      <c r="BC155" s="178">
        <f t="shared" si="11"/>
        <v>0.16</v>
      </c>
      <c r="BD155" s="177">
        <f t="shared" si="11"/>
        <v>0.16</v>
      </c>
      <c r="BE155" s="177">
        <f t="shared" si="11"/>
        <v>0.15</v>
      </c>
      <c r="BF155" s="177">
        <f t="shared" si="11"/>
        <v>0.15</v>
      </c>
      <c r="BG155" s="177">
        <f aca="true" t="shared" si="32" ref="BG155:BI156">BG154</f>
        <v>0.15</v>
      </c>
      <c r="BH155" s="178">
        <f t="shared" si="32"/>
        <v>0.15</v>
      </c>
      <c r="BI155" s="177">
        <f t="shared" si="32"/>
        <v>0.15</v>
      </c>
      <c r="BJ155" s="177">
        <v>0.14</v>
      </c>
      <c r="BK155" s="177">
        <f t="shared" si="28"/>
        <v>0.14</v>
      </c>
      <c r="BL155" s="177">
        <f aca="true" t="shared" si="33" ref="BL155:BN156">BL154</f>
        <v>0.14</v>
      </c>
      <c r="BM155" s="178">
        <f t="shared" si="33"/>
        <v>0.14</v>
      </c>
      <c r="BN155" s="177">
        <f t="shared" si="33"/>
        <v>0.14</v>
      </c>
      <c r="BO155" s="177">
        <v>0.13</v>
      </c>
      <c r="BP155" s="177">
        <f t="shared" si="29"/>
        <v>0.13</v>
      </c>
      <c r="BQ155" s="177">
        <f t="shared" si="22"/>
        <v>0.13</v>
      </c>
      <c r="BR155" s="178">
        <f t="shared" si="22"/>
        <v>0.13</v>
      </c>
      <c r="BS155" s="177">
        <f t="shared" si="22"/>
        <v>0.13</v>
      </c>
      <c r="BT155" s="177">
        <f t="shared" si="13"/>
        <v>0.13</v>
      </c>
      <c r="BU155" s="177">
        <v>0.12</v>
      </c>
      <c r="BV155" s="177">
        <f t="shared" si="13"/>
        <v>0.12</v>
      </c>
      <c r="BW155" s="178">
        <f t="shared" si="13"/>
        <v>0.12</v>
      </c>
      <c r="BX155" s="177">
        <f t="shared" si="23"/>
        <v>0.12</v>
      </c>
      <c r="BY155" s="177">
        <f aca="true" t="shared" si="34" ref="BY155:CC156">BY154</f>
        <v>0.12</v>
      </c>
      <c r="BZ155" s="177">
        <f t="shared" si="34"/>
        <v>0.12</v>
      </c>
      <c r="CA155" s="177">
        <f t="shared" si="34"/>
        <v>0.12</v>
      </c>
      <c r="CB155" s="178">
        <f t="shared" si="34"/>
        <v>0.12</v>
      </c>
      <c r="CC155" s="177">
        <f t="shared" si="34"/>
        <v>0.12</v>
      </c>
      <c r="CD155" s="177">
        <v>0.11</v>
      </c>
      <c r="CE155" s="177">
        <f t="shared" si="30"/>
        <v>0.11</v>
      </c>
      <c r="CF155" s="177">
        <f t="shared" si="25"/>
        <v>0.11</v>
      </c>
      <c r="CG155" s="178">
        <f t="shared" si="25"/>
        <v>0.11</v>
      </c>
      <c r="CH155" s="177">
        <f t="shared" si="25"/>
        <v>0.11</v>
      </c>
      <c r="CI155" s="177">
        <f t="shared" si="25"/>
        <v>0.11</v>
      </c>
      <c r="CJ155" s="177">
        <f t="shared" si="31"/>
        <v>0.1</v>
      </c>
      <c r="CK155" s="177">
        <f t="shared" si="26"/>
        <v>0.1</v>
      </c>
      <c r="CL155" s="178">
        <f t="shared" si="26"/>
        <v>0.1</v>
      </c>
      <c r="CM155" s="177">
        <f t="shared" si="26"/>
        <v>0.1</v>
      </c>
      <c r="CN155" s="177">
        <f t="shared" si="26"/>
        <v>0.1</v>
      </c>
      <c r="CO155" s="177">
        <f t="shared" si="15"/>
        <v>0.1</v>
      </c>
      <c r="CP155" s="177">
        <f t="shared" si="15"/>
        <v>0.1</v>
      </c>
      <c r="CQ155" s="178">
        <f t="shared" si="16"/>
        <v>0.09</v>
      </c>
      <c r="CR155" s="177">
        <f t="shared" si="16"/>
        <v>0.09</v>
      </c>
      <c r="CS155" s="177">
        <f t="shared" si="17"/>
        <v>0.09</v>
      </c>
      <c r="CT155" s="177">
        <f t="shared" si="17"/>
        <v>0.09</v>
      </c>
      <c r="CU155" s="177">
        <f t="shared" si="17"/>
        <v>0.09</v>
      </c>
      <c r="CV155" s="177">
        <f t="shared" si="17"/>
        <v>0.09</v>
      </c>
      <c r="CW155" s="180">
        <f t="shared" si="17"/>
        <v>0.09</v>
      </c>
    </row>
    <row r="156" spans="1:101" ht="12.75">
      <c r="A156" s="2">
        <v>0.15</v>
      </c>
      <c r="B156" s="172">
        <v>1.59</v>
      </c>
      <c r="C156" s="173">
        <v>1.21</v>
      </c>
      <c r="D156" s="173">
        <v>1.02</v>
      </c>
      <c r="E156" s="174">
        <v>0.88</v>
      </c>
      <c r="F156" s="173">
        <v>0.79</v>
      </c>
      <c r="G156" s="173">
        <v>0.72</v>
      </c>
      <c r="H156" s="173">
        <v>0.66</v>
      </c>
      <c r="I156" s="173">
        <v>0.61</v>
      </c>
      <c r="J156" s="174">
        <v>0.57</v>
      </c>
      <c r="K156" s="173">
        <v>0.54</v>
      </c>
      <c r="L156" s="173">
        <v>0.52</v>
      </c>
      <c r="M156" s="173">
        <v>0.5</v>
      </c>
      <c r="N156" s="173">
        <v>0.48</v>
      </c>
      <c r="O156" s="174">
        <v>0.45</v>
      </c>
      <c r="P156" s="173">
        <v>0.44</v>
      </c>
      <c r="Q156" s="173">
        <v>0.42</v>
      </c>
      <c r="R156" s="173">
        <f t="shared" si="27"/>
        <v>0.39</v>
      </c>
      <c r="S156" s="173">
        <v>0.38</v>
      </c>
      <c r="T156" s="174">
        <v>0.36</v>
      </c>
      <c r="U156" s="173">
        <v>0.34</v>
      </c>
      <c r="V156" s="173">
        <v>0.33</v>
      </c>
      <c r="W156" s="173">
        <v>0.32</v>
      </c>
      <c r="X156" s="173">
        <v>0.31</v>
      </c>
      <c r="Y156" s="174">
        <v>0.3</v>
      </c>
      <c r="Z156" s="173">
        <v>0.29</v>
      </c>
      <c r="AA156" s="173">
        <v>0.28</v>
      </c>
      <c r="AB156" s="173">
        <f t="shared" si="19"/>
        <v>0.28</v>
      </c>
      <c r="AC156" s="173">
        <f t="shared" si="3"/>
        <v>0.27</v>
      </c>
      <c r="AD156" s="174">
        <f t="shared" si="3"/>
        <v>0.26</v>
      </c>
      <c r="AE156" s="173">
        <f t="shared" si="3"/>
        <v>0.25</v>
      </c>
      <c r="AF156" s="173">
        <f t="shared" si="3"/>
        <v>0.25</v>
      </c>
      <c r="AG156" s="173">
        <f t="shared" si="4"/>
        <v>0.24</v>
      </c>
      <c r="AH156" s="173">
        <f t="shared" si="4"/>
        <v>0.24</v>
      </c>
      <c r="AI156" s="174">
        <f t="shared" si="5"/>
        <v>0.23</v>
      </c>
      <c r="AJ156" s="173">
        <f t="shared" si="5"/>
        <v>0.23</v>
      </c>
      <c r="AK156" s="173">
        <f t="shared" si="6"/>
        <v>0.22</v>
      </c>
      <c r="AL156" s="173">
        <f t="shared" si="6"/>
        <v>0.22</v>
      </c>
      <c r="AM156" s="173">
        <f t="shared" si="7"/>
        <v>0.21</v>
      </c>
      <c r="AN156" s="174">
        <f t="shared" si="7"/>
        <v>0.21</v>
      </c>
      <c r="AO156" s="173">
        <f t="shared" si="8"/>
        <v>0.2</v>
      </c>
      <c r="AP156" s="173">
        <f t="shared" si="8"/>
        <v>0.2</v>
      </c>
      <c r="AQ156" s="173">
        <f t="shared" si="9"/>
        <v>0.19</v>
      </c>
      <c r="AR156" s="173">
        <f t="shared" si="9"/>
        <v>0.19</v>
      </c>
      <c r="AS156" s="174">
        <f t="shared" si="9"/>
        <v>0.19</v>
      </c>
      <c r="AT156" s="173">
        <f t="shared" si="9"/>
        <v>0.18</v>
      </c>
      <c r="AU156" s="173">
        <f t="shared" si="9"/>
        <v>0.18</v>
      </c>
      <c r="AV156" s="173">
        <v>0.17</v>
      </c>
      <c r="AW156" s="173">
        <f t="shared" si="10"/>
        <v>0.17</v>
      </c>
      <c r="AX156" s="174">
        <f t="shared" si="10"/>
        <v>0.17</v>
      </c>
      <c r="AY156" s="173">
        <f t="shared" si="10"/>
        <v>0.16</v>
      </c>
      <c r="AZ156" s="173">
        <f t="shared" si="10"/>
        <v>0.16</v>
      </c>
      <c r="BA156" s="173">
        <f t="shared" si="10"/>
        <v>0.16</v>
      </c>
      <c r="BB156" s="173">
        <f t="shared" si="11"/>
        <v>0.16</v>
      </c>
      <c r="BC156" s="174">
        <f t="shared" si="11"/>
        <v>0.16</v>
      </c>
      <c r="BD156" s="173">
        <v>0.15</v>
      </c>
      <c r="BE156" s="173">
        <f t="shared" si="11"/>
        <v>0.15</v>
      </c>
      <c r="BF156" s="173">
        <f t="shared" si="11"/>
        <v>0.15</v>
      </c>
      <c r="BG156" s="173">
        <f t="shared" si="32"/>
        <v>0.15</v>
      </c>
      <c r="BH156" s="174">
        <f t="shared" si="32"/>
        <v>0.15</v>
      </c>
      <c r="BI156" s="173">
        <f t="shared" si="32"/>
        <v>0.15</v>
      </c>
      <c r="BJ156" s="173">
        <f aca="true" t="shared" si="35" ref="BJ156:BJ164">BJ155</f>
        <v>0.14</v>
      </c>
      <c r="BK156" s="173">
        <f t="shared" si="28"/>
        <v>0.14</v>
      </c>
      <c r="BL156" s="173">
        <f t="shared" si="33"/>
        <v>0.14</v>
      </c>
      <c r="BM156" s="174">
        <f t="shared" si="33"/>
        <v>0.14</v>
      </c>
      <c r="BN156" s="173">
        <f t="shared" si="33"/>
        <v>0.14</v>
      </c>
      <c r="BO156" s="173">
        <f aca="true" t="shared" si="36" ref="BO156:BO164">BO155</f>
        <v>0.13</v>
      </c>
      <c r="BP156" s="173">
        <f t="shared" si="29"/>
        <v>0.13</v>
      </c>
      <c r="BQ156" s="173">
        <f t="shared" si="22"/>
        <v>0.13</v>
      </c>
      <c r="BR156" s="174">
        <f t="shared" si="22"/>
        <v>0.13</v>
      </c>
      <c r="BS156" s="173">
        <f t="shared" si="22"/>
        <v>0.13</v>
      </c>
      <c r="BT156" s="173">
        <v>0.12</v>
      </c>
      <c r="BU156" s="173">
        <f t="shared" si="13"/>
        <v>0.12</v>
      </c>
      <c r="BV156" s="173">
        <f t="shared" si="13"/>
        <v>0.12</v>
      </c>
      <c r="BW156" s="174">
        <f t="shared" si="13"/>
        <v>0.12</v>
      </c>
      <c r="BX156" s="173">
        <f t="shared" si="23"/>
        <v>0.12</v>
      </c>
      <c r="BY156" s="173">
        <f t="shared" si="34"/>
        <v>0.12</v>
      </c>
      <c r="BZ156" s="173">
        <f t="shared" si="34"/>
        <v>0.12</v>
      </c>
      <c r="CA156" s="173">
        <f t="shared" si="34"/>
        <v>0.12</v>
      </c>
      <c r="CB156" s="174">
        <f t="shared" si="34"/>
        <v>0.12</v>
      </c>
      <c r="CC156" s="173">
        <f t="shared" si="34"/>
        <v>0.12</v>
      </c>
      <c r="CD156" s="173">
        <v>0.11</v>
      </c>
      <c r="CE156" s="173">
        <f t="shared" si="30"/>
        <v>0.11</v>
      </c>
      <c r="CF156" s="173">
        <f aca="true" t="shared" si="37" ref="CF156:CH157">CF155</f>
        <v>0.11</v>
      </c>
      <c r="CG156" s="174">
        <f t="shared" si="37"/>
        <v>0.11</v>
      </c>
      <c r="CH156" s="173">
        <f t="shared" si="37"/>
        <v>0.11</v>
      </c>
      <c r="CI156" s="173">
        <v>0.1</v>
      </c>
      <c r="CJ156" s="173">
        <f t="shared" si="31"/>
        <v>0.1</v>
      </c>
      <c r="CK156" s="173">
        <f t="shared" si="26"/>
        <v>0.1</v>
      </c>
      <c r="CL156" s="174">
        <f t="shared" si="26"/>
        <v>0.1</v>
      </c>
      <c r="CM156" s="173">
        <f t="shared" si="26"/>
        <v>0.1</v>
      </c>
      <c r="CN156" s="173">
        <f t="shared" si="26"/>
        <v>0.1</v>
      </c>
      <c r="CO156" s="173">
        <f t="shared" si="15"/>
        <v>0.1</v>
      </c>
      <c r="CP156" s="173">
        <v>0.09</v>
      </c>
      <c r="CQ156" s="174">
        <f t="shared" si="16"/>
        <v>0.09</v>
      </c>
      <c r="CR156" s="173">
        <f t="shared" si="16"/>
        <v>0.09</v>
      </c>
      <c r="CS156" s="173">
        <f t="shared" si="17"/>
        <v>0.09</v>
      </c>
      <c r="CT156" s="173">
        <f t="shared" si="17"/>
        <v>0.09</v>
      </c>
      <c r="CU156" s="173">
        <f t="shared" si="17"/>
        <v>0.09</v>
      </c>
      <c r="CV156" s="173">
        <f t="shared" si="17"/>
        <v>0.09</v>
      </c>
      <c r="CW156" s="175">
        <f t="shared" si="17"/>
        <v>0.09</v>
      </c>
    </row>
    <row r="157" spans="1:101" ht="12.75">
      <c r="A157" s="2">
        <v>0.16</v>
      </c>
      <c r="B157" s="172">
        <v>1.58</v>
      </c>
      <c r="C157" s="173">
        <v>1.2</v>
      </c>
      <c r="D157" s="173">
        <v>1.01</v>
      </c>
      <c r="E157" s="174">
        <v>0.88</v>
      </c>
      <c r="F157" s="173">
        <v>0.79</v>
      </c>
      <c r="G157" s="173">
        <v>0.71</v>
      </c>
      <c r="H157" s="173">
        <v>0.65</v>
      </c>
      <c r="I157" s="173">
        <v>0.6</v>
      </c>
      <c r="J157" s="174">
        <v>0.56</v>
      </c>
      <c r="K157" s="173">
        <f t="shared" si="18"/>
        <v>0.53</v>
      </c>
      <c r="L157" s="173">
        <f t="shared" si="2"/>
        <v>0.51</v>
      </c>
      <c r="M157" s="173">
        <f t="shared" si="2"/>
        <v>0.49</v>
      </c>
      <c r="N157" s="173">
        <f t="shared" si="2"/>
        <v>0.47</v>
      </c>
      <c r="O157" s="174">
        <v>0.45</v>
      </c>
      <c r="P157" s="173">
        <f t="shared" si="27"/>
        <v>0.43</v>
      </c>
      <c r="Q157" s="173">
        <v>0.41</v>
      </c>
      <c r="R157" s="173">
        <v>0.39</v>
      </c>
      <c r="S157" s="173">
        <f t="shared" si="27"/>
        <v>0.37</v>
      </c>
      <c r="T157" s="174">
        <f>T156-0.01</f>
        <v>0.35</v>
      </c>
      <c r="U157" s="173">
        <f>U156-0.01</f>
        <v>0.33</v>
      </c>
      <c r="V157" s="173">
        <f>V156-0.01</f>
        <v>0.32</v>
      </c>
      <c r="W157" s="173">
        <v>0.32</v>
      </c>
      <c r="X157" s="173">
        <v>0.31</v>
      </c>
      <c r="Y157" s="174">
        <v>0.3</v>
      </c>
      <c r="Z157" s="173">
        <f t="shared" si="19"/>
        <v>0.29</v>
      </c>
      <c r="AA157" s="173">
        <f t="shared" si="19"/>
        <v>0.28</v>
      </c>
      <c r="AB157" s="173">
        <v>0.27</v>
      </c>
      <c r="AC157" s="173">
        <v>0.26</v>
      </c>
      <c r="AD157" s="174">
        <f t="shared" si="3"/>
        <v>0.26</v>
      </c>
      <c r="AE157" s="173">
        <f t="shared" si="3"/>
        <v>0.25</v>
      </c>
      <c r="AF157" s="173">
        <v>0.24</v>
      </c>
      <c r="AG157" s="173">
        <f t="shared" si="4"/>
        <v>0.24</v>
      </c>
      <c r="AH157" s="173">
        <v>0.23</v>
      </c>
      <c r="AI157" s="174">
        <f t="shared" si="5"/>
        <v>0.23</v>
      </c>
      <c r="AJ157" s="173">
        <v>0.22</v>
      </c>
      <c r="AK157" s="173">
        <f t="shared" si="6"/>
        <v>0.22</v>
      </c>
      <c r="AL157" s="173">
        <v>0.21</v>
      </c>
      <c r="AM157" s="173">
        <f t="shared" si="7"/>
        <v>0.21</v>
      </c>
      <c r="AN157" s="174">
        <v>0.2</v>
      </c>
      <c r="AO157" s="173">
        <f t="shared" si="8"/>
        <v>0.2</v>
      </c>
      <c r="AP157" s="173">
        <v>0.19</v>
      </c>
      <c r="AQ157" s="173">
        <f t="shared" si="9"/>
        <v>0.19</v>
      </c>
      <c r="AR157" s="173">
        <f t="shared" si="9"/>
        <v>0.19</v>
      </c>
      <c r="AS157" s="174">
        <v>0.18</v>
      </c>
      <c r="AT157" s="173">
        <f t="shared" si="9"/>
        <v>0.18</v>
      </c>
      <c r="AU157" s="173">
        <f t="shared" si="9"/>
        <v>0.18</v>
      </c>
      <c r="AV157" s="173">
        <f t="shared" si="9"/>
        <v>0.17</v>
      </c>
      <c r="AW157" s="173">
        <f t="shared" si="10"/>
        <v>0.17</v>
      </c>
      <c r="AX157" s="174">
        <v>0.16</v>
      </c>
      <c r="AY157" s="173">
        <f t="shared" si="10"/>
        <v>0.16</v>
      </c>
      <c r="AZ157" s="173">
        <f t="shared" si="10"/>
        <v>0.16</v>
      </c>
      <c r="BA157" s="173">
        <f t="shared" si="10"/>
        <v>0.16</v>
      </c>
      <c r="BB157" s="173">
        <f t="shared" si="11"/>
        <v>0.16</v>
      </c>
      <c r="BC157" s="174">
        <v>0.15</v>
      </c>
      <c r="BD157" s="173">
        <f t="shared" si="11"/>
        <v>0.15</v>
      </c>
      <c r="BE157" s="173">
        <f t="shared" si="11"/>
        <v>0.15</v>
      </c>
      <c r="BF157" s="173">
        <f t="shared" si="11"/>
        <v>0.15</v>
      </c>
      <c r="BG157" s="173">
        <f>BG156</f>
        <v>0.15</v>
      </c>
      <c r="BH157" s="174">
        <f>BH156</f>
        <v>0.15</v>
      </c>
      <c r="BI157" s="173">
        <v>0.14</v>
      </c>
      <c r="BJ157" s="173">
        <f t="shared" si="35"/>
        <v>0.14</v>
      </c>
      <c r="BK157" s="173">
        <f t="shared" si="28"/>
        <v>0.14</v>
      </c>
      <c r="BL157" s="173">
        <f>BL156</f>
        <v>0.14</v>
      </c>
      <c r="BM157" s="174">
        <f>BM156</f>
        <v>0.14</v>
      </c>
      <c r="BN157" s="173">
        <v>0.13</v>
      </c>
      <c r="BO157" s="173">
        <f t="shared" si="36"/>
        <v>0.13</v>
      </c>
      <c r="BP157" s="173">
        <f t="shared" si="29"/>
        <v>0.13</v>
      </c>
      <c r="BQ157" s="173">
        <f>BQ156</f>
        <v>0.13</v>
      </c>
      <c r="BR157" s="174">
        <f>BR156</f>
        <v>0.13</v>
      </c>
      <c r="BS157" s="173">
        <v>0.12</v>
      </c>
      <c r="BT157" s="173">
        <f t="shared" si="13"/>
        <v>0.12</v>
      </c>
      <c r="BU157" s="173">
        <f t="shared" si="13"/>
        <v>0.12</v>
      </c>
      <c r="BV157" s="173">
        <f t="shared" si="13"/>
        <v>0.12</v>
      </c>
      <c r="BW157" s="174">
        <f t="shared" si="13"/>
        <v>0.12</v>
      </c>
      <c r="BX157" s="173">
        <f t="shared" si="23"/>
        <v>0.12</v>
      </c>
      <c r="BY157" s="173">
        <f>BY156</f>
        <v>0.12</v>
      </c>
      <c r="BZ157" s="173">
        <f>BZ156</f>
        <v>0.12</v>
      </c>
      <c r="CA157" s="173">
        <f>CA156</f>
        <v>0.12</v>
      </c>
      <c r="CB157" s="174">
        <f>CB156</f>
        <v>0.12</v>
      </c>
      <c r="CC157" s="173">
        <v>0.11</v>
      </c>
      <c r="CD157" s="173">
        <f aca="true" t="shared" si="38" ref="CD157:CD164">CD156</f>
        <v>0.11</v>
      </c>
      <c r="CE157" s="173">
        <f t="shared" si="30"/>
        <v>0.11</v>
      </c>
      <c r="CF157" s="173">
        <f t="shared" si="37"/>
        <v>0.11</v>
      </c>
      <c r="CG157" s="174">
        <f t="shared" si="37"/>
        <v>0.11</v>
      </c>
      <c r="CH157" s="173">
        <f t="shared" si="37"/>
        <v>0.11</v>
      </c>
      <c r="CI157" s="173">
        <f aca="true" t="shared" si="39" ref="CI157:CI168">CI156</f>
        <v>0.1</v>
      </c>
      <c r="CJ157" s="173">
        <f t="shared" si="31"/>
        <v>0.1</v>
      </c>
      <c r="CK157" s="173">
        <f t="shared" si="26"/>
        <v>0.1</v>
      </c>
      <c r="CL157" s="174">
        <f t="shared" si="26"/>
        <v>0.1</v>
      </c>
      <c r="CM157" s="173">
        <f t="shared" si="26"/>
        <v>0.1</v>
      </c>
      <c r="CN157" s="173">
        <f t="shared" si="26"/>
        <v>0.1</v>
      </c>
      <c r="CO157" s="173">
        <f t="shared" si="15"/>
        <v>0.1</v>
      </c>
      <c r="CP157" s="173">
        <f t="shared" si="15"/>
        <v>0.09</v>
      </c>
      <c r="CQ157" s="174">
        <f t="shared" si="16"/>
        <v>0.09</v>
      </c>
      <c r="CR157" s="173">
        <f t="shared" si="16"/>
        <v>0.09</v>
      </c>
      <c r="CS157" s="173">
        <f t="shared" si="17"/>
        <v>0.09</v>
      </c>
      <c r="CT157" s="173">
        <f t="shared" si="17"/>
        <v>0.09</v>
      </c>
      <c r="CU157" s="173">
        <f t="shared" si="17"/>
        <v>0.09</v>
      </c>
      <c r="CV157" s="173">
        <f t="shared" si="17"/>
        <v>0.09</v>
      </c>
      <c r="CW157" s="175">
        <f t="shared" si="17"/>
        <v>0.09</v>
      </c>
    </row>
    <row r="158" spans="1:101" ht="12.75">
      <c r="A158" s="2">
        <v>0.17</v>
      </c>
      <c r="B158" s="172">
        <v>1.58</v>
      </c>
      <c r="C158" s="173">
        <v>1.19</v>
      </c>
      <c r="D158" s="173">
        <v>1</v>
      </c>
      <c r="E158" s="174">
        <v>0.87</v>
      </c>
      <c r="F158" s="173">
        <v>0.78</v>
      </c>
      <c r="G158" s="173">
        <v>0.7</v>
      </c>
      <c r="H158" s="173">
        <v>0.65</v>
      </c>
      <c r="I158" s="173">
        <v>0.6</v>
      </c>
      <c r="J158" s="174">
        <v>0.56</v>
      </c>
      <c r="K158" s="173">
        <v>0.53</v>
      </c>
      <c r="L158" s="173">
        <v>0.51</v>
      </c>
      <c r="M158" s="173">
        <v>0.49</v>
      </c>
      <c r="N158" s="173">
        <v>0.47</v>
      </c>
      <c r="O158" s="174">
        <v>0.45</v>
      </c>
      <c r="P158" s="173">
        <v>0.43</v>
      </c>
      <c r="Q158" s="173">
        <v>0.41</v>
      </c>
      <c r="R158" s="173">
        <v>0.39</v>
      </c>
      <c r="S158" s="173">
        <v>0.37</v>
      </c>
      <c r="T158" s="174">
        <v>0.35</v>
      </c>
      <c r="U158" s="173">
        <v>0.33</v>
      </c>
      <c r="V158" s="173">
        <v>0.32</v>
      </c>
      <c r="W158" s="173">
        <f>W157-0.01</f>
        <v>0.31</v>
      </c>
      <c r="X158" s="173">
        <f>X157-0.01</f>
        <v>0.3</v>
      </c>
      <c r="Y158" s="174">
        <v>0.3</v>
      </c>
      <c r="Z158" s="173">
        <f t="shared" si="19"/>
        <v>0.29</v>
      </c>
      <c r="AA158" s="173">
        <f t="shared" si="19"/>
        <v>0.28</v>
      </c>
      <c r="AB158" s="173">
        <f t="shared" si="19"/>
        <v>0.27</v>
      </c>
      <c r="AC158" s="173">
        <f t="shared" si="3"/>
        <v>0.26</v>
      </c>
      <c r="AD158" s="174">
        <v>0.25</v>
      </c>
      <c r="AE158" s="173">
        <f t="shared" si="3"/>
        <v>0.25</v>
      </c>
      <c r="AF158" s="173">
        <f t="shared" si="3"/>
        <v>0.24</v>
      </c>
      <c r="AG158" s="173">
        <f t="shared" si="4"/>
        <v>0.24</v>
      </c>
      <c r="AH158" s="173">
        <f t="shared" si="4"/>
        <v>0.23</v>
      </c>
      <c r="AI158" s="174">
        <f t="shared" si="5"/>
        <v>0.23</v>
      </c>
      <c r="AJ158" s="173">
        <f t="shared" si="5"/>
        <v>0.22</v>
      </c>
      <c r="AK158" s="173">
        <f t="shared" si="6"/>
        <v>0.22</v>
      </c>
      <c r="AL158" s="173">
        <f t="shared" si="6"/>
        <v>0.21</v>
      </c>
      <c r="AM158" s="173">
        <f t="shared" si="7"/>
        <v>0.21</v>
      </c>
      <c r="AN158" s="174">
        <f t="shared" si="7"/>
        <v>0.2</v>
      </c>
      <c r="AO158" s="173">
        <f t="shared" si="8"/>
        <v>0.2</v>
      </c>
      <c r="AP158" s="173">
        <f t="shared" si="8"/>
        <v>0.19</v>
      </c>
      <c r="AQ158" s="173">
        <f t="shared" si="9"/>
        <v>0.19</v>
      </c>
      <c r="AR158" s="173">
        <f t="shared" si="9"/>
        <v>0.19</v>
      </c>
      <c r="AS158" s="174">
        <f t="shared" si="9"/>
        <v>0.18</v>
      </c>
      <c r="AT158" s="173">
        <f t="shared" si="9"/>
        <v>0.18</v>
      </c>
      <c r="AU158" s="173">
        <v>0.17</v>
      </c>
      <c r="AV158" s="173">
        <f t="shared" si="9"/>
        <v>0.17</v>
      </c>
      <c r="AW158" s="173">
        <f t="shared" si="10"/>
        <v>0.17</v>
      </c>
      <c r="AX158" s="174">
        <f t="shared" si="10"/>
        <v>0.16</v>
      </c>
      <c r="AY158" s="173">
        <f t="shared" si="10"/>
        <v>0.16</v>
      </c>
      <c r="AZ158" s="173">
        <f t="shared" si="10"/>
        <v>0.16</v>
      </c>
      <c r="BA158" s="173">
        <f t="shared" si="10"/>
        <v>0.16</v>
      </c>
      <c r="BB158" s="173">
        <v>0.15</v>
      </c>
      <c r="BC158" s="174">
        <f t="shared" si="11"/>
        <v>0.15</v>
      </c>
      <c r="BD158" s="173">
        <f t="shared" si="11"/>
        <v>0.15</v>
      </c>
      <c r="BE158" s="173">
        <f t="shared" si="11"/>
        <v>0.15</v>
      </c>
      <c r="BF158" s="173">
        <f t="shared" si="11"/>
        <v>0.15</v>
      </c>
      <c r="BG158" s="173">
        <f>BG157</f>
        <v>0.15</v>
      </c>
      <c r="BH158" s="174">
        <v>0.14</v>
      </c>
      <c r="BI158" s="173">
        <f aca="true" t="shared" si="40" ref="BI158:BI166">BI157</f>
        <v>0.14</v>
      </c>
      <c r="BJ158" s="173">
        <f t="shared" si="35"/>
        <v>0.14</v>
      </c>
      <c r="BK158" s="173">
        <f t="shared" si="28"/>
        <v>0.14</v>
      </c>
      <c r="BL158" s="173">
        <f>BL157</f>
        <v>0.14</v>
      </c>
      <c r="BM158" s="174">
        <f>BM157</f>
        <v>0.14</v>
      </c>
      <c r="BN158" s="173">
        <f aca="true" t="shared" si="41" ref="BN158:BN166">BN157</f>
        <v>0.13</v>
      </c>
      <c r="BO158" s="173">
        <f t="shared" si="36"/>
        <v>0.13</v>
      </c>
      <c r="BP158" s="173">
        <f t="shared" si="29"/>
        <v>0.13</v>
      </c>
      <c r="BQ158" s="173">
        <f>BQ157</f>
        <v>0.13</v>
      </c>
      <c r="BR158" s="174">
        <f>BR157</f>
        <v>0.13</v>
      </c>
      <c r="BS158" s="173">
        <f aca="true" t="shared" si="42" ref="BS158:BS166">BS157</f>
        <v>0.12</v>
      </c>
      <c r="BT158" s="173">
        <f t="shared" si="13"/>
        <v>0.12</v>
      </c>
      <c r="BU158" s="173">
        <f t="shared" si="13"/>
        <v>0.12</v>
      </c>
      <c r="BV158" s="173">
        <f t="shared" si="13"/>
        <v>0.12</v>
      </c>
      <c r="BW158" s="174">
        <f t="shared" si="13"/>
        <v>0.12</v>
      </c>
      <c r="BX158" s="173">
        <f t="shared" si="23"/>
        <v>0.12</v>
      </c>
      <c r="BY158" s="173">
        <f>BY157</f>
        <v>0.12</v>
      </c>
      <c r="BZ158" s="173">
        <f>BZ157</f>
        <v>0.12</v>
      </c>
      <c r="CA158" s="173">
        <f>CA157</f>
        <v>0.12</v>
      </c>
      <c r="CB158" s="174">
        <v>0.11</v>
      </c>
      <c r="CC158" s="173">
        <f aca="true" t="shared" si="43" ref="CC158:CC166">CC157</f>
        <v>0.11</v>
      </c>
      <c r="CD158" s="173">
        <f t="shared" si="38"/>
        <v>0.11</v>
      </c>
      <c r="CE158" s="173">
        <f t="shared" si="30"/>
        <v>0.11</v>
      </c>
      <c r="CF158" s="173">
        <f>CF157</f>
        <v>0.11</v>
      </c>
      <c r="CG158" s="174">
        <f>CG157</f>
        <v>0.11</v>
      </c>
      <c r="CH158" s="173">
        <v>0.1</v>
      </c>
      <c r="CI158" s="173">
        <f t="shared" si="39"/>
        <v>0.1</v>
      </c>
      <c r="CJ158" s="173">
        <f t="shared" si="31"/>
        <v>0.1</v>
      </c>
      <c r="CK158" s="173">
        <f t="shared" si="26"/>
        <v>0.1</v>
      </c>
      <c r="CL158" s="174">
        <f t="shared" si="26"/>
        <v>0.1</v>
      </c>
      <c r="CM158" s="173">
        <f t="shared" si="26"/>
        <v>0.1</v>
      </c>
      <c r="CN158" s="173">
        <f t="shared" si="26"/>
        <v>0.1</v>
      </c>
      <c r="CO158" s="173">
        <v>0.09</v>
      </c>
      <c r="CP158" s="173">
        <f t="shared" si="15"/>
        <v>0.09</v>
      </c>
      <c r="CQ158" s="174">
        <f t="shared" si="16"/>
        <v>0.09</v>
      </c>
      <c r="CR158" s="173">
        <f t="shared" si="16"/>
        <v>0.09</v>
      </c>
      <c r="CS158" s="173">
        <f t="shared" si="17"/>
        <v>0.09</v>
      </c>
      <c r="CT158" s="173">
        <f t="shared" si="17"/>
        <v>0.09</v>
      </c>
      <c r="CU158" s="173">
        <f t="shared" si="17"/>
        <v>0.09</v>
      </c>
      <c r="CV158" s="173">
        <f t="shared" si="17"/>
        <v>0.09</v>
      </c>
      <c r="CW158" s="175">
        <f t="shared" si="17"/>
        <v>0.09</v>
      </c>
    </row>
    <row r="159" spans="1:101" ht="12.75">
      <c r="A159" s="2">
        <v>0.18</v>
      </c>
      <c r="B159" s="172">
        <v>1.58</v>
      </c>
      <c r="C159" s="173">
        <v>1.18</v>
      </c>
      <c r="D159" s="173">
        <v>1</v>
      </c>
      <c r="E159" s="174">
        <v>0.86</v>
      </c>
      <c r="F159" s="173">
        <v>0.77</v>
      </c>
      <c r="G159" s="173">
        <v>0.7</v>
      </c>
      <c r="H159" s="173">
        <v>0.64</v>
      </c>
      <c r="I159" s="173">
        <v>0.59</v>
      </c>
      <c r="J159" s="174">
        <v>0.55</v>
      </c>
      <c r="K159" s="173">
        <f t="shared" si="18"/>
        <v>0.52</v>
      </c>
      <c r="L159" s="173">
        <f t="shared" si="2"/>
        <v>0.5</v>
      </c>
      <c r="M159" s="173">
        <f t="shared" si="2"/>
        <v>0.48</v>
      </c>
      <c r="N159" s="173">
        <f t="shared" si="2"/>
        <v>0.45999999999999996</v>
      </c>
      <c r="O159" s="174">
        <v>0.44</v>
      </c>
      <c r="P159" s="173">
        <f t="shared" si="27"/>
        <v>0.42</v>
      </c>
      <c r="Q159" s="173">
        <f t="shared" si="27"/>
        <v>0.39999999999999997</v>
      </c>
      <c r="R159" s="173">
        <f t="shared" si="27"/>
        <v>0.38</v>
      </c>
      <c r="S159" s="173">
        <f t="shared" si="27"/>
        <v>0.36</v>
      </c>
      <c r="T159" s="174">
        <v>0.35</v>
      </c>
      <c r="U159" s="173">
        <v>0.33</v>
      </c>
      <c r="V159" s="173">
        <v>0.32</v>
      </c>
      <c r="W159" s="173">
        <v>0.31</v>
      </c>
      <c r="X159" s="173">
        <v>0.3</v>
      </c>
      <c r="Y159" s="174">
        <f>Y158-0.01</f>
        <v>0.29</v>
      </c>
      <c r="Z159" s="173">
        <f t="shared" si="19"/>
        <v>0.29</v>
      </c>
      <c r="AA159" s="173">
        <f t="shared" si="19"/>
        <v>0.28</v>
      </c>
      <c r="AB159" s="173">
        <f t="shared" si="19"/>
        <v>0.27</v>
      </c>
      <c r="AC159" s="173">
        <f t="shared" si="3"/>
        <v>0.26</v>
      </c>
      <c r="AD159" s="174">
        <f t="shared" si="3"/>
        <v>0.25</v>
      </c>
      <c r="AE159" s="173">
        <v>0.24</v>
      </c>
      <c r="AF159" s="173">
        <f t="shared" si="3"/>
        <v>0.24</v>
      </c>
      <c r="AG159" s="173">
        <v>0.23</v>
      </c>
      <c r="AH159" s="173">
        <f t="shared" si="4"/>
        <v>0.23</v>
      </c>
      <c r="AI159" s="174">
        <v>0.22</v>
      </c>
      <c r="AJ159" s="173">
        <f t="shared" si="5"/>
        <v>0.22</v>
      </c>
      <c r="AK159" s="173">
        <v>0.21</v>
      </c>
      <c r="AL159" s="173">
        <f t="shared" si="6"/>
        <v>0.21</v>
      </c>
      <c r="AM159" s="173">
        <v>0.2</v>
      </c>
      <c r="AN159" s="174">
        <f t="shared" si="7"/>
        <v>0.2</v>
      </c>
      <c r="AO159" s="173">
        <v>0.19</v>
      </c>
      <c r="AP159" s="173">
        <f t="shared" si="8"/>
        <v>0.19</v>
      </c>
      <c r="AQ159" s="173">
        <f t="shared" si="9"/>
        <v>0.19</v>
      </c>
      <c r="AR159" s="173">
        <v>0.18</v>
      </c>
      <c r="AS159" s="174">
        <f t="shared" si="9"/>
        <v>0.18</v>
      </c>
      <c r="AT159" s="173">
        <f t="shared" si="9"/>
        <v>0.18</v>
      </c>
      <c r="AU159" s="173">
        <f t="shared" si="9"/>
        <v>0.17</v>
      </c>
      <c r="AV159" s="173">
        <f t="shared" si="9"/>
        <v>0.17</v>
      </c>
      <c r="AW159" s="173">
        <f t="shared" si="10"/>
        <v>0.17</v>
      </c>
      <c r="AX159" s="174">
        <f t="shared" si="10"/>
        <v>0.16</v>
      </c>
      <c r="AY159" s="173">
        <f t="shared" si="10"/>
        <v>0.16</v>
      </c>
      <c r="AZ159" s="173">
        <f t="shared" si="10"/>
        <v>0.16</v>
      </c>
      <c r="BA159" s="173">
        <v>0.15</v>
      </c>
      <c r="BB159" s="173">
        <f t="shared" si="11"/>
        <v>0.15</v>
      </c>
      <c r="BC159" s="174">
        <f t="shared" si="11"/>
        <v>0.15</v>
      </c>
      <c r="BD159" s="173">
        <f t="shared" si="11"/>
        <v>0.15</v>
      </c>
      <c r="BE159" s="173">
        <f t="shared" si="11"/>
        <v>0.15</v>
      </c>
      <c r="BF159" s="173">
        <f t="shared" si="11"/>
        <v>0.15</v>
      </c>
      <c r="BG159" s="173">
        <f>BG158</f>
        <v>0.15</v>
      </c>
      <c r="BH159" s="174">
        <f aca="true" t="shared" si="44" ref="BH159:BH167">BH158</f>
        <v>0.14</v>
      </c>
      <c r="BI159" s="173">
        <f t="shared" si="40"/>
        <v>0.14</v>
      </c>
      <c r="BJ159" s="173">
        <f t="shared" si="35"/>
        <v>0.14</v>
      </c>
      <c r="BK159" s="173">
        <f t="shared" si="28"/>
        <v>0.14</v>
      </c>
      <c r="BL159" s="173">
        <f>BL158</f>
        <v>0.14</v>
      </c>
      <c r="BM159" s="174">
        <v>0.13</v>
      </c>
      <c r="BN159" s="173">
        <f t="shared" si="41"/>
        <v>0.13</v>
      </c>
      <c r="BO159" s="173">
        <f t="shared" si="36"/>
        <v>0.13</v>
      </c>
      <c r="BP159" s="173">
        <f t="shared" si="29"/>
        <v>0.13</v>
      </c>
      <c r="BQ159" s="173">
        <f>BQ158</f>
        <v>0.13</v>
      </c>
      <c r="BR159" s="174">
        <v>0.12</v>
      </c>
      <c r="BS159" s="173">
        <f t="shared" si="42"/>
        <v>0.12</v>
      </c>
      <c r="BT159" s="173">
        <f t="shared" si="13"/>
        <v>0.12</v>
      </c>
      <c r="BU159" s="173">
        <f t="shared" si="13"/>
        <v>0.12</v>
      </c>
      <c r="BV159" s="173">
        <f t="shared" si="13"/>
        <v>0.12</v>
      </c>
      <c r="BW159" s="174">
        <f t="shared" si="13"/>
        <v>0.12</v>
      </c>
      <c r="BX159" s="173">
        <f t="shared" si="23"/>
        <v>0.12</v>
      </c>
      <c r="BY159" s="173">
        <f>BY158</f>
        <v>0.12</v>
      </c>
      <c r="BZ159" s="173">
        <f>BZ158</f>
        <v>0.12</v>
      </c>
      <c r="CA159" s="173">
        <v>0.11</v>
      </c>
      <c r="CB159" s="174">
        <f aca="true" t="shared" si="45" ref="CB159:CB167">CB158</f>
        <v>0.11</v>
      </c>
      <c r="CC159" s="173">
        <f t="shared" si="43"/>
        <v>0.11</v>
      </c>
      <c r="CD159" s="173">
        <f t="shared" si="38"/>
        <v>0.11</v>
      </c>
      <c r="CE159" s="173">
        <f t="shared" si="30"/>
        <v>0.11</v>
      </c>
      <c r="CF159" s="173">
        <f>CF158</f>
        <v>0.11</v>
      </c>
      <c r="CG159" s="174">
        <f>CG158</f>
        <v>0.11</v>
      </c>
      <c r="CH159" s="173">
        <f aca="true" t="shared" si="46" ref="CH159:CH168">CH158</f>
        <v>0.1</v>
      </c>
      <c r="CI159" s="173">
        <f t="shared" si="39"/>
        <v>0.1</v>
      </c>
      <c r="CJ159" s="173">
        <f t="shared" si="31"/>
        <v>0.1</v>
      </c>
      <c r="CK159" s="173">
        <f t="shared" si="26"/>
        <v>0.1</v>
      </c>
      <c r="CL159" s="174">
        <f t="shared" si="26"/>
        <v>0.1</v>
      </c>
      <c r="CM159" s="173">
        <f t="shared" si="26"/>
        <v>0.1</v>
      </c>
      <c r="CN159" s="173">
        <f t="shared" si="26"/>
        <v>0.1</v>
      </c>
      <c r="CO159" s="173">
        <f t="shared" si="15"/>
        <v>0.09</v>
      </c>
      <c r="CP159" s="173">
        <f t="shared" si="15"/>
        <v>0.09</v>
      </c>
      <c r="CQ159" s="174">
        <f t="shared" si="16"/>
        <v>0.09</v>
      </c>
      <c r="CR159" s="173">
        <f t="shared" si="16"/>
        <v>0.09</v>
      </c>
      <c r="CS159" s="173">
        <f t="shared" si="17"/>
        <v>0.09</v>
      </c>
      <c r="CT159" s="173">
        <f t="shared" si="17"/>
        <v>0.09</v>
      </c>
      <c r="CU159" s="173">
        <f t="shared" si="17"/>
        <v>0.09</v>
      </c>
      <c r="CV159" s="173">
        <f t="shared" si="17"/>
        <v>0.09</v>
      </c>
      <c r="CW159" s="175">
        <f t="shared" si="17"/>
        <v>0.09</v>
      </c>
    </row>
    <row r="160" spans="1:101" ht="13.5" thickBot="1">
      <c r="A160" s="2">
        <v>0.19</v>
      </c>
      <c r="B160" s="176">
        <v>1.58</v>
      </c>
      <c r="C160" s="177">
        <v>1.17</v>
      </c>
      <c r="D160" s="177">
        <v>0.99</v>
      </c>
      <c r="E160" s="178">
        <v>0.85</v>
      </c>
      <c r="F160" s="177">
        <v>0.76</v>
      </c>
      <c r="G160" s="177">
        <v>0.69</v>
      </c>
      <c r="H160" s="177">
        <v>0.64</v>
      </c>
      <c r="I160" s="177">
        <v>0.59</v>
      </c>
      <c r="J160" s="178">
        <v>0.55</v>
      </c>
      <c r="K160" s="179">
        <v>0.52</v>
      </c>
      <c r="L160" s="177">
        <v>0.5</v>
      </c>
      <c r="M160" s="177">
        <v>0.48</v>
      </c>
      <c r="N160" s="177">
        <v>0.46</v>
      </c>
      <c r="O160" s="178">
        <v>0.44</v>
      </c>
      <c r="P160" s="179">
        <v>0.42</v>
      </c>
      <c r="Q160" s="177">
        <v>0.4</v>
      </c>
      <c r="R160" s="177">
        <v>0.38</v>
      </c>
      <c r="S160" s="177">
        <v>0.36</v>
      </c>
      <c r="T160" s="178">
        <f>T159-0.01</f>
        <v>0.33999999999999997</v>
      </c>
      <c r="U160" s="177">
        <f>U159-0.01</f>
        <v>0.32</v>
      </c>
      <c r="V160" s="177">
        <f>V159-0.01</f>
        <v>0.31</v>
      </c>
      <c r="W160" s="177">
        <v>0.31</v>
      </c>
      <c r="X160" s="177">
        <v>0.3</v>
      </c>
      <c r="Y160" s="178">
        <v>0.29</v>
      </c>
      <c r="Z160" s="179">
        <v>0.28</v>
      </c>
      <c r="AA160" s="177">
        <v>0.27</v>
      </c>
      <c r="AB160" s="177">
        <f t="shared" si="19"/>
        <v>0.27</v>
      </c>
      <c r="AC160" s="177">
        <f t="shared" si="3"/>
        <v>0.26</v>
      </c>
      <c r="AD160" s="178">
        <f t="shared" si="3"/>
        <v>0.25</v>
      </c>
      <c r="AE160" s="177">
        <f t="shared" si="3"/>
        <v>0.24</v>
      </c>
      <c r="AF160" s="177">
        <f t="shared" si="3"/>
        <v>0.24</v>
      </c>
      <c r="AG160" s="177">
        <f t="shared" si="4"/>
        <v>0.23</v>
      </c>
      <c r="AH160" s="177">
        <f t="shared" si="4"/>
        <v>0.23</v>
      </c>
      <c r="AI160" s="178">
        <f t="shared" si="5"/>
        <v>0.22</v>
      </c>
      <c r="AJ160" s="177">
        <f t="shared" si="5"/>
        <v>0.22</v>
      </c>
      <c r="AK160" s="177">
        <f t="shared" si="6"/>
        <v>0.21</v>
      </c>
      <c r="AL160" s="177">
        <f t="shared" si="6"/>
        <v>0.21</v>
      </c>
      <c r="AM160" s="177">
        <f t="shared" si="7"/>
        <v>0.2</v>
      </c>
      <c r="AN160" s="178">
        <f t="shared" si="7"/>
        <v>0.2</v>
      </c>
      <c r="AO160" s="177">
        <f t="shared" si="8"/>
        <v>0.19</v>
      </c>
      <c r="AP160" s="177">
        <f t="shared" si="8"/>
        <v>0.19</v>
      </c>
      <c r="AQ160" s="177">
        <v>0.18</v>
      </c>
      <c r="AR160" s="177">
        <f t="shared" si="9"/>
        <v>0.18</v>
      </c>
      <c r="AS160" s="178">
        <f t="shared" si="9"/>
        <v>0.18</v>
      </c>
      <c r="AT160" s="177">
        <v>0.17</v>
      </c>
      <c r="AU160" s="177">
        <f t="shared" si="9"/>
        <v>0.17</v>
      </c>
      <c r="AV160" s="177">
        <f t="shared" si="9"/>
        <v>0.17</v>
      </c>
      <c r="AW160" s="177">
        <v>0.16</v>
      </c>
      <c r="AX160" s="178">
        <f t="shared" si="10"/>
        <v>0.16</v>
      </c>
      <c r="AY160" s="177">
        <f t="shared" si="10"/>
        <v>0.16</v>
      </c>
      <c r="AZ160" s="177">
        <v>0.15</v>
      </c>
      <c r="BA160" s="177">
        <f t="shared" si="10"/>
        <v>0.15</v>
      </c>
      <c r="BB160" s="177">
        <f t="shared" si="11"/>
        <v>0.15</v>
      </c>
      <c r="BC160" s="178">
        <f t="shared" si="11"/>
        <v>0.15</v>
      </c>
      <c r="BD160" s="177">
        <f t="shared" si="11"/>
        <v>0.15</v>
      </c>
      <c r="BE160" s="177">
        <f t="shared" si="11"/>
        <v>0.15</v>
      </c>
      <c r="BF160" s="177">
        <f t="shared" si="11"/>
        <v>0.15</v>
      </c>
      <c r="BG160" s="177">
        <v>0.14</v>
      </c>
      <c r="BH160" s="178">
        <f t="shared" si="44"/>
        <v>0.14</v>
      </c>
      <c r="BI160" s="177">
        <f t="shared" si="40"/>
        <v>0.14</v>
      </c>
      <c r="BJ160" s="177">
        <f t="shared" si="35"/>
        <v>0.14</v>
      </c>
      <c r="BK160" s="177">
        <f t="shared" si="28"/>
        <v>0.14</v>
      </c>
      <c r="BL160" s="177">
        <f>BL159</f>
        <v>0.14</v>
      </c>
      <c r="BM160" s="178">
        <f>BM159</f>
        <v>0.13</v>
      </c>
      <c r="BN160" s="177">
        <f t="shared" si="41"/>
        <v>0.13</v>
      </c>
      <c r="BO160" s="177">
        <f t="shared" si="36"/>
        <v>0.13</v>
      </c>
      <c r="BP160" s="177">
        <f t="shared" si="29"/>
        <v>0.13</v>
      </c>
      <c r="BQ160" s="177">
        <f>BQ159</f>
        <v>0.13</v>
      </c>
      <c r="BR160" s="178">
        <f aca="true" t="shared" si="47" ref="BR160:BR168">BR159</f>
        <v>0.12</v>
      </c>
      <c r="BS160" s="177">
        <f t="shared" si="42"/>
        <v>0.12</v>
      </c>
      <c r="BT160" s="177">
        <f t="shared" si="13"/>
        <v>0.12</v>
      </c>
      <c r="BU160" s="177">
        <f t="shared" si="13"/>
        <v>0.12</v>
      </c>
      <c r="BV160" s="177">
        <f t="shared" si="13"/>
        <v>0.12</v>
      </c>
      <c r="BW160" s="178">
        <f t="shared" si="13"/>
        <v>0.12</v>
      </c>
      <c r="BX160" s="177">
        <f t="shared" si="23"/>
        <v>0.12</v>
      </c>
      <c r="BY160" s="177">
        <f>BY159</f>
        <v>0.12</v>
      </c>
      <c r="BZ160" s="177">
        <v>0.11</v>
      </c>
      <c r="CA160" s="177">
        <f aca="true" t="shared" si="48" ref="CA160:CA168">CA159</f>
        <v>0.11</v>
      </c>
      <c r="CB160" s="178">
        <f t="shared" si="45"/>
        <v>0.11</v>
      </c>
      <c r="CC160" s="177">
        <f t="shared" si="43"/>
        <v>0.11</v>
      </c>
      <c r="CD160" s="177">
        <f t="shared" si="38"/>
        <v>0.11</v>
      </c>
      <c r="CE160" s="177">
        <f t="shared" si="30"/>
        <v>0.11</v>
      </c>
      <c r="CF160" s="177">
        <f>CF159</f>
        <v>0.11</v>
      </c>
      <c r="CG160" s="178">
        <v>0.1</v>
      </c>
      <c r="CH160" s="177">
        <f t="shared" si="46"/>
        <v>0.1</v>
      </c>
      <c r="CI160" s="177">
        <f t="shared" si="39"/>
        <v>0.1</v>
      </c>
      <c r="CJ160" s="177">
        <f t="shared" si="31"/>
        <v>0.1</v>
      </c>
      <c r="CK160" s="177">
        <f aca="true" t="shared" si="49" ref="CK160:CM161">CK159</f>
        <v>0.1</v>
      </c>
      <c r="CL160" s="178">
        <f t="shared" si="49"/>
        <v>0.1</v>
      </c>
      <c r="CM160" s="177">
        <f t="shared" si="49"/>
        <v>0.1</v>
      </c>
      <c r="CN160" s="177">
        <v>0.09</v>
      </c>
      <c r="CO160" s="177">
        <f t="shared" si="15"/>
        <v>0.09</v>
      </c>
      <c r="CP160" s="177">
        <f t="shared" si="15"/>
        <v>0.09</v>
      </c>
      <c r="CQ160" s="178">
        <f t="shared" si="16"/>
        <v>0.09</v>
      </c>
      <c r="CR160" s="177">
        <f t="shared" si="16"/>
        <v>0.09</v>
      </c>
      <c r="CS160" s="177">
        <f t="shared" si="17"/>
        <v>0.09</v>
      </c>
      <c r="CT160" s="177">
        <f t="shared" si="17"/>
        <v>0.09</v>
      </c>
      <c r="CU160" s="177">
        <f t="shared" si="17"/>
        <v>0.09</v>
      </c>
      <c r="CV160" s="177">
        <f t="shared" si="17"/>
        <v>0.09</v>
      </c>
      <c r="CW160" s="180">
        <f t="shared" si="17"/>
        <v>0.09</v>
      </c>
    </row>
    <row r="161" spans="1:101" ht="12.75">
      <c r="A161" s="2">
        <v>0.2</v>
      </c>
      <c r="B161" s="172">
        <v>1.58</v>
      </c>
      <c r="C161" s="173">
        <v>1.17</v>
      </c>
      <c r="D161" s="173">
        <v>0.98</v>
      </c>
      <c r="E161" s="174">
        <v>0.85</v>
      </c>
      <c r="F161" s="173">
        <v>0.76</v>
      </c>
      <c r="G161" s="173">
        <v>0.68</v>
      </c>
      <c r="H161" s="173">
        <v>0.63</v>
      </c>
      <c r="I161" s="173">
        <v>0.58</v>
      </c>
      <c r="J161" s="174">
        <v>0.54</v>
      </c>
      <c r="K161" s="173">
        <f t="shared" si="18"/>
        <v>0.51</v>
      </c>
      <c r="L161" s="173">
        <f t="shared" si="2"/>
        <v>0.49</v>
      </c>
      <c r="M161" s="173">
        <f t="shared" si="2"/>
        <v>0.47</v>
      </c>
      <c r="N161" s="173">
        <f t="shared" si="2"/>
        <v>0.45</v>
      </c>
      <c r="O161" s="174">
        <v>0.43</v>
      </c>
      <c r="P161" s="173">
        <v>0.42</v>
      </c>
      <c r="Q161" s="173">
        <v>0.4</v>
      </c>
      <c r="R161" s="173">
        <v>0.38</v>
      </c>
      <c r="S161" s="173">
        <v>0.36</v>
      </c>
      <c r="T161" s="174">
        <v>0.34</v>
      </c>
      <c r="U161" s="173">
        <v>0.32</v>
      </c>
      <c r="V161" s="173">
        <v>0.31</v>
      </c>
      <c r="W161" s="173">
        <f>W160-0.01</f>
        <v>0.3</v>
      </c>
      <c r="X161" s="173">
        <v>0.3</v>
      </c>
      <c r="Y161" s="174">
        <v>0.29</v>
      </c>
      <c r="Z161" s="173">
        <f t="shared" si="19"/>
        <v>0.28</v>
      </c>
      <c r="AA161" s="173">
        <f t="shared" si="19"/>
        <v>0.27</v>
      </c>
      <c r="AB161" s="173">
        <v>0.26</v>
      </c>
      <c r="AC161" s="173">
        <f t="shared" si="3"/>
        <v>0.26</v>
      </c>
      <c r="AD161" s="174">
        <f t="shared" si="3"/>
        <v>0.25</v>
      </c>
      <c r="AE161" s="173">
        <f t="shared" si="3"/>
        <v>0.24</v>
      </c>
      <c r="AF161" s="173">
        <f t="shared" si="3"/>
        <v>0.24</v>
      </c>
      <c r="AG161" s="173">
        <f t="shared" si="4"/>
        <v>0.23</v>
      </c>
      <c r="AH161" s="173">
        <f t="shared" si="4"/>
        <v>0.23</v>
      </c>
      <c r="AI161" s="174">
        <f t="shared" si="5"/>
        <v>0.22</v>
      </c>
      <c r="AJ161" s="173">
        <f t="shared" si="5"/>
        <v>0.22</v>
      </c>
      <c r="AK161" s="173">
        <f t="shared" si="6"/>
        <v>0.21</v>
      </c>
      <c r="AL161" s="173">
        <f t="shared" si="6"/>
        <v>0.21</v>
      </c>
      <c r="AM161" s="173">
        <f t="shared" si="7"/>
        <v>0.2</v>
      </c>
      <c r="AN161" s="174">
        <f t="shared" si="7"/>
        <v>0.2</v>
      </c>
      <c r="AO161" s="173">
        <f t="shared" si="8"/>
        <v>0.19</v>
      </c>
      <c r="AP161" s="173">
        <f t="shared" si="8"/>
        <v>0.19</v>
      </c>
      <c r="AQ161" s="173">
        <f t="shared" si="9"/>
        <v>0.18</v>
      </c>
      <c r="AR161" s="173">
        <f t="shared" si="9"/>
        <v>0.18</v>
      </c>
      <c r="AS161" s="174">
        <f t="shared" si="9"/>
        <v>0.18</v>
      </c>
      <c r="AT161" s="173">
        <f t="shared" si="9"/>
        <v>0.17</v>
      </c>
      <c r="AU161" s="173">
        <f t="shared" si="9"/>
        <v>0.17</v>
      </c>
      <c r="AV161" s="173">
        <f t="shared" si="9"/>
        <v>0.17</v>
      </c>
      <c r="AW161" s="173">
        <f t="shared" si="10"/>
        <v>0.16</v>
      </c>
      <c r="AX161" s="174">
        <f t="shared" si="10"/>
        <v>0.16</v>
      </c>
      <c r="AY161" s="173">
        <v>0.15</v>
      </c>
      <c r="AZ161" s="173">
        <f t="shared" si="10"/>
        <v>0.15</v>
      </c>
      <c r="BA161" s="173">
        <f t="shared" si="10"/>
        <v>0.15</v>
      </c>
      <c r="BB161" s="173">
        <f t="shared" si="11"/>
        <v>0.15</v>
      </c>
      <c r="BC161" s="174">
        <f t="shared" si="11"/>
        <v>0.15</v>
      </c>
      <c r="BD161" s="173">
        <f t="shared" si="11"/>
        <v>0.15</v>
      </c>
      <c r="BE161" s="173">
        <f t="shared" si="11"/>
        <v>0.15</v>
      </c>
      <c r="BF161" s="173">
        <v>0.14</v>
      </c>
      <c r="BG161" s="173">
        <f aca="true" t="shared" si="50" ref="BG161:BG168">BG160</f>
        <v>0.14</v>
      </c>
      <c r="BH161" s="174">
        <f t="shared" si="44"/>
        <v>0.14</v>
      </c>
      <c r="BI161" s="173">
        <f t="shared" si="40"/>
        <v>0.14</v>
      </c>
      <c r="BJ161" s="173">
        <f t="shared" si="35"/>
        <v>0.14</v>
      </c>
      <c r="BK161" s="173">
        <f t="shared" si="28"/>
        <v>0.14</v>
      </c>
      <c r="BL161" s="173">
        <v>0.13</v>
      </c>
      <c r="BM161" s="174">
        <f>BM160</f>
        <v>0.13</v>
      </c>
      <c r="BN161" s="173">
        <f t="shared" si="41"/>
        <v>0.13</v>
      </c>
      <c r="BO161" s="173">
        <f t="shared" si="36"/>
        <v>0.13</v>
      </c>
      <c r="BP161" s="173">
        <f t="shared" si="29"/>
        <v>0.13</v>
      </c>
      <c r="BQ161" s="173">
        <v>0.12</v>
      </c>
      <c r="BR161" s="174">
        <f t="shared" si="47"/>
        <v>0.12</v>
      </c>
      <c r="BS161" s="173">
        <f t="shared" si="42"/>
        <v>0.12</v>
      </c>
      <c r="BT161" s="173">
        <f t="shared" si="13"/>
        <v>0.12</v>
      </c>
      <c r="BU161" s="173">
        <f t="shared" si="13"/>
        <v>0.12</v>
      </c>
      <c r="BV161" s="173">
        <f t="shared" si="13"/>
        <v>0.12</v>
      </c>
      <c r="BW161" s="174">
        <f t="shared" si="13"/>
        <v>0.12</v>
      </c>
      <c r="BX161" s="173">
        <f t="shared" si="23"/>
        <v>0.12</v>
      </c>
      <c r="BY161" s="173">
        <v>0.11</v>
      </c>
      <c r="BZ161" s="173">
        <f aca="true" t="shared" si="51" ref="BZ161:BZ169">BZ160</f>
        <v>0.11</v>
      </c>
      <c r="CA161" s="173">
        <f t="shared" si="48"/>
        <v>0.11</v>
      </c>
      <c r="CB161" s="174">
        <f t="shared" si="45"/>
        <v>0.11</v>
      </c>
      <c r="CC161" s="173">
        <f t="shared" si="43"/>
        <v>0.11</v>
      </c>
      <c r="CD161" s="173">
        <f t="shared" si="38"/>
        <v>0.11</v>
      </c>
      <c r="CE161" s="173">
        <f t="shared" si="30"/>
        <v>0.11</v>
      </c>
      <c r="CF161" s="173">
        <f>CF160</f>
        <v>0.11</v>
      </c>
      <c r="CG161" s="174">
        <f aca="true" t="shared" si="52" ref="CG161:CG168">CG160</f>
        <v>0.1</v>
      </c>
      <c r="CH161" s="173">
        <f t="shared" si="46"/>
        <v>0.1</v>
      </c>
      <c r="CI161" s="173">
        <f t="shared" si="39"/>
        <v>0.1</v>
      </c>
      <c r="CJ161" s="173">
        <f t="shared" si="31"/>
        <v>0.1</v>
      </c>
      <c r="CK161" s="173">
        <f t="shared" si="49"/>
        <v>0.1</v>
      </c>
      <c r="CL161" s="174">
        <f t="shared" si="49"/>
        <v>0.1</v>
      </c>
      <c r="CM161" s="173">
        <f t="shared" si="49"/>
        <v>0.1</v>
      </c>
      <c r="CN161" s="173">
        <f aca="true" t="shared" si="53" ref="CN161:CN168">CN160</f>
        <v>0.09</v>
      </c>
      <c r="CO161" s="173">
        <f t="shared" si="15"/>
        <v>0.09</v>
      </c>
      <c r="CP161" s="173">
        <f t="shared" si="15"/>
        <v>0.09</v>
      </c>
      <c r="CQ161" s="174">
        <f t="shared" si="16"/>
        <v>0.09</v>
      </c>
      <c r="CR161" s="173">
        <f t="shared" si="16"/>
        <v>0.09</v>
      </c>
      <c r="CS161" s="173">
        <f t="shared" si="17"/>
        <v>0.09</v>
      </c>
      <c r="CT161" s="173">
        <f t="shared" si="17"/>
        <v>0.09</v>
      </c>
      <c r="CU161" s="173">
        <f t="shared" si="17"/>
        <v>0.09</v>
      </c>
      <c r="CV161" s="173">
        <f t="shared" si="17"/>
        <v>0.09</v>
      </c>
      <c r="CW161" s="175">
        <f t="shared" si="17"/>
        <v>0.09</v>
      </c>
    </row>
    <row r="162" spans="1:101" ht="12.75">
      <c r="A162" s="2">
        <v>0.21</v>
      </c>
      <c r="B162" s="172">
        <v>1.58</v>
      </c>
      <c r="C162" s="173">
        <v>1.16</v>
      </c>
      <c r="D162" s="173">
        <v>0.97</v>
      </c>
      <c r="E162" s="174">
        <v>0.84</v>
      </c>
      <c r="F162" s="173">
        <v>0.75</v>
      </c>
      <c r="G162" s="173">
        <v>0.68</v>
      </c>
      <c r="H162" s="173">
        <v>0.62</v>
      </c>
      <c r="I162" s="173">
        <v>0.57</v>
      </c>
      <c r="J162" s="174">
        <v>0.54</v>
      </c>
      <c r="K162" s="173">
        <v>0.51</v>
      </c>
      <c r="L162" s="173">
        <v>0.49</v>
      </c>
      <c r="M162" s="173">
        <v>0.47</v>
      </c>
      <c r="N162" s="173">
        <v>0.45</v>
      </c>
      <c r="O162" s="174">
        <v>0.43</v>
      </c>
      <c r="P162" s="173">
        <f t="shared" si="27"/>
        <v>0.41</v>
      </c>
      <c r="Q162" s="173">
        <f t="shared" si="27"/>
        <v>0.39</v>
      </c>
      <c r="R162" s="173">
        <f t="shared" si="27"/>
        <v>0.37</v>
      </c>
      <c r="S162" s="173">
        <f t="shared" si="27"/>
        <v>0.35</v>
      </c>
      <c r="T162" s="174">
        <v>0.34</v>
      </c>
      <c r="U162" s="173">
        <v>0.32</v>
      </c>
      <c r="V162" s="173">
        <v>0.31</v>
      </c>
      <c r="W162" s="173">
        <v>0.3</v>
      </c>
      <c r="X162" s="173">
        <f>X161-0.01</f>
        <v>0.29</v>
      </c>
      <c r="Y162" s="174">
        <v>0.29</v>
      </c>
      <c r="Z162" s="173">
        <f t="shared" si="19"/>
        <v>0.28</v>
      </c>
      <c r="AA162" s="173">
        <f t="shared" si="19"/>
        <v>0.27</v>
      </c>
      <c r="AB162" s="173">
        <f t="shared" si="19"/>
        <v>0.26</v>
      </c>
      <c r="AC162" s="173">
        <v>0.25</v>
      </c>
      <c r="AD162" s="174">
        <f t="shared" si="3"/>
        <v>0.25</v>
      </c>
      <c r="AE162" s="173">
        <f t="shared" si="3"/>
        <v>0.24</v>
      </c>
      <c r="AF162" s="173">
        <v>0.23</v>
      </c>
      <c r="AG162" s="173">
        <f t="shared" si="4"/>
        <v>0.23</v>
      </c>
      <c r="AH162" s="173">
        <v>0.22</v>
      </c>
      <c r="AI162" s="174">
        <f t="shared" si="5"/>
        <v>0.22</v>
      </c>
      <c r="AJ162" s="173">
        <v>0.21</v>
      </c>
      <c r="AK162" s="173">
        <f t="shared" si="6"/>
        <v>0.21</v>
      </c>
      <c r="AL162" s="173">
        <v>0.2</v>
      </c>
      <c r="AM162" s="173">
        <f t="shared" si="7"/>
        <v>0.2</v>
      </c>
      <c r="AN162" s="174">
        <v>0.19</v>
      </c>
      <c r="AO162" s="173">
        <f t="shared" si="8"/>
        <v>0.19</v>
      </c>
      <c r="AP162" s="173">
        <v>0.18</v>
      </c>
      <c r="AQ162" s="173">
        <f t="shared" si="9"/>
        <v>0.18</v>
      </c>
      <c r="AR162" s="173">
        <f t="shared" si="9"/>
        <v>0.18</v>
      </c>
      <c r="AS162" s="174">
        <v>0.17</v>
      </c>
      <c r="AT162" s="173">
        <f t="shared" si="9"/>
        <v>0.17</v>
      </c>
      <c r="AU162" s="173">
        <f t="shared" si="9"/>
        <v>0.17</v>
      </c>
      <c r="AV162" s="173">
        <v>0.16</v>
      </c>
      <c r="AW162" s="173">
        <f t="shared" si="10"/>
        <v>0.16</v>
      </c>
      <c r="AX162" s="174">
        <f t="shared" si="10"/>
        <v>0.16</v>
      </c>
      <c r="AY162" s="173">
        <f t="shared" si="10"/>
        <v>0.15</v>
      </c>
      <c r="AZ162" s="173">
        <f t="shared" si="10"/>
        <v>0.15</v>
      </c>
      <c r="BA162" s="173">
        <f t="shared" si="10"/>
        <v>0.15</v>
      </c>
      <c r="BB162" s="173">
        <f t="shared" si="11"/>
        <v>0.15</v>
      </c>
      <c r="BC162" s="174">
        <f t="shared" si="11"/>
        <v>0.15</v>
      </c>
      <c r="BD162" s="173">
        <f t="shared" si="11"/>
        <v>0.15</v>
      </c>
      <c r="BE162" s="173">
        <v>0.14</v>
      </c>
      <c r="BF162" s="173">
        <f t="shared" si="11"/>
        <v>0.14</v>
      </c>
      <c r="BG162" s="173">
        <f t="shared" si="50"/>
        <v>0.14</v>
      </c>
      <c r="BH162" s="174">
        <f t="shared" si="44"/>
        <v>0.14</v>
      </c>
      <c r="BI162" s="173">
        <f t="shared" si="40"/>
        <v>0.14</v>
      </c>
      <c r="BJ162" s="173">
        <f t="shared" si="35"/>
        <v>0.14</v>
      </c>
      <c r="BK162" s="173">
        <f t="shared" si="28"/>
        <v>0.14</v>
      </c>
      <c r="BL162" s="173">
        <f>BL161</f>
        <v>0.13</v>
      </c>
      <c r="BM162" s="174">
        <f>BM161</f>
        <v>0.13</v>
      </c>
      <c r="BN162" s="173">
        <f t="shared" si="41"/>
        <v>0.13</v>
      </c>
      <c r="BO162" s="173">
        <f t="shared" si="36"/>
        <v>0.13</v>
      </c>
      <c r="BP162" s="173">
        <f t="shared" si="29"/>
        <v>0.13</v>
      </c>
      <c r="BQ162" s="173">
        <f aca="true" t="shared" si="54" ref="BQ162:BQ170">BQ161</f>
        <v>0.12</v>
      </c>
      <c r="BR162" s="174">
        <f t="shared" si="47"/>
        <v>0.12</v>
      </c>
      <c r="BS162" s="173">
        <f t="shared" si="42"/>
        <v>0.12</v>
      </c>
      <c r="BT162" s="173">
        <f t="shared" si="13"/>
        <v>0.12</v>
      </c>
      <c r="BU162" s="173">
        <f t="shared" si="13"/>
        <v>0.12</v>
      </c>
      <c r="BV162" s="173">
        <f t="shared" si="13"/>
        <v>0.12</v>
      </c>
      <c r="BW162" s="174">
        <f t="shared" si="13"/>
        <v>0.12</v>
      </c>
      <c r="BX162" s="173">
        <v>0.11</v>
      </c>
      <c r="BY162" s="173">
        <f aca="true" t="shared" si="55" ref="BY162:BY169">BY161</f>
        <v>0.11</v>
      </c>
      <c r="BZ162" s="173">
        <f t="shared" si="51"/>
        <v>0.11</v>
      </c>
      <c r="CA162" s="173">
        <f t="shared" si="48"/>
        <v>0.11</v>
      </c>
      <c r="CB162" s="174">
        <f t="shared" si="45"/>
        <v>0.11</v>
      </c>
      <c r="CC162" s="173">
        <f t="shared" si="43"/>
        <v>0.11</v>
      </c>
      <c r="CD162" s="173">
        <f t="shared" si="38"/>
        <v>0.11</v>
      </c>
      <c r="CE162" s="173">
        <f t="shared" si="30"/>
        <v>0.11</v>
      </c>
      <c r="CF162" s="173">
        <v>0.1</v>
      </c>
      <c r="CG162" s="174">
        <f t="shared" si="52"/>
        <v>0.1</v>
      </c>
      <c r="CH162" s="173">
        <f t="shared" si="46"/>
        <v>0.1</v>
      </c>
      <c r="CI162" s="173">
        <f t="shared" si="39"/>
        <v>0.1</v>
      </c>
      <c r="CJ162" s="173">
        <f t="shared" si="31"/>
        <v>0.1</v>
      </c>
      <c r="CK162" s="173">
        <f>CK161</f>
        <v>0.1</v>
      </c>
      <c r="CL162" s="174">
        <f>CL161</f>
        <v>0.1</v>
      </c>
      <c r="CM162" s="173">
        <v>0.09</v>
      </c>
      <c r="CN162" s="173">
        <f t="shared" si="53"/>
        <v>0.09</v>
      </c>
      <c r="CO162" s="173">
        <f t="shared" si="15"/>
        <v>0.09</v>
      </c>
      <c r="CP162" s="173">
        <f t="shared" si="15"/>
        <v>0.09</v>
      </c>
      <c r="CQ162" s="174">
        <f t="shared" si="16"/>
        <v>0.09</v>
      </c>
      <c r="CR162" s="173">
        <f t="shared" si="16"/>
        <v>0.09</v>
      </c>
      <c r="CS162" s="173">
        <f t="shared" si="17"/>
        <v>0.09</v>
      </c>
      <c r="CT162" s="173">
        <f t="shared" si="17"/>
        <v>0.09</v>
      </c>
      <c r="CU162" s="173">
        <f t="shared" si="17"/>
        <v>0.09</v>
      </c>
      <c r="CV162" s="173">
        <f t="shared" si="17"/>
        <v>0.09</v>
      </c>
      <c r="CW162" s="175">
        <v>0.08</v>
      </c>
    </row>
    <row r="163" spans="1:101" ht="12.75">
      <c r="A163" s="2">
        <v>0.22</v>
      </c>
      <c r="B163" s="172">
        <v>1.58</v>
      </c>
      <c r="C163" s="173">
        <v>1.15</v>
      </c>
      <c r="D163" s="173">
        <v>0.96</v>
      </c>
      <c r="E163" s="174">
        <v>0.83</v>
      </c>
      <c r="F163" s="173">
        <v>0.74</v>
      </c>
      <c r="G163" s="173">
        <v>0.67</v>
      </c>
      <c r="H163" s="173">
        <v>0.62</v>
      </c>
      <c r="I163" s="173">
        <v>0.57</v>
      </c>
      <c r="J163" s="174">
        <v>0.53</v>
      </c>
      <c r="K163" s="173">
        <f t="shared" si="18"/>
        <v>0.5</v>
      </c>
      <c r="L163" s="173">
        <f t="shared" si="2"/>
        <v>0.48</v>
      </c>
      <c r="M163" s="173">
        <f t="shared" si="2"/>
        <v>0.45999999999999996</v>
      </c>
      <c r="N163" s="173">
        <f t="shared" si="2"/>
        <v>0.44</v>
      </c>
      <c r="O163" s="174">
        <v>0.43</v>
      </c>
      <c r="P163" s="173">
        <v>0.41</v>
      </c>
      <c r="Q163" s="173">
        <v>0.39</v>
      </c>
      <c r="R163" s="173">
        <v>0.37</v>
      </c>
      <c r="S163" s="173">
        <v>0.35</v>
      </c>
      <c r="T163" s="174">
        <f>T162-0.01</f>
        <v>0.33</v>
      </c>
      <c r="U163" s="173">
        <f>U162-0.01</f>
        <v>0.31</v>
      </c>
      <c r="V163" s="173">
        <v>0.31</v>
      </c>
      <c r="W163" s="173">
        <v>0.3</v>
      </c>
      <c r="X163" s="173">
        <v>0.29</v>
      </c>
      <c r="Y163" s="174">
        <f>Y162-0.01</f>
        <v>0.27999999999999997</v>
      </c>
      <c r="Z163" s="173">
        <f t="shared" si="19"/>
        <v>0.28</v>
      </c>
      <c r="AA163" s="173">
        <f t="shared" si="19"/>
        <v>0.27</v>
      </c>
      <c r="AB163" s="173">
        <f t="shared" si="19"/>
        <v>0.26</v>
      </c>
      <c r="AC163" s="173">
        <f t="shared" si="3"/>
        <v>0.25</v>
      </c>
      <c r="AD163" s="174">
        <v>0.24</v>
      </c>
      <c r="AE163" s="173">
        <f t="shared" si="3"/>
        <v>0.24</v>
      </c>
      <c r="AF163" s="173">
        <f t="shared" si="3"/>
        <v>0.23</v>
      </c>
      <c r="AG163" s="173">
        <f t="shared" si="4"/>
        <v>0.23</v>
      </c>
      <c r="AH163" s="173">
        <f t="shared" si="4"/>
        <v>0.22</v>
      </c>
      <c r="AI163" s="174">
        <f t="shared" si="5"/>
        <v>0.22</v>
      </c>
      <c r="AJ163" s="173">
        <f t="shared" si="5"/>
        <v>0.21</v>
      </c>
      <c r="AK163" s="173">
        <f t="shared" si="6"/>
        <v>0.21</v>
      </c>
      <c r="AL163" s="173">
        <f t="shared" si="6"/>
        <v>0.2</v>
      </c>
      <c r="AM163" s="173">
        <f t="shared" si="7"/>
        <v>0.2</v>
      </c>
      <c r="AN163" s="174">
        <f t="shared" si="7"/>
        <v>0.19</v>
      </c>
      <c r="AO163" s="173">
        <f t="shared" si="8"/>
        <v>0.19</v>
      </c>
      <c r="AP163" s="173">
        <f t="shared" si="8"/>
        <v>0.18</v>
      </c>
      <c r="AQ163" s="173">
        <f t="shared" si="9"/>
        <v>0.18</v>
      </c>
      <c r="AR163" s="173">
        <f t="shared" si="9"/>
        <v>0.18</v>
      </c>
      <c r="AS163" s="174">
        <f t="shared" si="9"/>
        <v>0.17</v>
      </c>
      <c r="AT163" s="173">
        <f t="shared" si="9"/>
        <v>0.17</v>
      </c>
      <c r="AU163" s="173">
        <f t="shared" si="9"/>
        <v>0.17</v>
      </c>
      <c r="AV163" s="173">
        <f t="shared" si="9"/>
        <v>0.16</v>
      </c>
      <c r="AW163" s="173">
        <f t="shared" si="10"/>
        <v>0.16</v>
      </c>
      <c r="AX163" s="174">
        <f t="shared" si="10"/>
        <v>0.16</v>
      </c>
      <c r="AY163" s="173">
        <f t="shared" si="10"/>
        <v>0.15</v>
      </c>
      <c r="AZ163" s="173">
        <f t="shared" si="10"/>
        <v>0.15</v>
      </c>
      <c r="BA163" s="173">
        <f t="shared" si="10"/>
        <v>0.15</v>
      </c>
      <c r="BB163" s="173">
        <f t="shared" si="11"/>
        <v>0.15</v>
      </c>
      <c r="BC163" s="174">
        <f t="shared" si="11"/>
        <v>0.15</v>
      </c>
      <c r="BD163" s="173">
        <f t="shared" si="11"/>
        <v>0.15</v>
      </c>
      <c r="BE163" s="173">
        <f t="shared" si="11"/>
        <v>0.14</v>
      </c>
      <c r="BF163" s="173">
        <f t="shared" si="11"/>
        <v>0.14</v>
      </c>
      <c r="BG163" s="173">
        <f t="shared" si="50"/>
        <v>0.14</v>
      </c>
      <c r="BH163" s="174">
        <f t="shared" si="44"/>
        <v>0.14</v>
      </c>
      <c r="BI163" s="173">
        <f t="shared" si="40"/>
        <v>0.14</v>
      </c>
      <c r="BJ163" s="173">
        <f t="shared" si="35"/>
        <v>0.14</v>
      </c>
      <c r="BK163" s="173">
        <v>0.13</v>
      </c>
      <c r="BL163" s="173">
        <f>BL162</f>
        <v>0.13</v>
      </c>
      <c r="BM163" s="174">
        <f>BM162</f>
        <v>0.13</v>
      </c>
      <c r="BN163" s="173">
        <f t="shared" si="41"/>
        <v>0.13</v>
      </c>
      <c r="BO163" s="173">
        <f t="shared" si="36"/>
        <v>0.13</v>
      </c>
      <c r="BP163" s="173">
        <v>0.12</v>
      </c>
      <c r="BQ163" s="173">
        <f t="shared" si="54"/>
        <v>0.12</v>
      </c>
      <c r="BR163" s="174">
        <f t="shared" si="47"/>
        <v>0.12</v>
      </c>
      <c r="BS163" s="173">
        <f t="shared" si="42"/>
        <v>0.12</v>
      </c>
      <c r="BT163" s="173">
        <f t="shared" si="13"/>
        <v>0.12</v>
      </c>
      <c r="BU163" s="173">
        <f t="shared" si="13"/>
        <v>0.12</v>
      </c>
      <c r="BV163" s="173">
        <f t="shared" si="13"/>
        <v>0.12</v>
      </c>
      <c r="BW163" s="174">
        <v>0.11</v>
      </c>
      <c r="BX163" s="173">
        <f t="shared" si="23"/>
        <v>0.11</v>
      </c>
      <c r="BY163" s="173">
        <f t="shared" si="55"/>
        <v>0.11</v>
      </c>
      <c r="BZ163" s="173">
        <f t="shared" si="51"/>
        <v>0.11</v>
      </c>
      <c r="CA163" s="173">
        <f t="shared" si="48"/>
        <v>0.11</v>
      </c>
      <c r="CB163" s="174">
        <f t="shared" si="45"/>
        <v>0.11</v>
      </c>
      <c r="CC163" s="173">
        <f t="shared" si="43"/>
        <v>0.11</v>
      </c>
      <c r="CD163" s="173">
        <f t="shared" si="38"/>
        <v>0.11</v>
      </c>
      <c r="CE163" s="173">
        <f t="shared" si="30"/>
        <v>0.11</v>
      </c>
      <c r="CF163" s="173">
        <f aca="true" t="shared" si="56" ref="CF163:CF168">CF162</f>
        <v>0.1</v>
      </c>
      <c r="CG163" s="174">
        <f t="shared" si="52"/>
        <v>0.1</v>
      </c>
      <c r="CH163" s="173">
        <f t="shared" si="46"/>
        <v>0.1</v>
      </c>
      <c r="CI163" s="173">
        <f t="shared" si="39"/>
        <v>0.1</v>
      </c>
      <c r="CJ163" s="173">
        <f t="shared" si="31"/>
        <v>0.1</v>
      </c>
      <c r="CK163" s="173">
        <f>CK162</f>
        <v>0.1</v>
      </c>
      <c r="CL163" s="174">
        <f>CL162</f>
        <v>0.1</v>
      </c>
      <c r="CM163" s="173">
        <f aca="true" t="shared" si="57" ref="CM163:CM168">CM162</f>
        <v>0.09</v>
      </c>
      <c r="CN163" s="173">
        <f t="shared" si="53"/>
        <v>0.09</v>
      </c>
      <c r="CO163" s="173">
        <f t="shared" si="15"/>
        <v>0.09</v>
      </c>
      <c r="CP163" s="173">
        <f t="shared" si="15"/>
        <v>0.09</v>
      </c>
      <c r="CQ163" s="174">
        <f t="shared" si="16"/>
        <v>0.09</v>
      </c>
      <c r="CR163" s="173">
        <f t="shared" si="16"/>
        <v>0.09</v>
      </c>
      <c r="CS163" s="173">
        <f t="shared" si="17"/>
        <v>0.09</v>
      </c>
      <c r="CT163" s="173">
        <f t="shared" si="17"/>
        <v>0.09</v>
      </c>
      <c r="CU163" s="173">
        <f t="shared" si="17"/>
        <v>0.09</v>
      </c>
      <c r="CV163" s="173">
        <f t="shared" si="17"/>
        <v>0.09</v>
      </c>
      <c r="CW163" s="175">
        <f t="shared" si="17"/>
        <v>0.08</v>
      </c>
    </row>
    <row r="164" spans="1:101" ht="12.75">
      <c r="A164" s="2">
        <v>0.23</v>
      </c>
      <c r="B164" s="172">
        <v>1.58</v>
      </c>
      <c r="C164" s="173">
        <v>1.14</v>
      </c>
      <c r="D164" s="173">
        <v>0.96</v>
      </c>
      <c r="E164" s="174">
        <v>0.82</v>
      </c>
      <c r="F164" s="173">
        <v>0.73</v>
      </c>
      <c r="G164" s="173">
        <v>0.67</v>
      </c>
      <c r="H164" s="173">
        <v>0.61</v>
      </c>
      <c r="I164" s="173">
        <v>0.56</v>
      </c>
      <c r="J164" s="174">
        <v>0.53</v>
      </c>
      <c r="K164" s="173">
        <v>0.5</v>
      </c>
      <c r="L164" s="173">
        <v>0.48</v>
      </c>
      <c r="M164" s="173">
        <v>0.46</v>
      </c>
      <c r="N164" s="173">
        <v>0.44</v>
      </c>
      <c r="O164" s="174">
        <v>0.42</v>
      </c>
      <c r="P164" s="173">
        <f t="shared" si="27"/>
        <v>0.39999999999999997</v>
      </c>
      <c r="Q164" s="173">
        <f t="shared" si="27"/>
        <v>0.38</v>
      </c>
      <c r="R164" s="173">
        <v>0.37</v>
      </c>
      <c r="S164" s="173">
        <v>0.35</v>
      </c>
      <c r="T164" s="174">
        <v>0.33</v>
      </c>
      <c r="U164" s="173">
        <v>0.31</v>
      </c>
      <c r="V164" s="173">
        <f>V163-0.01</f>
        <v>0.3</v>
      </c>
      <c r="W164" s="173">
        <v>0.3</v>
      </c>
      <c r="X164" s="173">
        <v>0.29</v>
      </c>
      <c r="Y164" s="174">
        <v>0.28</v>
      </c>
      <c r="Z164" s="173">
        <v>0.27</v>
      </c>
      <c r="AA164" s="173">
        <v>0.26</v>
      </c>
      <c r="AB164" s="173">
        <f t="shared" si="19"/>
        <v>0.26</v>
      </c>
      <c r="AC164" s="173">
        <f t="shared" si="3"/>
        <v>0.25</v>
      </c>
      <c r="AD164" s="174">
        <f t="shared" si="3"/>
        <v>0.24</v>
      </c>
      <c r="AE164" s="173">
        <v>0.23</v>
      </c>
      <c r="AF164" s="173">
        <f t="shared" si="3"/>
        <v>0.23</v>
      </c>
      <c r="AG164" s="173">
        <v>0.22</v>
      </c>
      <c r="AH164" s="173">
        <f t="shared" si="4"/>
        <v>0.22</v>
      </c>
      <c r="AI164" s="174">
        <v>0.21</v>
      </c>
      <c r="AJ164" s="173">
        <f t="shared" si="5"/>
        <v>0.21</v>
      </c>
      <c r="AK164" s="173">
        <v>0.2</v>
      </c>
      <c r="AL164" s="173">
        <f t="shared" si="6"/>
        <v>0.2</v>
      </c>
      <c r="AM164" s="173">
        <v>0.19</v>
      </c>
      <c r="AN164" s="174">
        <f t="shared" si="7"/>
        <v>0.19</v>
      </c>
      <c r="AO164" s="173">
        <v>0.18</v>
      </c>
      <c r="AP164" s="173">
        <f t="shared" si="8"/>
        <v>0.18</v>
      </c>
      <c r="AQ164" s="173">
        <f t="shared" si="9"/>
        <v>0.18</v>
      </c>
      <c r="AR164" s="173">
        <v>0.17</v>
      </c>
      <c r="AS164" s="174">
        <f t="shared" si="9"/>
        <v>0.17</v>
      </c>
      <c r="AT164" s="173">
        <f t="shared" si="9"/>
        <v>0.17</v>
      </c>
      <c r="AU164" s="173">
        <v>0.16</v>
      </c>
      <c r="AV164" s="173">
        <f t="shared" si="9"/>
        <v>0.16</v>
      </c>
      <c r="AW164" s="173">
        <f t="shared" si="10"/>
        <v>0.16</v>
      </c>
      <c r="AX164" s="174">
        <v>0.15</v>
      </c>
      <c r="AY164" s="173">
        <f t="shared" si="10"/>
        <v>0.15</v>
      </c>
      <c r="AZ164" s="173">
        <f t="shared" si="10"/>
        <v>0.15</v>
      </c>
      <c r="BA164" s="173">
        <f t="shared" si="10"/>
        <v>0.15</v>
      </c>
      <c r="BB164" s="173">
        <f t="shared" si="11"/>
        <v>0.15</v>
      </c>
      <c r="BC164" s="174">
        <f t="shared" si="11"/>
        <v>0.15</v>
      </c>
      <c r="BD164" s="173">
        <v>0.14</v>
      </c>
      <c r="BE164" s="173">
        <f t="shared" si="11"/>
        <v>0.14</v>
      </c>
      <c r="BF164" s="173">
        <f t="shared" si="11"/>
        <v>0.14</v>
      </c>
      <c r="BG164" s="173">
        <f t="shared" si="50"/>
        <v>0.14</v>
      </c>
      <c r="BH164" s="174">
        <f t="shared" si="44"/>
        <v>0.14</v>
      </c>
      <c r="BI164" s="173">
        <f t="shared" si="40"/>
        <v>0.14</v>
      </c>
      <c r="BJ164" s="173">
        <f t="shared" si="35"/>
        <v>0.14</v>
      </c>
      <c r="BK164" s="173">
        <f>BK163</f>
        <v>0.13</v>
      </c>
      <c r="BL164" s="173">
        <f>BL163</f>
        <v>0.13</v>
      </c>
      <c r="BM164" s="174">
        <v>0.13</v>
      </c>
      <c r="BN164" s="173">
        <f t="shared" si="41"/>
        <v>0.13</v>
      </c>
      <c r="BO164" s="173">
        <f t="shared" si="36"/>
        <v>0.13</v>
      </c>
      <c r="BP164" s="173">
        <f aca="true" t="shared" si="58" ref="BP164:BP172">BP163</f>
        <v>0.12</v>
      </c>
      <c r="BQ164" s="173">
        <f t="shared" si="54"/>
        <v>0.12</v>
      </c>
      <c r="BR164" s="174">
        <f t="shared" si="47"/>
        <v>0.12</v>
      </c>
      <c r="BS164" s="173">
        <f t="shared" si="42"/>
        <v>0.12</v>
      </c>
      <c r="BT164" s="173">
        <f t="shared" si="13"/>
        <v>0.12</v>
      </c>
      <c r="BU164" s="173">
        <f t="shared" si="13"/>
        <v>0.12</v>
      </c>
      <c r="BV164" s="173">
        <v>0.11</v>
      </c>
      <c r="BW164" s="174">
        <f t="shared" si="13"/>
        <v>0.11</v>
      </c>
      <c r="BX164" s="173">
        <f t="shared" si="23"/>
        <v>0.11</v>
      </c>
      <c r="BY164" s="173">
        <f t="shared" si="55"/>
        <v>0.11</v>
      </c>
      <c r="BZ164" s="173">
        <f t="shared" si="51"/>
        <v>0.11</v>
      </c>
      <c r="CA164" s="173">
        <f t="shared" si="48"/>
        <v>0.11</v>
      </c>
      <c r="CB164" s="174">
        <f t="shared" si="45"/>
        <v>0.11</v>
      </c>
      <c r="CC164" s="173">
        <f t="shared" si="43"/>
        <v>0.11</v>
      </c>
      <c r="CD164" s="173">
        <f t="shared" si="38"/>
        <v>0.11</v>
      </c>
      <c r="CE164" s="173">
        <v>0.1</v>
      </c>
      <c r="CF164" s="173">
        <f t="shared" si="56"/>
        <v>0.1</v>
      </c>
      <c r="CG164" s="174">
        <f t="shared" si="52"/>
        <v>0.1</v>
      </c>
      <c r="CH164" s="173">
        <f t="shared" si="46"/>
        <v>0.1</v>
      </c>
      <c r="CI164" s="173">
        <f t="shared" si="39"/>
        <v>0.1</v>
      </c>
      <c r="CJ164" s="173">
        <f t="shared" si="31"/>
        <v>0.1</v>
      </c>
      <c r="CK164" s="173">
        <f>CK163</f>
        <v>0.1</v>
      </c>
      <c r="CL164" s="174">
        <v>0.09</v>
      </c>
      <c r="CM164" s="173">
        <f t="shared" si="57"/>
        <v>0.09</v>
      </c>
      <c r="CN164" s="173">
        <f t="shared" si="53"/>
        <v>0.09</v>
      </c>
      <c r="CO164" s="173">
        <f t="shared" si="15"/>
        <v>0.09</v>
      </c>
      <c r="CP164" s="173">
        <f t="shared" si="15"/>
        <v>0.09</v>
      </c>
      <c r="CQ164" s="174">
        <f t="shared" si="16"/>
        <v>0.09</v>
      </c>
      <c r="CR164" s="173">
        <f t="shared" si="16"/>
        <v>0.09</v>
      </c>
      <c r="CS164" s="173">
        <f t="shared" si="17"/>
        <v>0.09</v>
      </c>
      <c r="CT164" s="173">
        <f t="shared" si="17"/>
        <v>0.09</v>
      </c>
      <c r="CU164" s="173">
        <f t="shared" si="17"/>
        <v>0.09</v>
      </c>
      <c r="CV164" s="173">
        <v>0.08</v>
      </c>
      <c r="CW164" s="175">
        <f t="shared" si="17"/>
        <v>0.08</v>
      </c>
    </row>
    <row r="165" spans="1:101" ht="13.5" thickBot="1">
      <c r="A165" s="2">
        <v>0.24</v>
      </c>
      <c r="B165" s="176">
        <v>1.58</v>
      </c>
      <c r="C165" s="177">
        <v>1.13</v>
      </c>
      <c r="D165" s="177">
        <v>0.95</v>
      </c>
      <c r="E165" s="178">
        <v>0.82</v>
      </c>
      <c r="F165" s="177">
        <v>0.73</v>
      </c>
      <c r="G165" s="177">
        <v>0.66</v>
      </c>
      <c r="H165" s="177">
        <v>0.61</v>
      </c>
      <c r="I165" s="177">
        <v>0.56</v>
      </c>
      <c r="J165" s="178">
        <v>0.52</v>
      </c>
      <c r="K165" s="179">
        <f t="shared" si="18"/>
        <v>0.49</v>
      </c>
      <c r="L165" s="177">
        <f t="shared" si="2"/>
        <v>0.47</v>
      </c>
      <c r="M165" s="177">
        <f t="shared" si="2"/>
        <v>0.45</v>
      </c>
      <c r="N165" s="177">
        <v>0.44</v>
      </c>
      <c r="O165" s="178">
        <v>0.42</v>
      </c>
      <c r="P165" s="179">
        <v>0.4</v>
      </c>
      <c r="Q165" s="177">
        <v>0.38</v>
      </c>
      <c r="R165" s="177">
        <f t="shared" si="27"/>
        <v>0.36</v>
      </c>
      <c r="S165" s="177">
        <f t="shared" si="27"/>
        <v>0.33999999999999997</v>
      </c>
      <c r="T165" s="178">
        <v>0.33</v>
      </c>
      <c r="U165" s="177">
        <v>0.31</v>
      </c>
      <c r="V165" s="177">
        <v>0.3</v>
      </c>
      <c r="W165" s="177">
        <f>W164-0.01</f>
        <v>0.29</v>
      </c>
      <c r="X165" s="177">
        <v>0.29</v>
      </c>
      <c r="Y165" s="178">
        <v>0.28</v>
      </c>
      <c r="Z165" s="179">
        <f t="shared" si="19"/>
        <v>0.27</v>
      </c>
      <c r="AA165" s="177">
        <f t="shared" si="19"/>
        <v>0.26</v>
      </c>
      <c r="AB165" s="177">
        <v>0.25</v>
      </c>
      <c r="AC165" s="177">
        <f t="shared" si="3"/>
        <v>0.25</v>
      </c>
      <c r="AD165" s="178">
        <f t="shared" si="3"/>
        <v>0.24</v>
      </c>
      <c r="AE165" s="177">
        <f t="shared" si="3"/>
        <v>0.23</v>
      </c>
      <c r="AF165" s="177">
        <f t="shared" si="3"/>
        <v>0.23</v>
      </c>
      <c r="AG165" s="177">
        <f t="shared" si="4"/>
        <v>0.22</v>
      </c>
      <c r="AH165" s="177">
        <f t="shared" si="4"/>
        <v>0.22</v>
      </c>
      <c r="AI165" s="178">
        <f t="shared" si="5"/>
        <v>0.21</v>
      </c>
      <c r="AJ165" s="177">
        <f t="shared" si="5"/>
        <v>0.21</v>
      </c>
      <c r="AK165" s="177">
        <f t="shared" si="6"/>
        <v>0.2</v>
      </c>
      <c r="AL165" s="177">
        <f t="shared" si="6"/>
        <v>0.2</v>
      </c>
      <c r="AM165" s="177">
        <f t="shared" si="7"/>
        <v>0.19</v>
      </c>
      <c r="AN165" s="178">
        <f t="shared" si="7"/>
        <v>0.19</v>
      </c>
      <c r="AO165" s="177">
        <f t="shared" si="8"/>
        <v>0.18</v>
      </c>
      <c r="AP165" s="177">
        <f t="shared" si="8"/>
        <v>0.18</v>
      </c>
      <c r="AQ165" s="177">
        <f t="shared" si="9"/>
        <v>0.18</v>
      </c>
      <c r="AR165" s="177">
        <f t="shared" si="9"/>
        <v>0.17</v>
      </c>
      <c r="AS165" s="178">
        <f t="shared" si="9"/>
        <v>0.17</v>
      </c>
      <c r="AT165" s="177">
        <f t="shared" si="9"/>
        <v>0.17</v>
      </c>
      <c r="AU165" s="177">
        <f t="shared" si="9"/>
        <v>0.16</v>
      </c>
      <c r="AV165" s="177">
        <f t="shared" si="9"/>
        <v>0.16</v>
      </c>
      <c r="AW165" s="177">
        <f t="shared" si="10"/>
        <v>0.16</v>
      </c>
      <c r="AX165" s="178">
        <f t="shared" si="10"/>
        <v>0.15</v>
      </c>
      <c r="AY165" s="177">
        <f t="shared" si="10"/>
        <v>0.15</v>
      </c>
      <c r="AZ165" s="177">
        <f t="shared" si="10"/>
        <v>0.15</v>
      </c>
      <c r="BA165" s="177">
        <f t="shared" si="10"/>
        <v>0.15</v>
      </c>
      <c r="BB165" s="177">
        <f t="shared" si="11"/>
        <v>0.15</v>
      </c>
      <c r="BC165" s="178">
        <v>0.14</v>
      </c>
      <c r="BD165" s="177">
        <f t="shared" si="11"/>
        <v>0.14</v>
      </c>
      <c r="BE165" s="177">
        <f t="shared" si="11"/>
        <v>0.14</v>
      </c>
      <c r="BF165" s="177">
        <f t="shared" si="11"/>
        <v>0.14</v>
      </c>
      <c r="BG165" s="177">
        <f t="shared" si="50"/>
        <v>0.14</v>
      </c>
      <c r="BH165" s="178">
        <f t="shared" si="44"/>
        <v>0.14</v>
      </c>
      <c r="BI165" s="177">
        <f t="shared" si="40"/>
        <v>0.14</v>
      </c>
      <c r="BJ165" s="177">
        <v>0.13</v>
      </c>
      <c r="BK165" s="177">
        <f>BK164</f>
        <v>0.13</v>
      </c>
      <c r="BL165" s="177">
        <f>BL164</f>
        <v>0.13</v>
      </c>
      <c r="BM165" s="178">
        <f>BM164</f>
        <v>0.13</v>
      </c>
      <c r="BN165" s="177">
        <f t="shared" si="41"/>
        <v>0.13</v>
      </c>
      <c r="BO165" s="177">
        <v>0.12</v>
      </c>
      <c r="BP165" s="177">
        <f t="shared" si="58"/>
        <v>0.12</v>
      </c>
      <c r="BQ165" s="177">
        <f t="shared" si="54"/>
        <v>0.12</v>
      </c>
      <c r="BR165" s="178">
        <f t="shared" si="47"/>
        <v>0.12</v>
      </c>
      <c r="BS165" s="177">
        <f t="shared" si="42"/>
        <v>0.12</v>
      </c>
      <c r="BT165" s="177">
        <f t="shared" si="13"/>
        <v>0.12</v>
      </c>
      <c r="BU165" s="177">
        <v>0.11</v>
      </c>
      <c r="BV165" s="177">
        <f t="shared" si="13"/>
        <v>0.11</v>
      </c>
      <c r="BW165" s="178">
        <f t="shared" si="13"/>
        <v>0.11</v>
      </c>
      <c r="BX165" s="177">
        <f t="shared" si="23"/>
        <v>0.11</v>
      </c>
      <c r="BY165" s="177">
        <f t="shared" si="55"/>
        <v>0.11</v>
      </c>
      <c r="BZ165" s="177">
        <f t="shared" si="51"/>
        <v>0.11</v>
      </c>
      <c r="CA165" s="177">
        <f t="shared" si="48"/>
        <v>0.11</v>
      </c>
      <c r="CB165" s="178">
        <f t="shared" si="45"/>
        <v>0.11</v>
      </c>
      <c r="CC165" s="177">
        <f t="shared" si="43"/>
        <v>0.11</v>
      </c>
      <c r="CD165" s="177">
        <v>0.1</v>
      </c>
      <c r="CE165" s="177">
        <f>CE164</f>
        <v>0.1</v>
      </c>
      <c r="CF165" s="177">
        <f t="shared" si="56"/>
        <v>0.1</v>
      </c>
      <c r="CG165" s="178">
        <f t="shared" si="52"/>
        <v>0.1</v>
      </c>
      <c r="CH165" s="177">
        <f t="shared" si="46"/>
        <v>0.1</v>
      </c>
      <c r="CI165" s="177">
        <f t="shared" si="39"/>
        <v>0.1</v>
      </c>
      <c r="CJ165" s="177">
        <f t="shared" si="31"/>
        <v>0.1</v>
      </c>
      <c r="CK165" s="177">
        <f>CK164</f>
        <v>0.1</v>
      </c>
      <c r="CL165" s="178">
        <f>CL164</f>
        <v>0.09</v>
      </c>
      <c r="CM165" s="177">
        <f t="shared" si="57"/>
        <v>0.09</v>
      </c>
      <c r="CN165" s="177">
        <f t="shared" si="53"/>
        <v>0.09</v>
      </c>
      <c r="CO165" s="177">
        <f t="shared" si="15"/>
        <v>0.09</v>
      </c>
      <c r="CP165" s="177">
        <f t="shared" si="15"/>
        <v>0.09</v>
      </c>
      <c r="CQ165" s="178">
        <f t="shared" si="16"/>
        <v>0.09</v>
      </c>
      <c r="CR165" s="177">
        <f t="shared" si="16"/>
        <v>0.09</v>
      </c>
      <c r="CS165" s="177">
        <f t="shared" si="17"/>
        <v>0.09</v>
      </c>
      <c r="CT165" s="177">
        <f t="shared" si="17"/>
        <v>0.09</v>
      </c>
      <c r="CU165" s="177">
        <f t="shared" si="17"/>
        <v>0.09</v>
      </c>
      <c r="CV165" s="177">
        <f t="shared" si="17"/>
        <v>0.08</v>
      </c>
      <c r="CW165" s="180">
        <f t="shared" si="17"/>
        <v>0.08</v>
      </c>
    </row>
    <row r="166" spans="1:101" ht="12.75">
      <c r="A166" s="2">
        <v>0.25</v>
      </c>
      <c r="B166" s="172">
        <v>1.57</v>
      </c>
      <c r="C166" s="173">
        <v>1.12</v>
      </c>
      <c r="D166" s="173">
        <v>0.94</v>
      </c>
      <c r="E166" s="174">
        <v>0.81</v>
      </c>
      <c r="F166" s="173">
        <v>0.72</v>
      </c>
      <c r="G166" s="173">
        <v>0.65</v>
      </c>
      <c r="H166" s="173">
        <v>0.6</v>
      </c>
      <c r="I166" s="173">
        <v>0.55</v>
      </c>
      <c r="J166" s="174">
        <v>0.52</v>
      </c>
      <c r="K166" s="173">
        <v>0.49</v>
      </c>
      <c r="L166" s="173">
        <v>0.47</v>
      </c>
      <c r="M166" s="173">
        <v>0.45</v>
      </c>
      <c r="N166" s="173">
        <f t="shared" si="2"/>
        <v>0.43</v>
      </c>
      <c r="O166" s="174">
        <v>0.41</v>
      </c>
      <c r="P166" s="173">
        <v>0.4</v>
      </c>
      <c r="Q166" s="173">
        <v>0.38</v>
      </c>
      <c r="R166" s="173">
        <v>0.36</v>
      </c>
      <c r="S166" s="173">
        <v>0.34</v>
      </c>
      <c r="T166" s="174">
        <f>T165-0.01</f>
        <v>0.32</v>
      </c>
      <c r="U166" s="173">
        <f>U165-0.01</f>
        <v>0.3</v>
      </c>
      <c r="V166" s="173">
        <v>0.3</v>
      </c>
      <c r="W166" s="173">
        <v>0.29</v>
      </c>
      <c r="X166" s="173">
        <f>X165-0.01</f>
        <v>0.27999999999999997</v>
      </c>
      <c r="Y166" s="174">
        <v>0.28</v>
      </c>
      <c r="Z166" s="173">
        <f t="shared" si="19"/>
        <v>0.27</v>
      </c>
      <c r="AA166" s="173">
        <f t="shared" si="19"/>
        <v>0.26</v>
      </c>
      <c r="AB166" s="173">
        <f t="shared" si="19"/>
        <v>0.25</v>
      </c>
      <c r="AC166" s="173">
        <f t="shared" si="3"/>
        <v>0.25</v>
      </c>
      <c r="AD166" s="174">
        <f t="shared" si="3"/>
        <v>0.24</v>
      </c>
      <c r="AE166" s="173">
        <f t="shared" si="3"/>
        <v>0.23</v>
      </c>
      <c r="AF166" s="173">
        <f t="shared" si="3"/>
        <v>0.23</v>
      </c>
      <c r="AG166" s="173">
        <f t="shared" si="4"/>
        <v>0.22</v>
      </c>
      <c r="AH166" s="173">
        <f t="shared" si="4"/>
        <v>0.22</v>
      </c>
      <c r="AI166" s="174">
        <f t="shared" si="5"/>
        <v>0.21</v>
      </c>
      <c r="AJ166" s="173">
        <f t="shared" si="5"/>
        <v>0.21</v>
      </c>
      <c r="AK166" s="173">
        <f t="shared" si="6"/>
        <v>0.2</v>
      </c>
      <c r="AL166" s="173">
        <f t="shared" si="6"/>
        <v>0.2</v>
      </c>
      <c r="AM166" s="173">
        <f t="shared" si="7"/>
        <v>0.19</v>
      </c>
      <c r="AN166" s="174">
        <f t="shared" si="7"/>
        <v>0.19</v>
      </c>
      <c r="AO166" s="173">
        <f t="shared" si="8"/>
        <v>0.18</v>
      </c>
      <c r="AP166" s="173">
        <f t="shared" si="8"/>
        <v>0.18</v>
      </c>
      <c r="AQ166" s="173">
        <v>0.17</v>
      </c>
      <c r="AR166" s="173">
        <f t="shared" si="9"/>
        <v>0.17</v>
      </c>
      <c r="AS166" s="174">
        <f t="shared" si="9"/>
        <v>0.17</v>
      </c>
      <c r="AT166" s="173">
        <v>0.16</v>
      </c>
      <c r="AU166" s="173">
        <f t="shared" si="9"/>
        <v>0.16</v>
      </c>
      <c r="AV166" s="173">
        <f t="shared" si="9"/>
        <v>0.16</v>
      </c>
      <c r="AW166" s="173">
        <v>0.15</v>
      </c>
      <c r="AX166" s="174">
        <f t="shared" si="10"/>
        <v>0.15</v>
      </c>
      <c r="AY166" s="173">
        <f t="shared" si="10"/>
        <v>0.15</v>
      </c>
      <c r="AZ166" s="173">
        <f t="shared" si="10"/>
        <v>0.15</v>
      </c>
      <c r="BA166" s="173">
        <f t="shared" si="10"/>
        <v>0.15</v>
      </c>
      <c r="BB166" s="173">
        <v>0.14</v>
      </c>
      <c r="BC166" s="174">
        <f t="shared" si="11"/>
        <v>0.14</v>
      </c>
      <c r="BD166" s="173">
        <f t="shared" si="11"/>
        <v>0.14</v>
      </c>
      <c r="BE166" s="173">
        <f t="shared" si="11"/>
        <v>0.14</v>
      </c>
      <c r="BF166" s="173">
        <f t="shared" si="11"/>
        <v>0.14</v>
      </c>
      <c r="BG166" s="173">
        <f t="shared" si="50"/>
        <v>0.14</v>
      </c>
      <c r="BH166" s="174">
        <f t="shared" si="44"/>
        <v>0.14</v>
      </c>
      <c r="BI166" s="173">
        <f t="shared" si="40"/>
        <v>0.14</v>
      </c>
      <c r="BJ166" s="173">
        <f>BJ165</f>
        <v>0.13</v>
      </c>
      <c r="BK166" s="173">
        <f>BK165</f>
        <v>0.13</v>
      </c>
      <c r="BL166" s="173">
        <v>0.13</v>
      </c>
      <c r="BM166" s="174">
        <f>BM165</f>
        <v>0.13</v>
      </c>
      <c r="BN166" s="173">
        <f t="shared" si="41"/>
        <v>0.13</v>
      </c>
      <c r="BO166" s="173">
        <f aca="true" t="shared" si="59" ref="BO166:BO173">BO165</f>
        <v>0.12</v>
      </c>
      <c r="BP166" s="173">
        <f t="shared" si="58"/>
        <v>0.12</v>
      </c>
      <c r="BQ166" s="173">
        <f t="shared" si="54"/>
        <v>0.12</v>
      </c>
      <c r="BR166" s="174">
        <f t="shared" si="47"/>
        <v>0.12</v>
      </c>
      <c r="BS166" s="173">
        <f t="shared" si="42"/>
        <v>0.12</v>
      </c>
      <c r="BT166" s="173">
        <v>0.11</v>
      </c>
      <c r="BU166" s="173">
        <f t="shared" si="13"/>
        <v>0.11</v>
      </c>
      <c r="BV166" s="173">
        <f t="shared" si="13"/>
        <v>0.11</v>
      </c>
      <c r="BW166" s="174">
        <f t="shared" si="13"/>
        <v>0.11</v>
      </c>
      <c r="BX166" s="173">
        <f t="shared" si="23"/>
        <v>0.11</v>
      </c>
      <c r="BY166" s="173">
        <f t="shared" si="55"/>
        <v>0.11</v>
      </c>
      <c r="BZ166" s="173">
        <f t="shared" si="51"/>
        <v>0.11</v>
      </c>
      <c r="CA166" s="173">
        <f t="shared" si="48"/>
        <v>0.11</v>
      </c>
      <c r="CB166" s="174">
        <f t="shared" si="45"/>
        <v>0.11</v>
      </c>
      <c r="CC166" s="173">
        <f t="shared" si="43"/>
        <v>0.11</v>
      </c>
      <c r="CD166" s="173">
        <f>CD165</f>
        <v>0.1</v>
      </c>
      <c r="CE166" s="173">
        <f>CE165</f>
        <v>0.1</v>
      </c>
      <c r="CF166" s="173">
        <f t="shared" si="56"/>
        <v>0.1</v>
      </c>
      <c r="CG166" s="174">
        <f t="shared" si="52"/>
        <v>0.1</v>
      </c>
      <c r="CH166" s="173">
        <f t="shared" si="46"/>
        <v>0.1</v>
      </c>
      <c r="CI166" s="173">
        <f t="shared" si="39"/>
        <v>0.1</v>
      </c>
      <c r="CJ166" s="173">
        <f t="shared" si="31"/>
        <v>0.1</v>
      </c>
      <c r="CK166" s="173">
        <v>0.09</v>
      </c>
      <c r="CL166" s="174">
        <f>CL165</f>
        <v>0.09</v>
      </c>
      <c r="CM166" s="173">
        <f t="shared" si="57"/>
        <v>0.09</v>
      </c>
      <c r="CN166" s="173">
        <f t="shared" si="53"/>
        <v>0.09</v>
      </c>
      <c r="CO166" s="173">
        <f t="shared" si="15"/>
        <v>0.09</v>
      </c>
      <c r="CP166" s="173">
        <f t="shared" si="15"/>
        <v>0.09</v>
      </c>
      <c r="CQ166" s="174">
        <f t="shared" si="16"/>
        <v>0.09</v>
      </c>
      <c r="CR166" s="173">
        <f t="shared" si="16"/>
        <v>0.09</v>
      </c>
      <c r="CS166" s="173">
        <f t="shared" si="17"/>
        <v>0.09</v>
      </c>
      <c r="CT166" s="173">
        <f t="shared" si="17"/>
        <v>0.09</v>
      </c>
      <c r="CU166" s="173">
        <v>0.08</v>
      </c>
      <c r="CV166" s="173">
        <f t="shared" si="17"/>
        <v>0.08</v>
      </c>
      <c r="CW166" s="175">
        <f t="shared" si="17"/>
        <v>0.08</v>
      </c>
    </row>
    <row r="167" spans="1:101" ht="12.75">
      <c r="A167" s="2">
        <v>0.26</v>
      </c>
      <c r="B167" s="172">
        <v>1.57</v>
      </c>
      <c r="C167" s="173">
        <v>1.11</v>
      </c>
      <c r="D167" s="173">
        <v>0.93</v>
      </c>
      <c r="E167" s="174">
        <v>0.8</v>
      </c>
      <c r="F167" s="173">
        <v>0.71</v>
      </c>
      <c r="G167" s="173">
        <v>0.65</v>
      </c>
      <c r="H167" s="173">
        <v>0.59</v>
      </c>
      <c r="I167" s="173">
        <v>0.54</v>
      </c>
      <c r="J167" s="174">
        <v>0.51</v>
      </c>
      <c r="K167" s="173">
        <f t="shared" si="18"/>
        <v>0.48</v>
      </c>
      <c r="L167" s="173">
        <f t="shared" si="2"/>
        <v>0.45999999999999996</v>
      </c>
      <c r="M167" s="173">
        <f t="shared" si="2"/>
        <v>0.44</v>
      </c>
      <c r="N167" s="173">
        <v>0.43</v>
      </c>
      <c r="O167" s="174">
        <v>0.41</v>
      </c>
      <c r="P167" s="173">
        <f t="shared" si="27"/>
        <v>0.39</v>
      </c>
      <c r="Q167" s="173">
        <f t="shared" si="27"/>
        <v>0.37</v>
      </c>
      <c r="R167" s="173">
        <v>0.36</v>
      </c>
      <c r="S167" s="173">
        <v>0.34</v>
      </c>
      <c r="T167" s="174">
        <v>0.32</v>
      </c>
      <c r="U167" s="173">
        <v>0.3</v>
      </c>
      <c r="V167" s="173">
        <f>V166-0.01</f>
        <v>0.29</v>
      </c>
      <c r="W167" s="173">
        <v>0.29</v>
      </c>
      <c r="X167" s="173">
        <v>0.28</v>
      </c>
      <c r="Y167" s="174">
        <f>Y166-0.01</f>
        <v>0.27</v>
      </c>
      <c r="Z167" s="173">
        <f t="shared" si="19"/>
        <v>0.27</v>
      </c>
      <c r="AA167" s="173">
        <f t="shared" si="19"/>
        <v>0.26</v>
      </c>
      <c r="AB167" s="173">
        <f t="shared" si="19"/>
        <v>0.25</v>
      </c>
      <c r="AC167" s="173">
        <v>0.24</v>
      </c>
      <c r="AD167" s="174">
        <f t="shared" si="3"/>
        <v>0.24</v>
      </c>
      <c r="AE167" s="173">
        <f t="shared" si="3"/>
        <v>0.23</v>
      </c>
      <c r="AF167" s="173">
        <v>0.22</v>
      </c>
      <c r="AG167" s="173">
        <f t="shared" si="4"/>
        <v>0.22</v>
      </c>
      <c r="AH167" s="173">
        <v>0.21</v>
      </c>
      <c r="AI167" s="174">
        <f t="shared" si="5"/>
        <v>0.21</v>
      </c>
      <c r="AJ167" s="173">
        <v>0.2</v>
      </c>
      <c r="AK167" s="173">
        <f t="shared" si="6"/>
        <v>0.2</v>
      </c>
      <c r="AL167" s="173">
        <v>0.19</v>
      </c>
      <c r="AM167" s="173">
        <f t="shared" si="7"/>
        <v>0.19</v>
      </c>
      <c r="AN167" s="174">
        <v>0.18</v>
      </c>
      <c r="AO167" s="173">
        <f t="shared" si="8"/>
        <v>0.18</v>
      </c>
      <c r="AP167" s="173">
        <v>0.17</v>
      </c>
      <c r="AQ167" s="173">
        <f t="shared" si="9"/>
        <v>0.17</v>
      </c>
      <c r="AR167" s="173">
        <f t="shared" si="9"/>
        <v>0.17</v>
      </c>
      <c r="AS167" s="174">
        <f t="shared" si="9"/>
        <v>0.17</v>
      </c>
      <c r="AT167" s="173">
        <f t="shared" si="9"/>
        <v>0.16</v>
      </c>
      <c r="AU167" s="173">
        <f t="shared" si="9"/>
        <v>0.16</v>
      </c>
      <c r="AV167" s="173">
        <f t="shared" si="9"/>
        <v>0.16</v>
      </c>
      <c r="AW167" s="173">
        <f t="shared" si="10"/>
        <v>0.15</v>
      </c>
      <c r="AX167" s="174">
        <f t="shared" si="10"/>
        <v>0.15</v>
      </c>
      <c r="AY167" s="173">
        <f t="shared" si="10"/>
        <v>0.15</v>
      </c>
      <c r="AZ167" s="173">
        <v>0.14</v>
      </c>
      <c r="BA167" s="173">
        <v>0.14</v>
      </c>
      <c r="BB167" s="173">
        <f t="shared" si="11"/>
        <v>0.14</v>
      </c>
      <c r="BC167" s="174">
        <f t="shared" si="11"/>
        <v>0.14</v>
      </c>
      <c r="BD167" s="173">
        <f t="shared" si="11"/>
        <v>0.14</v>
      </c>
      <c r="BE167" s="173">
        <f t="shared" si="11"/>
        <v>0.14</v>
      </c>
      <c r="BF167" s="173">
        <f t="shared" si="11"/>
        <v>0.14</v>
      </c>
      <c r="BG167" s="173">
        <f t="shared" si="50"/>
        <v>0.14</v>
      </c>
      <c r="BH167" s="174">
        <f t="shared" si="44"/>
        <v>0.14</v>
      </c>
      <c r="BI167" s="173">
        <v>0.13</v>
      </c>
      <c r="BJ167" s="173">
        <f>BJ166</f>
        <v>0.13</v>
      </c>
      <c r="BK167" s="173">
        <f>BK166</f>
        <v>0.13</v>
      </c>
      <c r="BL167" s="173">
        <f>BL166</f>
        <v>0.13</v>
      </c>
      <c r="BM167" s="174">
        <f>BM166</f>
        <v>0.13</v>
      </c>
      <c r="BN167" s="173">
        <v>0.12</v>
      </c>
      <c r="BO167" s="173">
        <f t="shared" si="59"/>
        <v>0.12</v>
      </c>
      <c r="BP167" s="173">
        <f t="shared" si="58"/>
        <v>0.12</v>
      </c>
      <c r="BQ167" s="173">
        <f t="shared" si="54"/>
        <v>0.12</v>
      </c>
      <c r="BR167" s="174">
        <f t="shared" si="47"/>
        <v>0.12</v>
      </c>
      <c r="BS167" s="173">
        <v>0.11</v>
      </c>
      <c r="BT167" s="173">
        <f t="shared" si="13"/>
        <v>0.11</v>
      </c>
      <c r="BU167" s="173">
        <f t="shared" si="13"/>
        <v>0.11</v>
      </c>
      <c r="BV167" s="173">
        <f t="shared" si="13"/>
        <v>0.11</v>
      </c>
      <c r="BW167" s="174">
        <f t="shared" si="13"/>
        <v>0.11</v>
      </c>
      <c r="BX167" s="173">
        <f t="shared" si="23"/>
        <v>0.11</v>
      </c>
      <c r="BY167" s="173">
        <f t="shared" si="55"/>
        <v>0.11</v>
      </c>
      <c r="BZ167" s="173">
        <f t="shared" si="51"/>
        <v>0.11</v>
      </c>
      <c r="CA167" s="173">
        <f t="shared" si="48"/>
        <v>0.11</v>
      </c>
      <c r="CB167" s="174">
        <f t="shared" si="45"/>
        <v>0.11</v>
      </c>
      <c r="CC167" s="173">
        <v>0.1</v>
      </c>
      <c r="CD167" s="173">
        <f>CD166</f>
        <v>0.1</v>
      </c>
      <c r="CE167" s="173">
        <f>CE166</f>
        <v>0.1</v>
      </c>
      <c r="CF167" s="173">
        <f t="shared" si="56"/>
        <v>0.1</v>
      </c>
      <c r="CG167" s="174">
        <f t="shared" si="52"/>
        <v>0.1</v>
      </c>
      <c r="CH167" s="173">
        <f t="shared" si="46"/>
        <v>0.1</v>
      </c>
      <c r="CI167" s="173">
        <f t="shared" si="39"/>
        <v>0.1</v>
      </c>
      <c r="CJ167" s="173">
        <f t="shared" si="31"/>
        <v>0.1</v>
      </c>
      <c r="CK167" s="173">
        <f>CK166</f>
        <v>0.09</v>
      </c>
      <c r="CL167" s="174">
        <f>CL166</f>
        <v>0.09</v>
      </c>
      <c r="CM167" s="173">
        <f t="shared" si="57"/>
        <v>0.09</v>
      </c>
      <c r="CN167" s="173">
        <f t="shared" si="53"/>
        <v>0.09</v>
      </c>
      <c r="CO167" s="173">
        <f t="shared" si="15"/>
        <v>0.09</v>
      </c>
      <c r="CP167" s="173">
        <f t="shared" si="15"/>
        <v>0.09</v>
      </c>
      <c r="CQ167" s="174">
        <f t="shared" si="16"/>
        <v>0.09</v>
      </c>
      <c r="CR167" s="173">
        <f t="shared" si="16"/>
        <v>0.09</v>
      </c>
      <c r="CS167" s="173">
        <f t="shared" si="17"/>
        <v>0.09</v>
      </c>
      <c r="CT167" s="173">
        <f t="shared" si="17"/>
        <v>0.09</v>
      </c>
      <c r="CU167" s="173">
        <f t="shared" si="17"/>
        <v>0.08</v>
      </c>
      <c r="CV167" s="173">
        <f t="shared" si="17"/>
        <v>0.08</v>
      </c>
      <c r="CW167" s="175">
        <f t="shared" si="17"/>
        <v>0.08</v>
      </c>
    </row>
    <row r="168" spans="1:101" ht="12.75">
      <c r="A168" s="2">
        <v>0.27</v>
      </c>
      <c r="B168" s="172">
        <v>1.57</v>
      </c>
      <c r="C168" s="173">
        <v>1.11</v>
      </c>
      <c r="D168" s="173">
        <v>0.92</v>
      </c>
      <c r="E168" s="174">
        <v>0.79</v>
      </c>
      <c r="F168" s="173">
        <v>0.7</v>
      </c>
      <c r="G168" s="173">
        <v>0.64</v>
      </c>
      <c r="H168" s="173">
        <v>0.59</v>
      </c>
      <c r="I168" s="173">
        <v>0.54</v>
      </c>
      <c r="J168" s="174">
        <v>0.51</v>
      </c>
      <c r="K168" s="173">
        <v>0.48</v>
      </c>
      <c r="L168" s="173">
        <v>0.46</v>
      </c>
      <c r="M168" s="173">
        <v>0.44</v>
      </c>
      <c r="N168" s="173">
        <f t="shared" si="2"/>
        <v>0.42</v>
      </c>
      <c r="O168" s="174">
        <v>0.4</v>
      </c>
      <c r="P168" s="173">
        <v>0.39</v>
      </c>
      <c r="Q168" s="173">
        <v>0.37</v>
      </c>
      <c r="R168" s="173">
        <f t="shared" si="27"/>
        <v>0.35</v>
      </c>
      <c r="S168" s="173">
        <f t="shared" si="27"/>
        <v>0.33</v>
      </c>
      <c r="T168" s="174">
        <v>0.32</v>
      </c>
      <c r="U168" s="173">
        <v>0.3</v>
      </c>
      <c r="V168" s="173">
        <v>0.29</v>
      </c>
      <c r="W168" s="173">
        <f>W167-0.01</f>
        <v>0.27999999999999997</v>
      </c>
      <c r="X168" s="173">
        <v>0.28</v>
      </c>
      <c r="Y168" s="174">
        <v>0.27</v>
      </c>
      <c r="Z168" s="173">
        <v>0.26</v>
      </c>
      <c r="AA168" s="173">
        <f t="shared" si="19"/>
        <v>0.26</v>
      </c>
      <c r="AB168" s="173">
        <f t="shared" si="19"/>
        <v>0.25</v>
      </c>
      <c r="AC168" s="173">
        <f t="shared" si="3"/>
        <v>0.24</v>
      </c>
      <c r="AD168" s="174">
        <v>0.23</v>
      </c>
      <c r="AE168" s="173">
        <f t="shared" si="3"/>
        <v>0.23</v>
      </c>
      <c r="AF168" s="173">
        <f t="shared" si="3"/>
        <v>0.22</v>
      </c>
      <c r="AG168" s="173">
        <f t="shared" si="4"/>
        <v>0.22</v>
      </c>
      <c r="AH168" s="173">
        <f t="shared" si="4"/>
        <v>0.21</v>
      </c>
      <c r="AI168" s="174">
        <f t="shared" si="5"/>
        <v>0.21</v>
      </c>
      <c r="AJ168" s="173">
        <f t="shared" si="5"/>
        <v>0.2</v>
      </c>
      <c r="AK168" s="173">
        <f t="shared" si="6"/>
        <v>0.2</v>
      </c>
      <c r="AL168" s="173">
        <f t="shared" si="6"/>
        <v>0.19</v>
      </c>
      <c r="AM168" s="173">
        <f t="shared" si="7"/>
        <v>0.19</v>
      </c>
      <c r="AN168" s="174">
        <f t="shared" si="7"/>
        <v>0.18</v>
      </c>
      <c r="AO168" s="173">
        <f t="shared" si="8"/>
        <v>0.18</v>
      </c>
      <c r="AP168" s="173">
        <f t="shared" si="8"/>
        <v>0.17</v>
      </c>
      <c r="AQ168" s="173">
        <f t="shared" si="9"/>
        <v>0.17</v>
      </c>
      <c r="AR168" s="173">
        <f t="shared" si="9"/>
        <v>0.17</v>
      </c>
      <c r="AS168" s="174">
        <v>0.16</v>
      </c>
      <c r="AT168" s="173">
        <f t="shared" si="9"/>
        <v>0.16</v>
      </c>
      <c r="AU168" s="173">
        <f t="shared" si="9"/>
        <v>0.16</v>
      </c>
      <c r="AV168" s="173">
        <v>0.15</v>
      </c>
      <c r="AW168" s="173">
        <f t="shared" si="10"/>
        <v>0.15</v>
      </c>
      <c r="AX168" s="174">
        <f t="shared" si="10"/>
        <v>0.15</v>
      </c>
      <c r="AY168" s="173">
        <v>0.14</v>
      </c>
      <c r="AZ168" s="173">
        <f t="shared" si="10"/>
        <v>0.14</v>
      </c>
      <c r="BA168" s="173">
        <f t="shared" si="10"/>
        <v>0.14</v>
      </c>
      <c r="BB168" s="173">
        <f t="shared" si="11"/>
        <v>0.14</v>
      </c>
      <c r="BC168" s="174">
        <f t="shared" si="11"/>
        <v>0.14</v>
      </c>
      <c r="BD168" s="173">
        <f t="shared" si="11"/>
        <v>0.14</v>
      </c>
      <c r="BE168" s="173">
        <f t="shared" si="11"/>
        <v>0.14</v>
      </c>
      <c r="BF168" s="173">
        <f t="shared" si="11"/>
        <v>0.14</v>
      </c>
      <c r="BG168" s="173">
        <f t="shared" si="50"/>
        <v>0.14</v>
      </c>
      <c r="BH168" s="174">
        <v>0.13</v>
      </c>
      <c r="BI168" s="173">
        <f>BI167</f>
        <v>0.13</v>
      </c>
      <c r="BJ168" s="173">
        <f>BJ167</f>
        <v>0.13</v>
      </c>
      <c r="BK168" s="173">
        <v>0.13</v>
      </c>
      <c r="BL168" s="173">
        <f>BL167</f>
        <v>0.13</v>
      </c>
      <c r="BM168" s="174">
        <f>BM167</f>
        <v>0.13</v>
      </c>
      <c r="BN168" s="173">
        <f aca="true" t="shared" si="60" ref="BN168:BN173">BN167</f>
        <v>0.12</v>
      </c>
      <c r="BO168" s="173">
        <f t="shared" si="59"/>
        <v>0.12</v>
      </c>
      <c r="BP168" s="173">
        <f t="shared" si="58"/>
        <v>0.12</v>
      </c>
      <c r="BQ168" s="173">
        <f t="shared" si="54"/>
        <v>0.12</v>
      </c>
      <c r="BR168" s="174">
        <f t="shared" si="47"/>
        <v>0.12</v>
      </c>
      <c r="BS168" s="173">
        <f aca="true" t="shared" si="61" ref="BS168:BS173">BS167</f>
        <v>0.11</v>
      </c>
      <c r="BT168" s="173">
        <f t="shared" si="13"/>
        <v>0.11</v>
      </c>
      <c r="BU168" s="173">
        <f t="shared" si="13"/>
        <v>0.11</v>
      </c>
      <c r="BV168" s="173">
        <f t="shared" si="13"/>
        <v>0.11</v>
      </c>
      <c r="BW168" s="174">
        <f t="shared" si="13"/>
        <v>0.11</v>
      </c>
      <c r="BX168" s="173">
        <f t="shared" si="23"/>
        <v>0.11</v>
      </c>
      <c r="BY168" s="173">
        <f t="shared" si="55"/>
        <v>0.11</v>
      </c>
      <c r="BZ168" s="173">
        <f t="shared" si="51"/>
        <v>0.11</v>
      </c>
      <c r="CA168" s="173">
        <f t="shared" si="48"/>
        <v>0.11</v>
      </c>
      <c r="CB168" s="174">
        <v>0.1</v>
      </c>
      <c r="CC168" s="173">
        <f>CC167</f>
        <v>0.1</v>
      </c>
      <c r="CD168" s="173">
        <f>CD167</f>
        <v>0.1</v>
      </c>
      <c r="CE168" s="173">
        <f>CE167</f>
        <v>0.1</v>
      </c>
      <c r="CF168" s="173">
        <f t="shared" si="56"/>
        <v>0.1</v>
      </c>
      <c r="CG168" s="174">
        <f t="shared" si="52"/>
        <v>0.1</v>
      </c>
      <c r="CH168" s="173">
        <f t="shared" si="46"/>
        <v>0.1</v>
      </c>
      <c r="CI168" s="173">
        <f t="shared" si="39"/>
        <v>0.1</v>
      </c>
      <c r="CJ168" s="173">
        <v>0.09</v>
      </c>
      <c r="CK168" s="173">
        <f>CK167</f>
        <v>0.09</v>
      </c>
      <c r="CL168" s="174">
        <f>CL167</f>
        <v>0.09</v>
      </c>
      <c r="CM168" s="173">
        <f t="shared" si="57"/>
        <v>0.09</v>
      </c>
      <c r="CN168" s="173">
        <f t="shared" si="53"/>
        <v>0.09</v>
      </c>
      <c r="CO168" s="173">
        <f t="shared" si="15"/>
        <v>0.09</v>
      </c>
      <c r="CP168" s="173">
        <f t="shared" si="15"/>
        <v>0.09</v>
      </c>
      <c r="CQ168" s="174">
        <f t="shared" si="16"/>
        <v>0.09</v>
      </c>
      <c r="CR168" s="173">
        <f t="shared" si="16"/>
        <v>0.09</v>
      </c>
      <c r="CS168" s="173">
        <f t="shared" si="17"/>
        <v>0.09</v>
      </c>
      <c r="CT168" s="173">
        <v>0.08</v>
      </c>
      <c r="CU168" s="173">
        <f t="shared" si="17"/>
        <v>0.08</v>
      </c>
      <c r="CV168" s="173">
        <f t="shared" si="17"/>
        <v>0.08</v>
      </c>
      <c r="CW168" s="175">
        <f t="shared" si="17"/>
        <v>0.08</v>
      </c>
    </row>
    <row r="169" spans="1:101" ht="12.75">
      <c r="A169" s="2">
        <v>0.28</v>
      </c>
      <c r="B169" s="172">
        <v>1.57</v>
      </c>
      <c r="C169" s="173">
        <v>1.1</v>
      </c>
      <c r="D169" s="173">
        <v>0.92</v>
      </c>
      <c r="E169" s="174">
        <v>0.79</v>
      </c>
      <c r="F169" s="173">
        <v>0.7</v>
      </c>
      <c r="G169" s="173">
        <v>0.63</v>
      </c>
      <c r="H169" s="173">
        <v>0.58</v>
      </c>
      <c r="I169" s="173">
        <v>0.53</v>
      </c>
      <c r="J169" s="174">
        <v>0.5</v>
      </c>
      <c r="K169" s="173">
        <f t="shared" si="18"/>
        <v>0.47</v>
      </c>
      <c r="L169" s="173">
        <f t="shared" si="2"/>
        <v>0.45</v>
      </c>
      <c r="M169" s="173">
        <v>0.44</v>
      </c>
      <c r="N169" s="173">
        <v>0.42</v>
      </c>
      <c r="O169" s="174">
        <v>0.4</v>
      </c>
      <c r="P169" s="173">
        <f t="shared" si="27"/>
        <v>0.38</v>
      </c>
      <c r="Q169" s="173">
        <v>0.37</v>
      </c>
      <c r="R169" s="173">
        <v>0.35</v>
      </c>
      <c r="S169" s="173">
        <v>0.33</v>
      </c>
      <c r="T169" s="174">
        <f>T168-0.01</f>
        <v>0.31</v>
      </c>
      <c r="U169" s="173">
        <v>0.3</v>
      </c>
      <c r="V169" s="173">
        <v>0.29</v>
      </c>
      <c r="W169" s="173">
        <v>0.28</v>
      </c>
      <c r="X169" s="173">
        <f>X168-0.01</f>
        <v>0.27</v>
      </c>
      <c r="Y169" s="174">
        <v>0.27</v>
      </c>
      <c r="Z169" s="173">
        <f t="shared" si="19"/>
        <v>0.26</v>
      </c>
      <c r="AA169" s="173">
        <v>0.25</v>
      </c>
      <c r="AB169" s="173">
        <f t="shared" si="19"/>
        <v>0.25</v>
      </c>
      <c r="AC169" s="173">
        <f t="shared" si="3"/>
        <v>0.24</v>
      </c>
      <c r="AD169" s="174">
        <f t="shared" si="3"/>
        <v>0.23</v>
      </c>
      <c r="AE169" s="173">
        <v>0.22</v>
      </c>
      <c r="AF169" s="173">
        <f t="shared" si="3"/>
        <v>0.22</v>
      </c>
      <c r="AG169" s="173">
        <v>0.21</v>
      </c>
      <c r="AH169" s="173">
        <f t="shared" si="4"/>
        <v>0.21</v>
      </c>
      <c r="AI169" s="174">
        <v>0.2</v>
      </c>
      <c r="AJ169" s="173">
        <f t="shared" si="5"/>
        <v>0.2</v>
      </c>
      <c r="AK169" s="173">
        <v>0.19</v>
      </c>
      <c r="AL169" s="173">
        <f t="shared" si="6"/>
        <v>0.19</v>
      </c>
      <c r="AM169" s="173">
        <v>0.18</v>
      </c>
      <c r="AN169" s="174">
        <f t="shared" si="7"/>
        <v>0.18</v>
      </c>
      <c r="AO169" s="173">
        <v>0.17</v>
      </c>
      <c r="AP169" s="173">
        <f t="shared" si="8"/>
        <v>0.17</v>
      </c>
      <c r="AQ169" s="173">
        <f t="shared" si="9"/>
        <v>0.17</v>
      </c>
      <c r="AR169" s="173">
        <v>0.16</v>
      </c>
      <c r="AS169" s="174">
        <f t="shared" si="9"/>
        <v>0.16</v>
      </c>
      <c r="AT169" s="173">
        <f t="shared" si="9"/>
        <v>0.16</v>
      </c>
      <c r="AU169" s="173">
        <f t="shared" si="9"/>
        <v>0.16</v>
      </c>
      <c r="AV169" s="173">
        <f t="shared" si="9"/>
        <v>0.15</v>
      </c>
      <c r="AW169" s="173">
        <f t="shared" si="10"/>
        <v>0.15</v>
      </c>
      <c r="AX169" s="174">
        <f t="shared" si="10"/>
        <v>0.15</v>
      </c>
      <c r="AY169" s="173">
        <f t="shared" si="10"/>
        <v>0.14</v>
      </c>
      <c r="AZ169" s="173">
        <f t="shared" si="10"/>
        <v>0.14</v>
      </c>
      <c r="BA169" s="173">
        <f t="shared" si="10"/>
        <v>0.14</v>
      </c>
      <c r="BB169" s="173">
        <f t="shared" si="11"/>
        <v>0.14</v>
      </c>
      <c r="BC169" s="174">
        <f t="shared" si="11"/>
        <v>0.14</v>
      </c>
      <c r="BD169" s="173">
        <f t="shared" si="11"/>
        <v>0.14</v>
      </c>
      <c r="BE169" s="173">
        <f t="shared" si="11"/>
        <v>0.14</v>
      </c>
      <c r="BF169" s="173">
        <f t="shared" si="11"/>
        <v>0.14</v>
      </c>
      <c r="BG169" s="173">
        <v>0.13</v>
      </c>
      <c r="BH169" s="174">
        <f aca="true" t="shared" si="62" ref="BH169:BH174">BH168</f>
        <v>0.13</v>
      </c>
      <c r="BI169" s="173">
        <f>BI168</f>
        <v>0.13</v>
      </c>
      <c r="BJ169" s="173">
        <f>BJ168</f>
        <v>0.13</v>
      </c>
      <c r="BK169" s="173">
        <f>BK168</f>
        <v>0.13</v>
      </c>
      <c r="BL169" s="173">
        <f>BL168</f>
        <v>0.13</v>
      </c>
      <c r="BM169" s="174">
        <v>0.12</v>
      </c>
      <c r="BN169" s="173">
        <f t="shared" si="60"/>
        <v>0.12</v>
      </c>
      <c r="BO169" s="173">
        <f t="shared" si="59"/>
        <v>0.12</v>
      </c>
      <c r="BP169" s="173">
        <f t="shared" si="58"/>
        <v>0.12</v>
      </c>
      <c r="BQ169" s="173">
        <f t="shared" si="54"/>
        <v>0.12</v>
      </c>
      <c r="BR169" s="174">
        <v>0.11</v>
      </c>
      <c r="BS169" s="173">
        <f t="shared" si="61"/>
        <v>0.11</v>
      </c>
      <c r="BT169" s="173">
        <f t="shared" si="13"/>
        <v>0.11</v>
      </c>
      <c r="BU169" s="173">
        <f t="shared" si="13"/>
        <v>0.11</v>
      </c>
      <c r="BV169" s="173">
        <f t="shared" si="13"/>
        <v>0.11</v>
      </c>
      <c r="BW169" s="174">
        <f t="shared" si="13"/>
        <v>0.11</v>
      </c>
      <c r="BX169" s="173">
        <f t="shared" si="23"/>
        <v>0.11</v>
      </c>
      <c r="BY169" s="173">
        <f t="shared" si="55"/>
        <v>0.11</v>
      </c>
      <c r="BZ169" s="173">
        <f t="shared" si="51"/>
        <v>0.11</v>
      </c>
      <c r="CA169" s="173">
        <v>0.1</v>
      </c>
      <c r="CB169" s="174">
        <f>CB168</f>
        <v>0.1</v>
      </c>
      <c r="CC169" s="173">
        <f>CC168</f>
        <v>0.1</v>
      </c>
      <c r="CD169" s="173">
        <f>CD168</f>
        <v>0.1</v>
      </c>
      <c r="CE169" s="173">
        <f aca="true" t="shared" si="63" ref="CE169:CN191">CE168</f>
        <v>0.1</v>
      </c>
      <c r="CF169" s="173">
        <f t="shared" si="63"/>
        <v>0.1</v>
      </c>
      <c r="CG169" s="174">
        <f t="shared" si="63"/>
        <v>0.1</v>
      </c>
      <c r="CH169" s="173">
        <f t="shared" si="63"/>
        <v>0.1</v>
      </c>
      <c r="CI169" s="173">
        <f t="shared" si="63"/>
        <v>0.1</v>
      </c>
      <c r="CJ169" s="173">
        <f t="shared" si="63"/>
        <v>0.09</v>
      </c>
      <c r="CK169" s="173">
        <f t="shared" si="63"/>
        <v>0.09</v>
      </c>
      <c r="CL169" s="174">
        <f t="shared" si="63"/>
        <v>0.09</v>
      </c>
      <c r="CM169" s="173">
        <f t="shared" si="63"/>
        <v>0.09</v>
      </c>
      <c r="CN169" s="173">
        <f t="shared" si="63"/>
        <v>0.09</v>
      </c>
      <c r="CO169" s="173">
        <f t="shared" si="15"/>
        <v>0.09</v>
      </c>
      <c r="CP169" s="173">
        <f t="shared" si="15"/>
        <v>0.09</v>
      </c>
      <c r="CQ169" s="174">
        <f t="shared" si="16"/>
        <v>0.09</v>
      </c>
      <c r="CR169" s="173">
        <f t="shared" si="16"/>
        <v>0.09</v>
      </c>
      <c r="CS169" s="173">
        <f t="shared" si="17"/>
        <v>0.09</v>
      </c>
      <c r="CT169" s="173">
        <f t="shared" si="17"/>
        <v>0.08</v>
      </c>
      <c r="CU169" s="173">
        <f t="shared" si="17"/>
        <v>0.08</v>
      </c>
      <c r="CV169" s="173">
        <f t="shared" si="17"/>
        <v>0.08</v>
      </c>
      <c r="CW169" s="175">
        <f t="shared" si="17"/>
        <v>0.08</v>
      </c>
    </row>
    <row r="170" spans="1:101" ht="13.5" thickBot="1">
      <c r="A170" s="2">
        <v>0.29</v>
      </c>
      <c r="B170" s="176">
        <v>1.57</v>
      </c>
      <c r="C170" s="177">
        <v>1.09</v>
      </c>
      <c r="D170" s="177">
        <v>0.91</v>
      </c>
      <c r="E170" s="178">
        <v>0.78</v>
      </c>
      <c r="F170" s="177">
        <v>0.69</v>
      </c>
      <c r="G170" s="177">
        <v>0.63</v>
      </c>
      <c r="H170" s="177">
        <v>0.58</v>
      </c>
      <c r="I170" s="177">
        <v>0.53</v>
      </c>
      <c r="J170" s="178">
        <v>0.5</v>
      </c>
      <c r="K170" s="179">
        <v>0.47</v>
      </c>
      <c r="L170" s="177">
        <v>0.45</v>
      </c>
      <c r="M170" s="177">
        <v>0.43</v>
      </c>
      <c r="N170" s="177">
        <f t="shared" si="2"/>
        <v>0.41</v>
      </c>
      <c r="O170" s="178">
        <v>0.4</v>
      </c>
      <c r="P170" s="179">
        <v>0.38</v>
      </c>
      <c r="Q170" s="177">
        <f t="shared" si="27"/>
        <v>0.36</v>
      </c>
      <c r="R170" s="177">
        <f t="shared" si="27"/>
        <v>0.33999999999999997</v>
      </c>
      <c r="S170" s="177">
        <v>0.33</v>
      </c>
      <c r="T170" s="178">
        <v>0.31</v>
      </c>
      <c r="U170" s="177">
        <f>U169-0.01</f>
        <v>0.29</v>
      </c>
      <c r="V170" s="177">
        <v>0.29</v>
      </c>
      <c r="W170" s="177">
        <v>0.28</v>
      </c>
      <c r="X170" s="177">
        <v>0.27</v>
      </c>
      <c r="Y170" s="178">
        <f>Y169-0.01</f>
        <v>0.26</v>
      </c>
      <c r="Z170" s="179">
        <f t="shared" si="19"/>
        <v>0.26</v>
      </c>
      <c r="AA170" s="177">
        <f t="shared" si="19"/>
        <v>0.25</v>
      </c>
      <c r="AB170" s="177">
        <v>0.24</v>
      </c>
      <c r="AC170" s="177">
        <f t="shared" si="3"/>
        <v>0.24</v>
      </c>
      <c r="AD170" s="178">
        <f t="shared" si="3"/>
        <v>0.23</v>
      </c>
      <c r="AE170" s="177">
        <f t="shared" si="3"/>
        <v>0.22</v>
      </c>
      <c r="AF170" s="177">
        <f t="shared" si="3"/>
        <v>0.22</v>
      </c>
      <c r="AG170" s="177">
        <f t="shared" si="4"/>
        <v>0.21</v>
      </c>
      <c r="AH170" s="177">
        <f t="shared" si="4"/>
        <v>0.21</v>
      </c>
      <c r="AI170" s="178">
        <f t="shared" si="5"/>
        <v>0.2</v>
      </c>
      <c r="AJ170" s="177">
        <f t="shared" si="5"/>
        <v>0.2</v>
      </c>
      <c r="AK170" s="177">
        <f t="shared" si="6"/>
        <v>0.19</v>
      </c>
      <c r="AL170" s="177">
        <f t="shared" si="6"/>
        <v>0.19</v>
      </c>
      <c r="AM170" s="177">
        <f t="shared" si="7"/>
        <v>0.18</v>
      </c>
      <c r="AN170" s="178">
        <f t="shared" si="7"/>
        <v>0.18</v>
      </c>
      <c r="AO170" s="177">
        <f t="shared" si="8"/>
        <v>0.17</v>
      </c>
      <c r="AP170" s="177">
        <f t="shared" si="8"/>
        <v>0.17</v>
      </c>
      <c r="AQ170" s="177">
        <f t="shared" si="9"/>
        <v>0.17</v>
      </c>
      <c r="AR170" s="177">
        <f t="shared" si="9"/>
        <v>0.16</v>
      </c>
      <c r="AS170" s="178">
        <f t="shared" si="9"/>
        <v>0.16</v>
      </c>
      <c r="AT170" s="177">
        <f t="shared" si="9"/>
        <v>0.16</v>
      </c>
      <c r="AU170" s="177">
        <v>0.15</v>
      </c>
      <c r="AV170" s="177">
        <f t="shared" si="9"/>
        <v>0.15</v>
      </c>
      <c r="AW170" s="177">
        <f t="shared" si="10"/>
        <v>0.15</v>
      </c>
      <c r="AX170" s="178">
        <v>0.14</v>
      </c>
      <c r="AY170" s="177">
        <f t="shared" si="10"/>
        <v>0.14</v>
      </c>
      <c r="AZ170" s="177">
        <f t="shared" si="10"/>
        <v>0.14</v>
      </c>
      <c r="BA170" s="177">
        <f t="shared" si="10"/>
        <v>0.14</v>
      </c>
      <c r="BB170" s="177">
        <f t="shared" si="11"/>
        <v>0.14</v>
      </c>
      <c r="BC170" s="178">
        <f t="shared" si="11"/>
        <v>0.14</v>
      </c>
      <c r="BD170" s="177">
        <f t="shared" si="11"/>
        <v>0.14</v>
      </c>
      <c r="BE170" s="177">
        <f t="shared" si="11"/>
        <v>0.14</v>
      </c>
      <c r="BF170" s="177">
        <v>0.13</v>
      </c>
      <c r="BG170" s="177">
        <f>BG169</f>
        <v>0.13</v>
      </c>
      <c r="BH170" s="178">
        <f t="shared" si="62"/>
        <v>0.13</v>
      </c>
      <c r="BI170" s="177">
        <f>BI169</f>
        <v>0.13</v>
      </c>
      <c r="BJ170" s="177">
        <v>0.13</v>
      </c>
      <c r="BK170" s="177">
        <f>BK169</f>
        <v>0.13</v>
      </c>
      <c r="BL170" s="177">
        <f>BL169</f>
        <v>0.13</v>
      </c>
      <c r="BM170" s="178">
        <f>BM169</f>
        <v>0.12</v>
      </c>
      <c r="BN170" s="177">
        <f t="shared" si="60"/>
        <v>0.12</v>
      </c>
      <c r="BO170" s="177">
        <f t="shared" si="59"/>
        <v>0.12</v>
      </c>
      <c r="BP170" s="177">
        <f t="shared" si="58"/>
        <v>0.12</v>
      </c>
      <c r="BQ170" s="177">
        <f t="shared" si="54"/>
        <v>0.12</v>
      </c>
      <c r="BR170" s="178">
        <f>BR169</f>
        <v>0.11</v>
      </c>
      <c r="BS170" s="177">
        <f t="shared" si="61"/>
        <v>0.11</v>
      </c>
      <c r="BT170" s="177">
        <f t="shared" si="13"/>
        <v>0.11</v>
      </c>
      <c r="BU170" s="177">
        <f t="shared" si="13"/>
        <v>0.11</v>
      </c>
      <c r="BV170" s="177">
        <f t="shared" si="13"/>
        <v>0.11</v>
      </c>
      <c r="BW170" s="178">
        <f t="shared" si="13"/>
        <v>0.11</v>
      </c>
      <c r="BX170" s="177">
        <f t="shared" si="23"/>
        <v>0.11</v>
      </c>
      <c r="BY170" s="177">
        <f t="shared" si="23"/>
        <v>0.11</v>
      </c>
      <c r="BZ170" s="177">
        <v>0.1</v>
      </c>
      <c r="CA170" s="177">
        <f aca="true" t="shared" si="64" ref="CA170:CD191">CA169</f>
        <v>0.1</v>
      </c>
      <c r="CB170" s="178">
        <f t="shared" si="64"/>
        <v>0.1</v>
      </c>
      <c r="CC170" s="177">
        <f t="shared" si="64"/>
        <v>0.1</v>
      </c>
      <c r="CD170" s="177">
        <f t="shared" si="64"/>
        <v>0.1</v>
      </c>
      <c r="CE170" s="177">
        <f t="shared" si="63"/>
        <v>0.1</v>
      </c>
      <c r="CF170" s="177">
        <f t="shared" si="63"/>
        <v>0.1</v>
      </c>
      <c r="CG170" s="178">
        <f t="shared" si="63"/>
        <v>0.1</v>
      </c>
      <c r="CH170" s="177">
        <f t="shared" si="63"/>
        <v>0.1</v>
      </c>
      <c r="CI170" s="177">
        <v>0.09</v>
      </c>
      <c r="CJ170" s="177">
        <f t="shared" si="63"/>
        <v>0.09</v>
      </c>
      <c r="CK170" s="177">
        <f t="shared" si="63"/>
        <v>0.09</v>
      </c>
      <c r="CL170" s="178">
        <f t="shared" si="63"/>
        <v>0.09</v>
      </c>
      <c r="CM170" s="177">
        <f t="shared" si="63"/>
        <v>0.09</v>
      </c>
      <c r="CN170" s="177">
        <f t="shared" si="63"/>
        <v>0.09</v>
      </c>
      <c r="CO170" s="177">
        <f t="shared" si="15"/>
        <v>0.09</v>
      </c>
      <c r="CP170" s="177">
        <f t="shared" si="15"/>
        <v>0.09</v>
      </c>
      <c r="CQ170" s="178">
        <f t="shared" si="16"/>
        <v>0.09</v>
      </c>
      <c r="CR170" s="177">
        <f t="shared" si="16"/>
        <v>0.09</v>
      </c>
      <c r="CS170" s="177">
        <v>0.08</v>
      </c>
      <c r="CT170" s="177">
        <f t="shared" si="17"/>
        <v>0.08</v>
      </c>
      <c r="CU170" s="177">
        <f t="shared" si="17"/>
        <v>0.08</v>
      </c>
      <c r="CV170" s="177">
        <f t="shared" si="17"/>
        <v>0.08</v>
      </c>
      <c r="CW170" s="180">
        <f t="shared" si="17"/>
        <v>0.08</v>
      </c>
    </row>
    <row r="171" spans="1:101" ht="12.75">
      <c r="A171" s="2">
        <v>0.3</v>
      </c>
      <c r="B171" s="172">
        <v>1.57</v>
      </c>
      <c r="C171" s="173">
        <v>1.08</v>
      </c>
      <c r="D171" s="173">
        <v>0.9</v>
      </c>
      <c r="E171" s="174">
        <v>0.77</v>
      </c>
      <c r="F171" s="173">
        <v>0.68</v>
      </c>
      <c r="G171" s="173">
        <v>0.62</v>
      </c>
      <c r="H171" s="173">
        <v>0.57</v>
      </c>
      <c r="I171" s="173">
        <v>0.52</v>
      </c>
      <c r="J171" s="174">
        <v>0.49</v>
      </c>
      <c r="K171" s="173">
        <f t="shared" si="18"/>
        <v>0.45999999999999996</v>
      </c>
      <c r="L171" s="173">
        <f t="shared" si="2"/>
        <v>0.44</v>
      </c>
      <c r="M171" s="173">
        <v>0.43</v>
      </c>
      <c r="N171" s="173">
        <v>0.41</v>
      </c>
      <c r="O171" s="174">
        <f>O170-0.01</f>
        <v>0.39</v>
      </c>
      <c r="P171" s="173">
        <v>0.38</v>
      </c>
      <c r="Q171" s="173">
        <v>0.36</v>
      </c>
      <c r="R171" s="173">
        <v>0.34</v>
      </c>
      <c r="S171" s="173">
        <f t="shared" si="27"/>
        <v>0.32</v>
      </c>
      <c r="T171" s="174">
        <v>0.31</v>
      </c>
      <c r="U171" s="173">
        <v>0.29</v>
      </c>
      <c r="V171" s="173">
        <f>V170-0.01</f>
        <v>0.27999999999999997</v>
      </c>
      <c r="W171" s="173">
        <v>0.28</v>
      </c>
      <c r="X171" s="173">
        <v>0.27</v>
      </c>
      <c r="Y171" s="174">
        <v>0.26</v>
      </c>
      <c r="Z171" s="173">
        <v>0.25</v>
      </c>
      <c r="AA171" s="173">
        <f t="shared" si="19"/>
        <v>0.25</v>
      </c>
      <c r="AB171" s="173">
        <f t="shared" si="19"/>
        <v>0.24</v>
      </c>
      <c r="AC171" s="173">
        <v>0.23</v>
      </c>
      <c r="AD171" s="174">
        <f t="shared" si="3"/>
        <v>0.23</v>
      </c>
      <c r="AE171" s="173">
        <f t="shared" si="3"/>
        <v>0.22</v>
      </c>
      <c r="AF171" s="173">
        <f t="shared" si="3"/>
        <v>0.22</v>
      </c>
      <c r="AG171" s="173">
        <f t="shared" si="4"/>
        <v>0.21</v>
      </c>
      <c r="AH171" s="173">
        <f t="shared" si="4"/>
        <v>0.21</v>
      </c>
      <c r="AI171" s="174">
        <f t="shared" si="5"/>
        <v>0.2</v>
      </c>
      <c r="AJ171" s="173">
        <f t="shared" si="5"/>
        <v>0.2</v>
      </c>
      <c r="AK171" s="173">
        <f t="shared" si="6"/>
        <v>0.19</v>
      </c>
      <c r="AL171" s="173">
        <f t="shared" si="6"/>
        <v>0.19</v>
      </c>
      <c r="AM171" s="173">
        <f t="shared" si="7"/>
        <v>0.18</v>
      </c>
      <c r="AN171" s="174">
        <f t="shared" si="7"/>
        <v>0.18</v>
      </c>
      <c r="AO171" s="173">
        <f t="shared" si="8"/>
        <v>0.17</v>
      </c>
      <c r="AP171" s="173">
        <f t="shared" si="8"/>
        <v>0.17</v>
      </c>
      <c r="AQ171" s="173">
        <v>0.16</v>
      </c>
      <c r="AR171" s="173">
        <v>0.16</v>
      </c>
      <c r="AS171" s="174">
        <v>0.16</v>
      </c>
      <c r="AT171" s="173">
        <f t="shared" si="9"/>
        <v>0.16</v>
      </c>
      <c r="AU171" s="173">
        <f t="shared" si="9"/>
        <v>0.15</v>
      </c>
      <c r="AV171" s="173">
        <f t="shared" si="9"/>
        <v>0.15</v>
      </c>
      <c r="AW171" s="173">
        <f t="shared" si="10"/>
        <v>0.15</v>
      </c>
      <c r="AX171" s="174">
        <f t="shared" si="10"/>
        <v>0.14</v>
      </c>
      <c r="AY171" s="173">
        <f t="shared" si="10"/>
        <v>0.14</v>
      </c>
      <c r="AZ171" s="173">
        <f t="shared" si="10"/>
        <v>0.14</v>
      </c>
      <c r="BA171" s="173">
        <f t="shared" si="10"/>
        <v>0.14</v>
      </c>
      <c r="BB171" s="173">
        <f t="shared" si="11"/>
        <v>0.14</v>
      </c>
      <c r="BC171" s="174">
        <f t="shared" si="11"/>
        <v>0.14</v>
      </c>
      <c r="BD171" s="173">
        <f t="shared" si="11"/>
        <v>0.14</v>
      </c>
      <c r="BE171" s="173">
        <v>0.13</v>
      </c>
      <c r="BF171" s="173">
        <f t="shared" si="11"/>
        <v>0.13</v>
      </c>
      <c r="BG171" s="173">
        <f>BG170</f>
        <v>0.13</v>
      </c>
      <c r="BH171" s="174">
        <f t="shared" si="62"/>
        <v>0.13</v>
      </c>
      <c r="BI171" s="173">
        <f>BI170</f>
        <v>0.13</v>
      </c>
      <c r="BJ171" s="173">
        <f>BJ170</f>
        <v>0.13</v>
      </c>
      <c r="BK171" s="173">
        <f>BK170</f>
        <v>0.13</v>
      </c>
      <c r="BL171" s="173">
        <v>0.12</v>
      </c>
      <c r="BM171" s="174">
        <f>BM170</f>
        <v>0.12</v>
      </c>
      <c r="BN171" s="173">
        <f t="shared" si="60"/>
        <v>0.12</v>
      </c>
      <c r="BO171" s="173">
        <f t="shared" si="59"/>
        <v>0.12</v>
      </c>
      <c r="BP171" s="173">
        <f t="shared" si="58"/>
        <v>0.12</v>
      </c>
      <c r="BQ171" s="173">
        <v>0.11</v>
      </c>
      <c r="BR171" s="174">
        <f>BR170</f>
        <v>0.11</v>
      </c>
      <c r="BS171" s="173">
        <f t="shared" si="61"/>
        <v>0.11</v>
      </c>
      <c r="BT171" s="173">
        <f t="shared" si="13"/>
        <v>0.11</v>
      </c>
      <c r="BU171" s="173">
        <f t="shared" si="13"/>
        <v>0.11</v>
      </c>
      <c r="BV171" s="173">
        <f t="shared" si="13"/>
        <v>0.11</v>
      </c>
      <c r="BW171" s="174">
        <f t="shared" si="13"/>
        <v>0.11</v>
      </c>
      <c r="BX171" s="173">
        <f t="shared" si="23"/>
        <v>0.11</v>
      </c>
      <c r="BY171" s="173">
        <v>0.1</v>
      </c>
      <c r="BZ171" s="173">
        <f aca="true" t="shared" si="65" ref="BZ171:BZ191">BZ170</f>
        <v>0.1</v>
      </c>
      <c r="CA171" s="173">
        <f t="shared" si="64"/>
        <v>0.1</v>
      </c>
      <c r="CB171" s="174">
        <f t="shared" si="64"/>
        <v>0.1</v>
      </c>
      <c r="CC171" s="173">
        <f t="shared" si="64"/>
        <v>0.1</v>
      </c>
      <c r="CD171" s="173">
        <f t="shared" si="64"/>
        <v>0.1</v>
      </c>
      <c r="CE171" s="173">
        <f t="shared" si="63"/>
        <v>0.1</v>
      </c>
      <c r="CF171" s="173">
        <f t="shared" si="63"/>
        <v>0.1</v>
      </c>
      <c r="CG171" s="174">
        <f t="shared" si="63"/>
        <v>0.1</v>
      </c>
      <c r="CH171" s="173">
        <f t="shared" si="63"/>
        <v>0.1</v>
      </c>
      <c r="CI171" s="173">
        <f t="shared" si="63"/>
        <v>0.09</v>
      </c>
      <c r="CJ171" s="173">
        <f t="shared" si="63"/>
        <v>0.09</v>
      </c>
      <c r="CK171" s="173">
        <f t="shared" si="63"/>
        <v>0.09</v>
      </c>
      <c r="CL171" s="174">
        <f t="shared" si="63"/>
        <v>0.09</v>
      </c>
      <c r="CM171" s="173">
        <f t="shared" si="63"/>
        <v>0.09</v>
      </c>
      <c r="CN171" s="173">
        <f t="shared" si="63"/>
        <v>0.09</v>
      </c>
      <c r="CO171" s="173">
        <f t="shared" si="15"/>
        <v>0.09</v>
      </c>
      <c r="CP171" s="173">
        <f t="shared" si="15"/>
        <v>0.09</v>
      </c>
      <c r="CQ171" s="174">
        <f t="shared" si="16"/>
        <v>0.09</v>
      </c>
      <c r="CR171" s="173">
        <f t="shared" si="16"/>
        <v>0.09</v>
      </c>
      <c r="CS171" s="173">
        <f t="shared" si="17"/>
        <v>0.08</v>
      </c>
      <c r="CT171" s="173">
        <f t="shared" si="17"/>
        <v>0.08</v>
      </c>
      <c r="CU171" s="173">
        <f t="shared" si="17"/>
        <v>0.08</v>
      </c>
      <c r="CV171" s="173">
        <f t="shared" si="17"/>
        <v>0.08</v>
      </c>
      <c r="CW171" s="175">
        <f t="shared" si="17"/>
        <v>0.08</v>
      </c>
    </row>
    <row r="172" spans="1:101" ht="12.75">
      <c r="A172" s="2">
        <v>0.31</v>
      </c>
      <c r="B172" s="172">
        <v>1.53</v>
      </c>
      <c r="C172" s="173">
        <v>1.06</v>
      </c>
      <c r="D172" s="173">
        <v>0.88</v>
      </c>
      <c r="E172" s="174">
        <v>0.76</v>
      </c>
      <c r="F172" s="173">
        <v>0.67</v>
      </c>
      <c r="G172" s="173">
        <v>0.61</v>
      </c>
      <c r="H172" s="173">
        <v>0.56</v>
      </c>
      <c r="I172" s="173">
        <v>0.51</v>
      </c>
      <c r="J172" s="174">
        <v>0.48</v>
      </c>
      <c r="K172" s="173">
        <f t="shared" si="18"/>
        <v>0.44999999999999996</v>
      </c>
      <c r="L172" s="173">
        <f t="shared" si="2"/>
        <v>0.43</v>
      </c>
      <c r="M172" s="173">
        <f t="shared" si="2"/>
        <v>0.42</v>
      </c>
      <c r="N172" s="173">
        <f t="shared" si="2"/>
        <v>0.39999999999999997</v>
      </c>
      <c r="O172" s="174">
        <v>0.38</v>
      </c>
      <c r="P172" s="173">
        <f t="shared" si="27"/>
        <v>0.37</v>
      </c>
      <c r="Q172" s="173">
        <f t="shared" si="27"/>
        <v>0.35</v>
      </c>
      <c r="R172" s="173">
        <f t="shared" si="27"/>
        <v>0.33</v>
      </c>
      <c r="S172" s="173">
        <v>0.32</v>
      </c>
      <c r="T172" s="174">
        <f>T171-0.01</f>
        <v>0.3</v>
      </c>
      <c r="U172" s="173">
        <f>U171-0.01</f>
        <v>0.27999999999999997</v>
      </c>
      <c r="V172" s="173">
        <v>0.28</v>
      </c>
      <c r="W172" s="173">
        <v>0.27</v>
      </c>
      <c r="X172" s="173">
        <f>X171-0.01</f>
        <v>0.26</v>
      </c>
      <c r="Y172" s="174">
        <v>0.26</v>
      </c>
      <c r="Z172" s="173">
        <f t="shared" si="19"/>
        <v>0.25</v>
      </c>
      <c r="AA172" s="173">
        <v>0.24</v>
      </c>
      <c r="AB172" s="173">
        <f t="shared" si="19"/>
        <v>0.24</v>
      </c>
      <c r="AC172" s="173">
        <f t="shared" si="3"/>
        <v>0.23</v>
      </c>
      <c r="AD172" s="174">
        <v>0.22</v>
      </c>
      <c r="AE172" s="173">
        <f t="shared" si="3"/>
        <v>0.22</v>
      </c>
      <c r="AF172" s="173">
        <v>0.21</v>
      </c>
      <c r="AG172" s="173">
        <f t="shared" si="4"/>
        <v>0.21</v>
      </c>
      <c r="AH172" s="173">
        <v>0.2</v>
      </c>
      <c r="AI172" s="174">
        <f t="shared" si="5"/>
        <v>0.2</v>
      </c>
      <c r="AJ172" s="173">
        <v>0.19</v>
      </c>
      <c r="AK172" s="173">
        <f t="shared" si="6"/>
        <v>0.19</v>
      </c>
      <c r="AL172" s="173">
        <v>0.18</v>
      </c>
      <c r="AM172" s="173">
        <f t="shared" si="7"/>
        <v>0.18</v>
      </c>
      <c r="AN172" s="174">
        <v>0.17</v>
      </c>
      <c r="AO172" s="173">
        <f t="shared" si="8"/>
        <v>0.17</v>
      </c>
      <c r="AP172" s="173">
        <f t="shared" si="8"/>
        <v>0.17</v>
      </c>
      <c r="AQ172" s="173">
        <f t="shared" si="9"/>
        <v>0.16</v>
      </c>
      <c r="AR172" s="173">
        <f t="shared" si="9"/>
        <v>0.16</v>
      </c>
      <c r="AS172" s="174">
        <f t="shared" si="9"/>
        <v>0.16</v>
      </c>
      <c r="AT172" s="173">
        <v>0.15</v>
      </c>
      <c r="AU172" s="173">
        <f t="shared" si="9"/>
        <v>0.15</v>
      </c>
      <c r="AV172" s="173">
        <f t="shared" si="9"/>
        <v>0.15</v>
      </c>
      <c r="AW172" s="173">
        <f t="shared" si="10"/>
        <v>0.15</v>
      </c>
      <c r="AX172" s="174">
        <f t="shared" si="10"/>
        <v>0.14</v>
      </c>
      <c r="AY172" s="173">
        <f t="shared" si="10"/>
        <v>0.14</v>
      </c>
      <c r="AZ172" s="173">
        <f t="shared" si="10"/>
        <v>0.14</v>
      </c>
      <c r="BA172" s="173">
        <f t="shared" si="10"/>
        <v>0.14</v>
      </c>
      <c r="BB172" s="173">
        <f t="shared" si="11"/>
        <v>0.14</v>
      </c>
      <c r="BC172" s="174">
        <f t="shared" si="11"/>
        <v>0.14</v>
      </c>
      <c r="BD172" s="173">
        <v>0.13</v>
      </c>
      <c r="BE172" s="173">
        <f t="shared" si="11"/>
        <v>0.13</v>
      </c>
      <c r="BF172" s="173">
        <f t="shared" si="11"/>
        <v>0.13</v>
      </c>
      <c r="BG172" s="173">
        <f>BG171</f>
        <v>0.13</v>
      </c>
      <c r="BH172" s="174">
        <f t="shared" si="62"/>
        <v>0.13</v>
      </c>
      <c r="BI172" s="173">
        <v>0.13</v>
      </c>
      <c r="BJ172" s="173">
        <f>BJ171</f>
        <v>0.13</v>
      </c>
      <c r="BK172" s="173">
        <v>0.12</v>
      </c>
      <c r="BL172" s="173">
        <f>BL171</f>
        <v>0.12</v>
      </c>
      <c r="BM172" s="174">
        <f>BM171</f>
        <v>0.12</v>
      </c>
      <c r="BN172" s="173">
        <f t="shared" si="60"/>
        <v>0.12</v>
      </c>
      <c r="BO172" s="173">
        <f t="shared" si="59"/>
        <v>0.12</v>
      </c>
      <c r="BP172" s="173">
        <f t="shared" si="58"/>
        <v>0.12</v>
      </c>
      <c r="BQ172" s="173">
        <f>BQ171</f>
        <v>0.11</v>
      </c>
      <c r="BR172" s="174">
        <f>BR171</f>
        <v>0.11</v>
      </c>
      <c r="BS172" s="173">
        <f t="shared" si="61"/>
        <v>0.11</v>
      </c>
      <c r="BT172" s="173">
        <f t="shared" si="13"/>
        <v>0.11</v>
      </c>
      <c r="BU172" s="173">
        <f t="shared" si="13"/>
        <v>0.11</v>
      </c>
      <c r="BV172" s="173">
        <f t="shared" si="13"/>
        <v>0.11</v>
      </c>
      <c r="BW172" s="174">
        <f t="shared" si="13"/>
        <v>0.11</v>
      </c>
      <c r="BX172" s="173">
        <f t="shared" si="23"/>
        <v>0.11</v>
      </c>
      <c r="BY172" s="173">
        <f t="shared" si="23"/>
        <v>0.1</v>
      </c>
      <c r="BZ172" s="173">
        <f t="shared" si="65"/>
        <v>0.1</v>
      </c>
      <c r="CA172" s="173">
        <f t="shared" si="64"/>
        <v>0.1</v>
      </c>
      <c r="CB172" s="174">
        <f t="shared" si="64"/>
        <v>0.1</v>
      </c>
      <c r="CC172" s="173">
        <f t="shared" si="64"/>
        <v>0.1</v>
      </c>
      <c r="CD172" s="173">
        <f t="shared" si="64"/>
        <v>0.1</v>
      </c>
      <c r="CE172" s="173">
        <f t="shared" si="63"/>
        <v>0.1</v>
      </c>
      <c r="CF172" s="173">
        <f t="shared" si="63"/>
        <v>0.1</v>
      </c>
      <c r="CG172" s="174">
        <f t="shared" si="63"/>
        <v>0.1</v>
      </c>
      <c r="CH172" s="173">
        <f t="shared" si="63"/>
        <v>0.1</v>
      </c>
      <c r="CI172" s="173">
        <f t="shared" si="63"/>
        <v>0.09</v>
      </c>
      <c r="CJ172" s="173">
        <f t="shared" si="63"/>
        <v>0.09</v>
      </c>
      <c r="CK172" s="173">
        <f t="shared" si="63"/>
        <v>0.09</v>
      </c>
      <c r="CL172" s="174">
        <f t="shared" si="63"/>
        <v>0.09</v>
      </c>
      <c r="CM172" s="173">
        <f t="shared" si="63"/>
        <v>0.09</v>
      </c>
      <c r="CN172" s="173">
        <f t="shared" si="63"/>
        <v>0.09</v>
      </c>
      <c r="CO172" s="173">
        <f t="shared" si="15"/>
        <v>0.09</v>
      </c>
      <c r="CP172" s="173">
        <f t="shared" si="15"/>
        <v>0.09</v>
      </c>
      <c r="CQ172" s="174">
        <f t="shared" si="16"/>
        <v>0.09</v>
      </c>
      <c r="CR172" s="173">
        <f t="shared" si="16"/>
        <v>0.09</v>
      </c>
      <c r="CS172" s="173">
        <f t="shared" si="17"/>
        <v>0.08</v>
      </c>
      <c r="CT172" s="173">
        <f t="shared" si="17"/>
        <v>0.08</v>
      </c>
      <c r="CU172" s="173">
        <f t="shared" si="17"/>
        <v>0.08</v>
      </c>
      <c r="CV172" s="173">
        <f t="shared" si="17"/>
        <v>0.08</v>
      </c>
      <c r="CW172" s="175">
        <f t="shared" si="17"/>
        <v>0.08</v>
      </c>
    </row>
    <row r="173" spans="1:101" ht="12.75">
      <c r="A173" s="2">
        <v>0.32</v>
      </c>
      <c r="B173" s="172">
        <v>1.5</v>
      </c>
      <c r="C173" s="173">
        <v>1.05</v>
      </c>
      <c r="D173" s="173">
        <v>0.87</v>
      </c>
      <c r="E173" s="174">
        <v>0.74</v>
      </c>
      <c r="F173" s="173">
        <v>0.66</v>
      </c>
      <c r="G173" s="173">
        <v>0.6</v>
      </c>
      <c r="H173" s="173">
        <v>0.55</v>
      </c>
      <c r="I173" s="173">
        <v>0.5</v>
      </c>
      <c r="J173" s="174">
        <v>0.47</v>
      </c>
      <c r="K173" s="173">
        <f t="shared" si="18"/>
        <v>0.43999999999999995</v>
      </c>
      <c r="L173" s="173">
        <f t="shared" si="2"/>
        <v>0.42</v>
      </c>
      <c r="M173" s="173">
        <f t="shared" si="2"/>
        <v>0.41</v>
      </c>
      <c r="N173" s="173">
        <f t="shared" si="2"/>
        <v>0.38999999999999996</v>
      </c>
      <c r="O173" s="174">
        <v>0.38</v>
      </c>
      <c r="P173" s="173">
        <f t="shared" si="27"/>
        <v>0.36</v>
      </c>
      <c r="Q173" s="173">
        <f t="shared" si="27"/>
        <v>0.33999999999999997</v>
      </c>
      <c r="R173" s="173">
        <v>0.33</v>
      </c>
      <c r="S173" s="173">
        <f t="shared" si="27"/>
        <v>0.31</v>
      </c>
      <c r="T173" s="174">
        <f>T172-0.01</f>
        <v>0.29</v>
      </c>
      <c r="U173" s="173">
        <v>0.28</v>
      </c>
      <c r="V173" s="173">
        <f>V172-0.01</f>
        <v>0.27</v>
      </c>
      <c r="W173" s="173">
        <f>W172-0.01</f>
        <v>0.26</v>
      </c>
      <c r="X173" s="173">
        <v>0.26</v>
      </c>
      <c r="Y173" s="174">
        <f>Y172-0.01</f>
        <v>0.25</v>
      </c>
      <c r="Z173" s="173">
        <v>0.24</v>
      </c>
      <c r="AA173" s="173">
        <f t="shared" si="19"/>
        <v>0.24</v>
      </c>
      <c r="AB173" s="173">
        <v>0.23</v>
      </c>
      <c r="AC173" s="173">
        <f t="shared" si="3"/>
        <v>0.23</v>
      </c>
      <c r="AD173" s="174">
        <f t="shared" si="3"/>
        <v>0.22</v>
      </c>
      <c r="AE173" s="173">
        <v>0.21</v>
      </c>
      <c r="AF173" s="173">
        <f t="shared" si="3"/>
        <v>0.21</v>
      </c>
      <c r="AG173" s="173">
        <v>0.2</v>
      </c>
      <c r="AH173" s="173">
        <f t="shared" si="4"/>
        <v>0.2</v>
      </c>
      <c r="AI173" s="174">
        <v>0.19</v>
      </c>
      <c r="AJ173" s="173">
        <f t="shared" si="5"/>
        <v>0.19</v>
      </c>
      <c r="AK173" s="173">
        <v>0.18</v>
      </c>
      <c r="AL173" s="173">
        <f t="shared" si="6"/>
        <v>0.18</v>
      </c>
      <c r="AM173" s="173">
        <f t="shared" si="7"/>
        <v>0.18</v>
      </c>
      <c r="AN173" s="174">
        <f t="shared" si="7"/>
        <v>0.17</v>
      </c>
      <c r="AO173" s="173">
        <f t="shared" si="8"/>
        <v>0.17</v>
      </c>
      <c r="AP173" s="173">
        <v>0.16</v>
      </c>
      <c r="AQ173" s="173">
        <f t="shared" si="9"/>
        <v>0.16</v>
      </c>
      <c r="AR173" s="173">
        <f t="shared" si="9"/>
        <v>0.16</v>
      </c>
      <c r="AS173" s="174">
        <f t="shared" si="9"/>
        <v>0.16</v>
      </c>
      <c r="AT173" s="173">
        <f t="shared" si="9"/>
        <v>0.15</v>
      </c>
      <c r="AU173" s="173">
        <f t="shared" si="9"/>
        <v>0.15</v>
      </c>
      <c r="AV173" s="173">
        <f t="shared" si="9"/>
        <v>0.15</v>
      </c>
      <c r="AW173" s="173">
        <f t="shared" si="10"/>
        <v>0.15</v>
      </c>
      <c r="AX173" s="174">
        <f t="shared" si="10"/>
        <v>0.14</v>
      </c>
      <c r="AY173" s="173">
        <f t="shared" si="10"/>
        <v>0.14</v>
      </c>
      <c r="AZ173" s="173">
        <f t="shared" si="10"/>
        <v>0.14</v>
      </c>
      <c r="BA173" s="173">
        <f t="shared" si="10"/>
        <v>0.14</v>
      </c>
      <c r="BB173" s="173">
        <f t="shared" si="11"/>
        <v>0.14</v>
      </c>
      <c r="BC173" s="174">
        <v>0.13</v>
      </c>
      <c r="BD173" s="173">
        <f t="shared" si="11"/>
        <v>0.13</v>
      </c>
      <c r="BE173" s="173">
        <f t="shared" si="11"/>
        <v>0.13</v>
      </c>
      <c r="BF173" s="173">
        <f t="shared" si="11"/>
        <v>0.13</v>
      </c>
      <c r="BG173" s="173">
        <f>BG172</f>
        <v>0.13</v>
      </c>
      <c r="BH173" s="174">
        <f t="shared" si="62"/>
        <v>0.13</v>
      </c>
      <c r="BI173" s="173">
        <f>BI172</f>
        <v>0.13</v>
      </c>
      <c r="BJ173" s="173">
        <v>0.12</v>
      </c>
      <c r="BK173" s="173">
        <f>BK172</f>
        <v>0.12</v>
      </c>
      <c r="BL173" s="173">
        <f>BL172</f>
        <v>0.12</v>
      </c>
      <c r="BM173" s="174">
        <f>BM172</f>
        <v>0.12</v>
      </c>
      <c r="BN173" s="173">
        <f t="shared" si="60"/>
        <v>0.12</v>
      </c>
      <c r="BO173" s="173">
        <f t="shared" si="59"/>
        <v>0.12</v>
      </c>
      <c r="BP173" s="173">
        <v>0.11</v>
      </c>
      <c r="BQ173" s="173">
        <f>BQ172</f>
        <v>0.11</v>
      </c>
      <c r="BR173" s="174">
        <f>BR172</f>
        <v>0.11</v>
      </c>
      <c r="BS173" s="173">
        <f t="shared" si="61"/>
        <v>0.11</v>
      </c>
      <c r="BT173" s="173">
        <f t="shared" si="13"/>
        <v>0.11</v>
      </c>
      <c r="BU173" s="173">
        <f t="shared" si="13"/>
        <v>0.11</v>
      </c>
      <c r="BV173" s="173">
        <f t="shared" si="13"/>
        <v>0.11</v>
      </c>
      <c r="BW173" s="174">
        <f t="shared" si="13"/>
        <v>0.11</v>
      </c>
      <c r="BX173" s="173">
        <f t="shared" si="23"/>
        <v>0.11</v>
      </c>
      <c r="BY173" s="173">
        <f t="shared" si="23"/>
        <v>0.1</v>
      </c>
      <c r="BZ173" s="173">
        <f t="shared" si="65"/>
        <v>0.1</v>
      </c>
      <c r="CA173" s="173">
        <f t="shared" si="64"/>
        <v>0.1</v>
      </c>
      <c r="CB173" s="174">
        <f t="shared" si="64"/>
        <v>0.1</v>
      </c>
      <c r="CC173" s="173">
        <f t="shared" si="64"/>
        <v>0.1</v>
      </c>
      <c r="CD173" s="173">
        <f t="shared" si="64"/>
        <v>0.1</v>
      </c>
      <c r="CE173" s="173">
        <f t="shared" si="63"/>
        <v>0.1</v>
      </c>
      <c r="CF173" s="173">
        <f t="shared" si="63"/>
        <v>0.1</v>
      </c>
      <c r="CG173" s="174">
        <f t="shared" si="63"/>
        <v>0.1</v>
      </c>
      <c r="CH173" s="173">
        <f t="shared" si="63"/>
        <v>0.1</v>
      </c>
      <c r="CI173" s="173">
        <f t="shared" si="63"/>
        <v>0.09</v>
      </c>
      <c r="CJ173" s="173">
        <f t="shared" si="63"/>
        <v>0.09</v>
      </c>
      <c r="CK173" s="173">
        <f t="shared" si="63"/>
        <v>0.09</v>
      </c>
      <c r="CL173" s="174">
        <f t="shared" si="63"/>
        <v>0.09</v>
      </c>
      <c r="CM173" s="173">
        <f t="shared" si="63"/>
        <v>0.09</v>
      </c>
      <c r="CN173" s="173">
        <f t="shared" si="63"/>
        <v>0.09</v>
      </c>
      <c r="CO173" s="173">
        <f t="shared" si="15"/>
        <v>0.09</v>
      </c>
      <c r="CP173" s="173">
        <f t="shared" si="15"/>
        <v>0.09</v>
      </c>
      <c r="CQ173" s="174">
        <f t="shared" si="16"/>
        <v>0.09</v>
      </c>
      <c r="CR173" s="173">
        <f t="shared" si="16"/>
        <v>0.09</v>
      </c>
      <c r="CS173" s="173">
        <f t="shared" si="17"/>
        <v>0.08</v>
      </c>
      <c r="CT173" s="173">
        <f t="shared" si="17"/>
        <v>0.08</v>
      </c>
      <c r="CU173" s="173">
        <f t="shared" si="17"/>
        <v>0.08</v>
      </c>
      <c r="CV173" s="173">
        <f t="shared" si="17"/>
        <v>0.08</v>
      </c>
      <c r="CW173" s="175">
        <f t="shared" si="17"/>
        <v>0.08</v>
      </c>
    </row>
    <row r="174" spans="1:101" ht="12.75">
      <c r="A174" s="2">
        <v>0.33</v>
      </c>
      <c r="B174" s="172">
        <v>1.46</v>
      </c>
      <c r="C174" s="173">
        <v>1.03</v>
      </c>
      <c r="D174" s="173">
        <v>0.85</v>
      </c>
      <c r="E174" s="174">
        <v>0.73</v>
      </c>
      <c r="F174" s="173">
        <v>0.64</v>
      </c>
      <c r="G174" s="173">
        <v>0.58</v>
      </c>
      <c r="H174" s="173">
        <v>0.53</v>
      </c>
      <c r="I174" s="173">
        <v>0.49</v>
      </c>
      <c r="J174" s="174">
        <v>0.46</v>
      </c>
      <c r="K174" s="173">
        <f t="shared" si="18"/>
        <v>0.42999999999999994</v>
      </c>
      <c r="L174" s="173">
        <f t="shared" si="2"/>
        <v>0.41</v>
      </c>
      <c r="M174" s="173">
        <f t="shared" si="2"/>
        <v>0.39999999999999997</v>
      </c>
      <c r="N174" s="173">
        <f t="shared" si="2"/>
        <v>0.37999999999999995</v>
      </c>
      <c r="O174" s="174">
        <f>O173-0.01</f>
        <v>0.37</v>
      </c>
      <c r="P174" s="173">
        <f t="shared" si="27"/>
        <v>0.35</v>
      </c>
      <c r="Q174" s="173">
        <v>0.34</v>
      </c>
      <c r="R174" s="173">
        <f t="shared" si="27"/>
        <v>0.32</v>
      </c>
      <c r="S174" s="173">
        <f t="shared" si="27"/>
        <v>0.3</v>
      </c>
      <c r="T174" s="174">
        <v>0.29</v>
      </c>
      <c r="U174" s="173">
        <f>U173-0.01</f>
        <v>0.27</v>
      </c>
      <c r="V174" s="173">
        <v>0.27</v>
      </c>
      <c r="W174" s="173">
        <v>0.26</v>
      </c>
      <c r="X174" s="173">
        <f>X173-0.01</f>
        <v>0.25</v>
      </c>
      <c r="Y174" s="174">
        <v>0.25</v>
      </c>
      <c r="Z174" s="173">
        <f t="shared" si="19"/>
        <v>0.24</v>
      </c>
      <c r="AA174" s="173">
        <v>0.23</v>
      </c>
      <c r="AB174" s="173">
        <f t="shared" si="19"/>
        <v>0.23</v>
      </c>
      <c r="AC174" s="173">
        <v>0.22</v>
      </c>
      <c r="AD174" s="174">
        <v>0.21</v>
      </c>
      <c r="AE174" s="173">
        <f t="shared" si="3"/>
        <v>0.21</v>
      </c>
      <c r="AF174" s="173">
        <v>0.2</v>
      </c>
      <c r="AG174" s="173">
        <f t="shared" si="4"/>
        <v>0.2</v>
      </c>
      <c r="AH174" s="173">
        <v>0.19</v>
      </c>
      <c r="AI174" s="174">
        <f t="shared" si="5"/>
        <v>0.19</v>
      </c>
      <c r="AJ174" s="173">
        <f t="shared" si="5"/>
        <v>0.19</v>
      </c>
      <c r="AK174" s="173">
        <f t="shared" si="6"/>
        <v>0.18</v>
      </c>
      <c r="AL174" s="173">
        <f t="shared" si="6"/>
        <v>0.18</v>
      </c>
      <c r="AM174" s="173">
        <v>0.17</v>
      </c>
      <c r="AN174" s="174">
        <f t="shared" si="7"/>
        <v>0.17</v>
      </c>
      <c r="AO174" s="173">
        <v>0.16</v>
      </c>
      <c r="AP174" s="173">
        <f t="shared" si="8"/>
        <v>0.16</v>
      </c>
      <c r="AQ174" s="173">
        <f t="shared" si="9"/>
        <v>0.16</v>
      </c>
      <c r="AR174" s="173">
        <f t="shared" si="9"/>
        <v>0.16</v>
      </c>
      <c r="AS174" s="174">
        <v>0.15</v>
      </c>
      <c r="AT174" s="173">
        <f t="shared" si="9"/>
        <v>0.15</v>
      </c>
      <c r="AU174" s="173">
        <f t="shared" si="9"/>
        <v>0.15</v>
      </c>
      <c r="AV174" s="173">
        <f t="shared" si="9"/>
        <v>0.15</v>
      </c>
      <c r="AW174" s="173">
        <v>0.14</v>
      </c>
      <c r="AX174" s="174">
        <f t="shared" si="10"/>
        <v>0.14</v>
      </c>
      <c r="AY174" s="173">
        <f t="shared" si="10"/>
        <v>0.14</v>
      </c>
      <c r="AZ174" s="173">
        <f t="shared" si="10"/>
        <v>0.14</v>
      </c>
      <c r="BA174" s="173">
        <f t="shared" si="10"/>
        <v>0.14</v>
      </c>
      <c r="BB174" s="173">
        <f t="shared" si="11"/>
        <v>0.14</v>
      </c>
      <c r="BC174" s="174">
        <f t="shared" si="11"/>
        <v>0.13</v>
      </c>
      <c r="BD174" s="173">
        <f t="shared" si="11"/>
        <v>0.13</v>
      </c>
      <c r="BE174" s="173">
        <f t="shared" si="11"/>
        <v>0.13</v>
      </c>
      <c r="BF174" s="173">
        <f t="shared" si="11"/>
        <v>0.13</v>
      </c>
      <c r="BG174" s="173">
        <f>BG173</f>
        <v>0.13</v>
      </c>
      <c r="BH174" s="174">
        <f t="shared" si="62"/>
        <v>0.13</v>
      </c>
      <c r="BI174" s="173">
        <v>0.12</v>
      </c>
      <c r="BJ174" s="173">
        <f>BJ173</f>
        <v>0.12</v>
      </c>
      <c r="BK174" s="173">
        <f>BK173</f>
        <v>0.12</v>
      </c>
      <c r="BL174" s="173">
        <f aca="true" t="shared" si="66" ref="BL174:BS191">BL173</f>
        <v>0.12</v>
      </c>
      <c r="BM174" s="174">
        <f t="shared" si="66"/>
        <v>0.12</v>
      </c>
      <c r="BN174" s="173">
        <f t="shared" si="66"/>
        <v>0.12</v>
      </c>
      <c r="BO174" s="173">
        <f t="shared" si="66"/>
        <v>0.12</v>
      </c>
      <c r="BP174" s="173">
        <f t="shared" si="66"/>
        <v>0.11</v>
      </c>
      <c r="BQ174" s="173">
        <f t="shared" si="66"/>
        <v>0.11</v>
      </c>
      <c r="BR174" s="174">
        <f t="shared" si="66"/>
        <v>0.11</v>
      </c>
      <c r="BS174" s="173">
        <f t="shared" si="66"/>
        <v>0.11</v>
      </c>
      <c r="BT174" s="173">
        <f t="shared" si="13"/>
        <v>0.11</v>
      </c>
      <c r="BU174" s="173">
        <f t="shared" si="13"/>
        <v>0.11</v>
      </c>
      <c r="BV174" s="173">
        <f t="shared" si="13"/>
        <v>0.11</v>
      </c>
      <c r="BW174" s="174">
        <f t="shared" si="13"/>
        <v>0.11</v>
      </c>
      <c r="BX174" s="173">
        <f t="shared" si="23"/>
        <v>0.11</v>
      </c>
      <c r="BY174" s="173">
        <f t="shared" si="23"/>
        <v>0.1</v>
      </c>
      <c r="BZ174" s="173">
        <f t="shared" si="65"/>
        <v>0.1</v>
      </c>
      <c r="CA174" s="173">
        <f t="shared" si="64"/>
        <v>0.1</v>
      </c>
      <c r="CB174" s="174">
        <f t="shared" si="64"/>
        <v>0.1</v>
      </c>
      <c r="CC174" s="173">
        <f t="shared" si="64"/>
        <v>0.1</v>
      </c>
      <c r="CD174" s="173">
        <f t="shared" si="64"/>
        <v>0.1</v>
      </c>
      <c r="CE174" s="173">
        <f t="shared" si="63"/>
        <v>0.1</v>
      </c>
      <c r="CF174" s="173">
        <f t="shared" si="63"/>
        <v>0.1</v>
      </c>
      <c r="CG174" s="174">
        <f t="shared" si="63"/>
        <v>0.1</v>
      </c>
      <c r="CH174" s="173">
        <f t="shared" si="63"/>
        <v>0.1</v>
      </c>
      <c r="CI174" s="173">
        <f t="shared" si="63"/>
        <v>0.09</v>
      </c>
      <c r="CJ174" s="173">
        <f t="shared" si="63"/>
        <v>0.09</v>
      </c>
      <c r="CK174" s="173">
        <f t="shared" si="63"/>
        <v>0.09</v>
      </c>
      <c r="CL174" s="174">
        <f t="shared" si="63"/>
        <v>0.09</v>
      </c>
      <c r="CM174" s="173">
        <f t="shared" si="63"/>
        <v>0.09</v>
      </c>
      <c r="CN174" s="173">
        <f t="shared" si="63"/>
        <v>0.09</v>
      </c>
      <c r="CO174" s="173">
        <f t="shared" si="15"/>
        <v>0.09</v>
      </c>
      <c r="CP174" s="173">
        <f t="shared" si="15"/>
        <v>0.09</v>
      </c>
      <c r="CQ174" s="174">
        <f t="shared" si="16"/>
        <v>0.09</v>
      </c>
      <c r="CR174" s="173">
        <f t="shared" si="16"/>
        <v>0.09</v>
      </c>
      <c r="CS174" s="173">
        <f t="shared" si="17"/>
        <v>0.08</v>
      </c>
      <c r="CT174" s="173">
        <f t="shared" si="17"/>
        <v>0.08</v>
      </c>
      <c r="CU174" s="173">
        <f t="shared" si="17"/>
        <v>0.08</v>
      </c>
      <c r="CV174" s="173">
        <f t="shared" si="17"/>
        <v>0.08</v>
      </c>
      <c r="CW174" s="175">
        <f t="shared" si="17"/>
        <v>0.08</v>
      </c>
    </row>
    <row r="175" spans="1:101" ht="13.5" thickBot="1">
      <c r="A175" s="2">
        <v>0.34</v>
      </c>
      <c r="B175" s="176">
        <v>1.43</v>
      </c>
      <c r="C175" s="177">
        <v>1.02</v>
      </c>
      <c r="D175" s="177">
        <v>0.84</v>
      </c>
      <c r="E175" s="178">
        <v>0.71</v>
      </c>
      <c r="F175" s="177">
        <v>0.63</v>
      </c>
      <c r="G175" s="177">
        <v>0.57</v>
      </c>
      <c r="H175" s="177">
        <v>0.52</v>
      </c>
      <c r="I175" s="177">
        <v>0.48</v>
      </c>
      <c r="J175" s="178">
        <v>0.45</v>
      </c>
      <c r="K175" s="179">
        <f t="shared" si="18"/>
        <v>0.41999999999999993</v>
      </c>
      <c r="L175" s="177">
        <f t="shared" si="2"/>
        <v>0.39999999999999997</v>
      </c>
      <c r="M175" s="177">
        <f t="shared" si="2"/>
        <v>0.38999999999999996</v>
      </c>
      <c r="N175" s="177">
        <f t="shared" si="2"/>
        <v>0.36999999999999994</v>
      </c>
      <c r="O175" s="178">
        <f>O174-0.01</f>
        <v>0.36</v>
      </c>
      <c r="P175" s="179">
        <f t="shared" si="27"/>
        <v>0.33999999999999997</v>
      </c>
      <c r="Q175" s="177">
        <f t="shared" si="27"/>
        <v>0.33</v>
      </c>
      <c r="R175" s="177">
        <f t="shared" si="27"/>
        <v>0.31</v>
      </c>
      <c r="S175" s="177">
        <v>0.3</v>
      </c>
      <c r="T175" s="178">
        <f>T174-0.01</f>
        <v>0.27999999999999997</v>
      </c>
      <c r="U175" s="177">
        <v>0.27</v>
      </c>
      <c r="V175" s="177">
        <f>V174-0.01</f>
        <v>0.26</v>
      </c>
      <c r="W175" s="177">
        <f>W174-0.01</f>
        <v>0.25</v>
      </c>
      <c r="X175" s="177">
        <v>0.25</v>
      </c>
      <c r="Y175" s="178">
        <f>Y174-0.01</f>
        <v>0.24</v>
      </c>
      <c r="Z175" s="179">
        <v>0.23</v>
      </c>
      <c r="AA175" s="177">
        <f t="shared" si="19"/>
        <v>0.23</v>
      </c>
      <c r="AB175" s="177">
        <v>0.22</v>
      </c>
      <c r="AC175" s="177">
        <f t="shared" si="3"/>
        <v>0.22</v>
      </c>
      <c r="AD175" s="178">
        <f t="shared" si="3"/>
        <v>0.21</v>
      </c>
      <c r="AE175" s="177">
        <v>0.2</v>
      </c>
      <c r="AF175" s="177">
        <f t="shared" si="3"/>
        <v>0.2</v>
      </c>
      <c r="AG175" s="177">
        <f t="shared" si="4"/>
        <v>0.2</v>
      </c>
      <c r="AH175" s="177">
        <f t="shared" si="4"/>
        <v>0.19</v>
      </c>
      <c r="AI175" s="178">
        <f t="shared" si="5"/>
        <v>0.19</v>
      </c>
      <c r="AJ175" s="177">
        <v>0.18</v>
      </c>
      <c r="AK175" s="177">
        <f t="shared" si="6"/>
        <v>0.18</v>
      </c>
      <c r="AL175" s="177">
        <v>0.17</v>
      </c>
      <c r="AM175" s="177">
        <f t="shared" si="7"/>
        <v>0.17</v>
      </c>
      <c r="AN175" s="178">
        <f t="shared" si="7"/>
        <v>0.17</v>
      </c>
      <c r="AO175" s="177">
        <f t="shared" si="8"/>
        <v>0.16</v>
      </c>
      <c r="AP175" s="177">
        <f t="shared" si="8"/>
        <v>0.16</v>
      </c>
      <c r="AQ175" s="177">
        <f t="shared" si="9"/>
        <v>0.16</v>
      </c>
      <c r="AR175" s="177">
        <f t="shared" si="9"/>
        <v>0.16</v>
      </c>
      <c r="AS175" s="178">
        <f t="shared" si="9"/>
        <v>0.15</v>
      </c>
      <c r="AT175" s="177">
        <f t="shared" si="9"/>
        <v>0.15</v>
      </c>
      <c r="AU175" s="177">
        <f t="shared" si="9"/>
        <v>0.15</v>
      </c>
      <c r="AV175" s="177">
        <f t="shared" si="9"/>
        <v>0.15</v>
      </c>
      <c r="AW175" s="177">
        <f t="shared" si="10"/>
        <v>0.14</v>
      </c>
      <c r="AX175" s="178">
        <f t="shared" si="10"/>
        <v>0.14</v>
      </c>
      <c r="AY175" s="177">
        <f t="shared" si="10"/>
        <v>0.14</v>
      </c>
      <c r="AZ175" s="177">
        <f t="shared" si="10"/>
        <v>0.14</v>
      </c>
      <c r="BA175" s="177">
        <f t="shared" si="10"/>
        <v>0.14</v>
      </c>
      <c r="BB175" s="177">
        <v>0.13</v>
      </c>
      <c r="BC175" s="178">
        <f t="shared" si="11"/>
        <v>0.13</v>
      </c>
      <c r="BD175" s="177">
        <f t="shared" si="11"/>
        <v>0.13</v>
      </c>
      <c r="BE175" s="177">
        <f t="shared" si="11"/>
        <v>0.13</v>
      </c>
      <c r="BF175" s="177">
        <f t="shared" si="11"/>
        <v>0.13</v>
      </c>
      <c r="BG175" s="177">
        <f t="shared" si="11"/>
        <v>0.13</v>
      </c>
      <c r="BH175" s="178">
        <v>0.12</v>
      </c>
      <c r="BI175" s="177">
        <f aca="true" t="shared" si="67" ref="BI175:BK191">BI174</f>
        <v>0.12</v>
      </c>
      <c r="BJ175" s="177">
        <f t="shared" si="67"/>
        <v>0.12</v>
      </c>
      <c r="BK175" s="177">
        <f t="shared" si="67"/>
        <v>0.12</v>
      </c>
      <c r="BL175" s="177">
        <f t="shared" si="66"/>
        <v>0.12</v>
      </c>
      <c r="BM175" s="178">
        <f t="shared" si="66"/>
        <v>0.12</v>
      </c>
      <c r="BN175" s="177">
        <f t="shared" si="66"/>
        <v>0.12</v>
      </c>
      <c r="BO175" s="177">
        <v>0.11</v>
      </c>
      <c r="BP175" s="177">
        <f t="shared" si="66"/>
        <v>0.11</v>
      </c>
      <c r="BQ175" s="177">
        <f t="shared" si="66"/>
        <v>0.11</v>
      </c>
      <c r="BR175" s="178">
        <f t="shared" si="66"/>
        <v>0.11</v>
      </c>
      <c r="BS175" s="177">
        <f t="shared" si="66"/>
        <v>0.11</v>
      </c>
      <c r="BT175" s="177">
        <f t="shared" si="13"/>
        <v>0.11</v>
      </c>
      <c r="BU175" s="177">
        <f t="shared" si="13"/>
        <v>0.11</v>
      </c>
      <c r="BV175" s="177">
        <f t="shared" si="13"/>
        <v>0.11</v>
      </c>
      <c r="BW175" s="178">
        <f t="shared" si="13"/>
        <v>0.11</v>
      </c>
      <c r="BX175" s="177">
        <f t="shared" si="23"/>
        <v>0.11</v>
      </c>
      <c r="BY175" s="177">
        <f t="shared" si="23"/>
        <v>0.1</v>
      </c>
      <c r="BZ175" s="177">
        <f t="shared" si="65"/>
        <v>0.1</v>
      </c>
      <c r="CA175" s="177">
        <f t="shared" si="64"/>
        <v>0.1</v>
      </c>
      <c r="CB175" s="178">
        <f t="shared" si="64"/>
        <v>0.1</v>
      </c>
      <c r="CC175" s="177">
        <f t="shared" si="64"/>
        <v>0.1</v>
      </c>
      <c r="CD175" s="177">
        <f t="shared" si="64"/>
        <v>0.1</v>
      </c>
      <c r="CE175" s="177">
        <f t="shared" si="63"/>
        <v>0.1</v>
      </c>
      <c r="CF175" s="177">
        <f t="shared" si="63"/>
        <v>0.1</v>
      </c>
      <c r="CG175" s="178">
        <f t="shared" si="63"/>
        <v>0.1</v>
      </c>
      <c r="CH175" s="177">
        <f t="shared" si="63"/>
        <v>0.1</v>
      </c>
      <c r="CI175" s="177">
        <f t="shared" si="63"/>
        <v>0.09</v>
      </c>
      <c r="CJ175" s="177">
        <f t="shared" si="63"/>
        <v>0.09</v>
      </c>
      <c r="CK175" s="177">
        <f t="shared" si="63"/>
        <v>0.09</v>
      </c>
      <c r="CL175" s="178">
        <f t="shared" si="63"/>
        <v>0.09</v>
      </c>
      <c r="CM175" s="177">
        <f t="shared" si="63"/>
        <v>0.09</v>
      </c>
      <c r="CN175" s="177">
        <f t="shared" si="63"/>
        <v>0.09</v>
      </c>
      <c r="CO175" s="177">
        <f t="shared" si="15"/>
        <v>0.09</v>
      </c>
      <c r="CP175" s="177">
        <f t="shared" si="15"/>
        <v>0.09</v>
      </c>
      <c r="CQ175" s="178">
        <f t="shared" si="16"/>
        <v>0.09</v>
      </c>
      <c r="CR175" s="177">
        <f t="shared" si="16"/>
        <v>0.09</v>
      </c>
      <c r="CS175" s="177">
        <f t="shared" si="17"/>
        <v>0.08</v>
      </c>
      <c r="CT175" s="177">
        <f t="shared" si="17"/>
        <v>0.08</v>
      </c>
      <c r="CU175" s="177">
        <f t="shared" si="17"/>
        <v>0.08</v>
      </c>
      <c r="CV175" s="177">
        <f t="shared" si="17"/>
        <v>0.08</v>
      </c>
      <c r="CW175" s="180">
        <f t="shared" si="17"/>
        <v>0.08</v>
      </c>
    </row>
    <row r="176" spans="1:101" ht="12.75">
      <c r="A176" s="2">
        <v>0.35</v>
      </c>
      <c r="B176" s="172">
        <v>1.39</v>
      </c>
      <c r="C176" s="173">
        <v>1</v>
      </c>
      <c r="D176" s="173">
        <v>0.82</v>
      </c>
      <c r="E176" s="174">
        <v>0.7</v>
      </c>
      <c r="F176" s="173">
        <v>0.62</v>
      </c>
      <c r="G176" s="173">
        <v>0.56</v>
      </c>
      <c r="H176" s="173">
        <v>0.51</v>
      </c>
      <c r="I176" s="173">
        <v>0.47</v>
      </c>
      <c r="J176" s="174">
        <v>0.44</v>
      </c>
      <c r="K176" s="173">
        <f t="shared" si="18"/>
        <v>0.4099999999999999</v>
      </c>
      <c r="L176" s="173">
        <v>0.4</v>
      </c>
      <c r="M176" s="173">
        <f t="shared" si="2"/>
        <v>0.37999999999999995</v>
      </c>
      <c r="N176" s="173">
        <v>0.37</v>
      </c>
      <c r="O176" s="174">
        <f>O175-0.01</f>
        <v>0.35</v>
      </c>
      <c r="P176" s="173">
        <v>0.34</v>
      </c>
      <c r="Q176" s="173">
        <f t="shared" si="27"/>
        <v>0.32</v>
      </c>
      <c r="R176" s="173">
        <v>0.31</v>
      </c>
      <c r="S176" s="173">
        <f t="shared" si="27"/>
        <v>0.29</v>
      </c>
      <c r="T176" s="174">
        <v>0.28</v>
      </c>
      <c r="U176" s="173">
        <f>U175-0.01</f>
        <v>0.26</v>
      </c>
      <c r="V176" s="173">
        <v>0.25</v>
      </c>
      <c r="W176" s="173">
        <v>0.25</v>
      </c>
      <c r="X176" s="173">
        <f>X175-0.01</f>
        <v>0.24</v>
      </c>
      <c r="Y176" s="174">
        <v>0.24</v>
      </c>
      <c r="Z176" s="173">
        <f t="shared" si="19"/>
        <v>0.23</v>
      </c>
      <c r="AA176" s="173">
        <v>0.22</v>
      </c>
      <c r="AB176" s="173">
        <f t="shared" si="19"/>
        <v>0.22</v>
      </c>
      <c r="AC176" s="173">
        <v>0.21</v>
      </c>
      <c r="AD176" s="174">
        <f t="shared" si="3"/>
        <v>0.21</v>
      </c>
      <c r="AE176" s="173">
        <f t="shared" si="3"/>
        <v>0.2</v>
      </c>
      <c r="AF176" s="173">
        <f t="shared" si="3"/>
        <v>0.2</v>
      </c>
      <c r="AG176" s="173">
        <v>0.19</v>
      </c>
      <c r="AH176" s="173">
        <f t="shared" si="4"/>
        <v>0.19</v>
      </c>
      <c r="AI176" s="174">
        <v>0.18</v>
      </c>
      <c r="AJ176" s="173">
        <f t="shared" si="5"/>
        <v>0.18</v>
      </c>
      <c r="AK176" s="173">
        <f t="shared" si="6"/>
        <v>0.18</v>
      </c>
      <c r="AL176" s="173">
        <f t="shared" si="6"/>
        <v>0.17</v>
      </c>
      <c r="AM176" s="173">
        <f t="shared" si="7"/>
        <v>0.17</v>
      </c>
      <c r="AN176" s="174">
        <v>0.16</v>
      </c>
      <c r="AO176" s="173">
        <f t="shared" si="8"/>
        <v>0.16</v>
      </c>
      <c r="AP176" s="173">
        <f t="shared" si="8"/>
        <v>0.16</v>
      </c>
      <c r="AQ176" s="173">
        <f t="shared" si="9"/>
        <v>0.16</v>
      </c>
      <c r="AR176" s="173">
        <v>0.15</v>
      </c>
      <c r="AS176" s="174">
        <f t="shared" si="9"/>
        <v>0.15</v>
      </c>
      <c r="AT176" s="173">
        <f t="shared" si="9"/>
        <v>0.15</v>
      </c>
      <c r="AU176" s="173">
        <f t="shared" si="9"/>
        <v>0.15</v>
      </c>
      <c r="AV176" s="173">
        <f t="shared" si="9"/>
        <v>0.15</v>
      </c>
      <c r="AW176" s="173">
        <f t="shared" si="10"/>
        <v>0.14</v>
      </c>
      <c r="AX176" s="174">
        <f t="shared" si="10"/>
        <v>0.14</v>
      </c>
      <c r="AY176" s="173">
        <f t="shared" si="10"/>
        <v>0.14</v>
      </c>
      <c r="AZ176" s="173">
        <f t="shared" si="10"/>
        <v>0.14</v>
      </c>
      <c r="BA176" s="173">
        <f t="shared" si="10"/>
        <v>0.14</v>
      </c>
      <c r="BB176" s="173">
        <f t="shared" si="11"/>
        <v>0.13</v>
      </c>
      <c r="BC176" s="174">
        <f t="shared" si="11"/>
        <v>0.13</v>
      </c>
      <c r="BD176" s="173">
        <f t="shared" si="11"/>
        <v>0.13</v>
      </c>
      <c r="BE176" s="173">
        <f t="shared" si="11"/>
        <v>0.13</v>
      </c>
      <c r="BF176" s="173">
        <f t="shared" si="11"/>
        <v>0.13</v>
      </c>
      <c r="BG176" s="173">
        <v>0.12</v>
      </c>
      <c r="BH176" s="174">
        <f aca="true" t="shared" si="68" ref="BH176:BH191">BH175</f>
        <v>0.12</v>
      </c>
      <c r="BI176" s="173">
        <f t="shared" si="67"/>
        <v>0.12</v>
      </c>
      <c r="BJ176" s="173">
        <f t="shared" si="67"/>
        <v>0.12</v>
      </c>
      <c r="BK176" s="173">
        <f t="shared" si="67"/>
        <v>0.12</v>
      </c>
      <c r="BL176" s="173">
        <f t="shared" si="66"/>
        <v>0.12</v>
      </c>
      <c r="BM176" s="174">
        <f t="shared" si="66"/>
        <v>0.12</v>
      </c>
      <c r="BN176" s="173">
        <f t="shared" si="66"/>
        <v>0.12</v>
      </c>
      <c r="BO176" s="173">
        <f t="shared" si="66"/>
        <v>0.11</v>
      </c>
      <c r="BP176" s="173">
        <f t="shared" si="66"/>
        <v>0.11</v>
      </c>
      <c r="BQ176" s="173">
        <f t="shared" si="66"/>
        <v>0.11</v>
      </c>
      <c r="BR176" s="174">
        <f t="shared" si="66"/>
        <v>0.11</v>
      </c>
      <c r="BS176" s="173">
        <f t="shared" si="66"/>
        <v>0.11</v>
      </c>
      <c r="BT176" s="173">
        <f t="shared" si="13"/>
        <v>0.11</v>
      </c>
      <c r="BU176" s="173">
        <f t="shared" si="13"/>
        <v>0.11</v>
      </c>
      <c r="BV176" s="173">
        <f t="shared" si="13"/>
        <v>0.11</v>
      </c>
      <c r="BW176" s="174">
        <f t="shared" si="13"/>
        <v>0.11</v>
      </c>
      <c r="BX176" s="173">
        <f t="shared" si="23"/>
        <v>0.11</v>
      </c>
      <c r="BY176" s="173">
        <f t="shared" si="23"/>
        <v>0.1</v>
      </c>
      <c r="BZ176" s="173">
        <f t="shared" si="65"/>
        <v>0.1</v>
      </c>
      <c r="CA176" s="173">
        <f t="shared" si="64"/>
        <v>0.1</v>
      </c>
      <c r="CB176" s="174">
        <f t="shared" si="64"/>
        <v>0.1</v>
      </c>
      <c r="CC176" s="173">
        <f t="shared" si="64"/>
        <v>0.1</v>
      </c>
      <c r="CD176" s="173">
        <f t="shared" si="64"/>
        <v>0.1</v>
      </c>
      <c r="CE176" s="173">
        <f t="shared" si="63"/>
        <v>0.1</v>
      </c>
      <c r="CF176" s="173">
        <f t="shared" si="63"/>
        <v>0.1</v>
      </c>
      <c r="CG176" s="174">
        <f t="shared" si="63"/>
        <v>0.1</v>
      </c>
      <c r="CH176" s="173">
        <f t="shared" si="63"/>
        <v>0.1</v>
      </c>
      <c r="CI176" s="173">
        <f t="shared" si="63"/>
        <v>0.09</v>
      </c>
      <c r="CJ176" s="173">
        <f t="shared" si="63"/>
        <v>0.09</v>
      </c>
      <c r="CK176" s="173">
        <f t="shared" si="63"/>
        <v>0.09</v>
      </c>
      <c r="CL176" s="174">
        <f t="shared" si="63"/>
        <v>0.09</v>
      </c>
      <c r="CM176" s="173">
        <f t="shared" si="63"/>
        <v>0.09</v>
      </c>
      <c r="CN176" s="173">
        <f t="shared" si="63"/>
        <v>0.09</v>
      </c>
      <c r="CO176" s="173">
        <f t="shared" si="15"/>
        <v>0.09</v>
      </c>
      <c r="CP176" s="173">
        <f t="shared" si="15"/>
        <v>0.09</v>
      </c>
      <c r="CQ176" s="174">
        <f t="shared" si="16"/>
        <v>0.09</v>
      </c>
      <c r="CR176" s="173">
        <f t="shared" si="16"/>
        <v>0.09</v>
      </c>
      <c r="CS176" s="173">
        <f t="shared" si="17"/>
        <v>0.08</v>
      </c>
      <c r="CT176" s="173">
        <f t="shared" si="17"/>
        <v>0.08</v>
      </c>
      <c r="CU176" s="173">
        <f t="shared" si="17"/>
        <v>0.08</v>
      </c>
      <c r="CV176" s="173">
        <f t="shared" si="17"/>
        <v>0.08</v>
      </c>
      <c r="CW176" s="175">
        <f t="shared" si="17"/>
        <v>0.08</v>
      </c>
    </row>
    <row r="177" spans="1:101" ht="12.75">
      <c r="A177" s="2">
        <v>0.36</v>
      </c>
      <c r="B177" s="172">
        <v>1.37</v>
      </c>
      <c r="C177" s="173">
        <v>0.98</v>
      </c>
      <c r="D177" s="173">
        <v>0.8</v>
      </c>
      <c r="E177" s="174">
        <v>0.68</v>
      </c>
      <c r="F177" s="173">
        <v>0.6</v>
      </c>
      <c r="G177" s="173">
        <v>0.55</v>
      </c>
      <c r="H177" s="173">
        <v>0.5</v>
      </c>
      <c r="I177" s="173">
        <v>0.46</v>
      </c>
      <c r="J177" s="174">
        <v>0.43</v>
      </c>
      <c r="K177" s="173">
        <f t="shared" si="18"/>
        <v>0.3999999999999999</v>
      </c>
      <c r="L177" s="173">
        <f t="shared" si="2"/>
        <v>0.39</v>
      </c>
      <c r="M177" s="173">
        <f t="shared" si="2"/>
        <v>0.36999999999999994</v>
      </c>
      <c r="N177" s="173">
        <f t="shared" si="2"/>
        <v>0.36</v>
      </c>
      <c r="O177" s="174">
        <f>O176-0.01</f>
        <v>0.33999999999999997</v>
      </c>
      <c r="P177" s="173">
        <f t="shared" si="27"/>
        <v>0.33</v>
      </c>
      <c r="Q177" s="173">
        <f t="shared" si="27"/>
        <v>0.31</v>
      </c>
      <c r="R177" s="173">
        <f t="shared" si="27"/>
        <v>0.3</v>
      </c>
      <c r="S177" s="173">
        <f t="shared" si="27"/>
        <v>0.27999999999999997</v>
      </c>
      <c r="T177" s="174">
        <f>T176-0.01</f>
        <v>0.27</v>
      </c>
      <c r="U177" s="173">
        <v>0.26</v>
      </c>
      <c r="V177" s="173">
        <v>0.25</v>
      </c>
      <c r="W177" s="173">
        <f>W176-0.01</f>
        <v>0.24</v>
      </c>
      <c r="X177" s="173">
        <v>0.24</v>
      </c>
      <c r="Y177" s="174">
        <f>Y176-0.01</f>
        <v>0.22999999999999998</v>
      </c>
      <c r="Z177" s="173">
        <f t="shared" si="19"/>
        <v>0.23</v>
      </c>
      <c r="AA177" s="173">
        <f t="shared" si="19"/>
        <v>0.22</v>
      </c>
      <c r="AB177" s="173">
        <v>0.21</v>
      </c>
      <c r="AC177" s="173">
        <f t="shared" si="3"/>
        <v>0.21</v>
      </c>
      <c r="AD177" s="174">
        <v>0.2</v>
      </c>
      <c r="AE177" s="173">
        <f t="shared" si="3"/>
        <v>0.2</v>
      </c>
      <c r="AF177" s="173">
        <v>0.19</v>
      </c>
      <c r="AG177" s="173">
        <f t="shared" si="4"/>
        <v>0.19</v>
      </c>
      <c r="AH177" s="173">
        <v>0.18</v>
      </c>
      <c r="AI177" s="174">
        <f t="shared" si="5"/>
        <v>0.18</v>
      </c>
      <c r="AJ177" s="173">
        <f t="shared" si="5"/>
        <v>0.18</v>
      </c>
      <c r="AK177" s="173">
        <v>0.17</v>
      </c>
      <c r="AL177" s="173">
        <f t="shared" si="6"/>
        <v>0.17</v>
      </c>
      <c r="AM177" s="173">
        <f t="shared" si="7"/>
        <v>0.17</v>
      </c>
      <c r="AN177" s="174">
        <f t="shared" si="7"/>
        <v>0.16</v>
      </c>
      <c r="AO177" s="173">
        <f t="shared" si="8"/>
        <v>0.16</v>
      </c>
      <c r="AP177" s="173">
        <f t="shared" si="8"/>
        <v>0.16</v>
      </c>
      <c r="AQ177" s="173">
        <v>0.15</v>
      </c>
      <c r="AR177" s="173">
        <f t="shared" si="9"/>
        <v>0.15</v>
      </c>
      <c r="AS177" s="174">
        <f t="shared" si="9"/>
        <v>0.15</v>
      </c>
      <c r="AT177" s="173">
        <f t="shared" si="9"/>
        <v>0.15</v>
      </c>
      <c r="AU177" s="173">
        <f t="shared" si="9"/>
        <v>0.15</v>
      </c>
      <c r="AV177" s="173">
        <v>0.14</v>
      </c>
      <c r="AW177" s="173">
        <f t="shared" si="10"/>
        <v>0.14</v>
      </c>
      <c r="AX177" s="174">
        <f t="shared" si="10"/>
        <v>0.14</v>
      </c>
      <c r="AY177" s="173">
        <f t="shared" si="10"/>
        <v>0.14</v>
      </c>
      <c r="AZ177" s="173">
        <f t="shared" si="10"/>
        <v>0.14</v>
      </c>
      <c r="BA177" s="173">
        <v>0.13</v>
      </c>
      <c r="BB177" s="173">
        <f t="shared" si="11"/>
        <v>0.13</v>
      </c>
      <c r="BC177" s="174">
        <f t="shared" si="11"/>
        <v>0.13</v>
      </c>
      <c r="BD177" s="173">
        <f t="shared" si="11"/>
        <v>0.13</v>
      </c>
      <c r="BE177" s="173">
        <f t="shared" si="11"/>
        <v>0.13</v>
      </c>
      <c r="BF177" s="173">
        <f t="shared" si="11"/>
        <v>0.13</v>
      </c>
      <c r="BG177" s="173">
        <f t="shared" si="11"/>
        <v>0.12</v>
      </c>
      <c r="BH177" s="174">
        <f t="shared" si="68"/>
        <v>0.12</v>
      </c>
      <c r="BI177" s="173">
        <f t="shared" si="67"/>
        <v>0.12</v>
      </c>
      <c r="BJ177" s="173">
        <f t="shared" si="67"/>
        <v>0.12</v>
      </c>
      <c r="BK177" s="173">
        <f t="shared" si="67"/>
        <v>0.12</v>
      </c>
      <c r="BL177" s="173">
        <f t="shared" si="66"/>
        <v>0.12</v>
      </c>
      <c r="BM177" s="174">
        <f t="shared" si="66"/>
        <v>0.12</v>
      </c>
      <c r="BN177" s="173">
        <v>0.11</v>
      </c>
      <c r="BO177" s="173">
        <f t="shared" si="66"/>
        <v>0.11</v>
      </c>
      <c r="BP177" s="173">
        <f t="shared" si="66"/>
        <v>0.11</v>
      </c>
      <c r="BQ177" s="173">
        <f t="shared" si="66"/>
        <v>0.11</v>
      </c>
      <c r="BR177" s="174">
        <f t="shared" si="66"/>
        <v>0.11</v>
      </c>
      <c r="BS177" s="173">
        <f t="shared" si="66"/>
        <v>0.11</v>
      </c>
      <c r="BT177" s="173">
        <f t="shared" si="13"/>
        <v>0.11</v>
      </c>
      <c r="BU177" s="173">
        <f t="shared" si="13"/>
        <v>0.11</v>
      </c>
      <c r="BV177" s="173">
        <f t="shared" si="13"/>
        <v>0.11</v>
      </c>
      <c r="BW177" s="174">
        <v>0.1</v>
      </c>
      <c r="BX177" s="173">
        <v>0.1</v>
      </c>
      <c r="BY177" s="173">
        <f t="shared" si="23"/>
        <v>0.1</v>
      </c>
      <c r="BZ177" s="173">
        <f t="shared" si="65"/>
        <v>0.1</v>
      </c>
      <c r="CA177" s="173">
        <f t="shared" si="64"/>
        <v>0.1</v>
      </c>
      <c r="CB177" s="174">
        <f t="shared" si="64"/>
        <v>0.1</v>
      </c>
      <c r="CC177" s="173">
        <f t="shared" si="64"/>
        <v>0.1</v>
      </c>
      <c r="CD177" s="173">
        <f t="shared" si="64"/>
        <v>0.1</v>
      </c>
      <c r="CE177" s="173">
        <f t="shared" si="63"/>
        <v>0.1</v>
      </c>
      <c r="CF177" s="173">
        <f t="shared" si="63"/>
        <v>0.1</v>
      </c>
      <c r="CG177" s="174">
        <v>0.09</v>
      </c>
      <c r="CH177" s="173">
        <v>0.09</v>
      </c>
      <c r="CI177" s="173">
        <f t="shared" si="63"/>
        <v>0.09</v>
      </c>
      <c r="CJ177" s="173">
        <f t="shared" si="63"/>
        <v>0.09</v>
      </c>
      <c r="CK177" s="173">
        <f t="shared" si="63"/>
        <v>0.09</v>
      </c>
      <c r="CL177" s="174">
        <f t="shared" si="63"/>
        <v>0.09</v>
      </c>
      <c r="CM177" s="173">
        <f t="shared" si="63"/>
        <v>0.09</v>
      </c>
      <c r="CN177" s="173">
        <f t="shared" si="63"/>
        <v>0.09</v>
      </c>
      <c r="CO177" s="173">
        <f t="shared" si="15"/>
        <v>0.09</v>
      </c>
      <c r="CP177" s="173">
        <f t="shared" si="15"/>
        <v>0.09</v>
      </c>
      <c r="CQ177" s="174">
        <f t="shared" si="16"/>
        <v>0.09</v>
      </c>
      <c r="CR177" s="173">
        <f t="shared" si="16"/>
        <v>0.09</v>
      </c>
      <c r="CS177" s="173">
        <f t="shared" si="17"/>
        <v>0.08</v>
      </c>
      <c r="CT177" s="173">
        <f t="shared" si="17"/>
        <v>0.08</v>
      </c>
      <c r="CU177" s="173">
        <f t="shared" si="17"/>
        <v>0.08</v>
      </c>
      <c r="CV177" s="173">
        <f t="shared" si="17"/>
        <v>0.08</v>
      </c>
      <c r="CW177" s="175">
        <f t="shared" si="17"/>
        <v>0.08</v>
      </c>
    </row>
    <row r="178" spans="1:101" ht="12.75">
      <c r="A178" s="2">
        <v>0.37</v>
      </c>
      <c r="B178" s="172">
        <v>1.34</v>
      </c>
      <c r="C178" s="173">
        <v>0.95</v>
      </c>
      <c r="D178" s="173">
        <v>0.78</v>
      </c>
      <c r="E178" s="174">
        <v>0.66</v>
      </c>
      <c r="F178" s="173">
        <v>0.59</v>
      </c>
      <c r="G178" s="173">
        <v>0.53</v>
      </c>
      <c r="H178" s="173">
        <v>0.49</v>
      </c>
      <c r="I178" s="173">
        <v>0.45</v>
      </c>
      <c r="J178" s="174">
        <v>0.42</v>
      </c>
      <c r="K178" s="173">
        <f t="shared" si="18"/>
        <v>0.3899999999999999</v>
      </c>
      <c r="L178" s="173">
        <f t="shared" si="2"/>
        <v>0.38</v>
      </c>
      <c r="M178" s="173">
        <f t="shared" si="2"/>
        <v>0.35999999999999993</v>
      </c>
      <c r="N178" s="173">
        <f t="shared" si="2"/>
        <v>0.35</v>
      </c>
      <c r="O178" s="174">
        <f>O177-0.01</f>
        <v>0.32999999999999996</v>
      </c>
      <c r="P178" s="173">
        <f t="shared" si="27"/>
        <v>0.32</v>
      </c>
      <c r="Q178" s="173">
        <v>0.31</v>
      </c>
      <c r="R178" s="173">
        <f t="shared" si="27"/>
        <v>0.29</v>
      </c>
      <c r="S178" s="173">
        <v>0.28</v>
      </c>
      <c r="T178" s="174">
        <v>0.27</v>
      </c>
      <c r="U178" s="173">
        <f>U177-0.01</f>
        <v>0.25</v>
      </c>
      <c r="V178" s="173">
        <v>0.25</v>
      </c>
      <c r="W178" s="173">
        <v>0.24</v>
      </c>
      <c r="X178" s="173">
        <f>X177-0.01</f>
        <v>0.22999999999999998</v>
      </c>
      <c r="Y178" s="174">
        <v>0.23</v>
      </c>
      <c r="Z178" s="173">
        <v>0.22</v>
      </c>
      <c r="AA178" s="173">
        <f t="shared" si="19"/>
        <v>0.22</v>
      </c>
      <c r="AB178" s="173">
        <f t="shared" si="19"/>
        <v>0.21</v>
      </c>
      <c r="AC178" s="173">
        <v>0.2</v>
      </c>
      <c r="AD178" s="174">
        <f t="shared" si="3"/>
        <v>0.2</v>
      </c>
      <c r="AE178" s="173">
        <v>0.19</v>
      </c>
      <c r="AF178" s="173">
        <f t="shared" si="3"/>
        <v>0.19</v>
      </c>
      <c r="AG178" s="173">
        <v>0.18</v>
      </c>
      <c r="AH178" s="173">
        <f t="shared" si="4"/>
        <v>0.18</v>
      </c>
      <c r="AI178" s="174">
        <f t="shared" si="5"/>
        <v>0.18</v>
      </c>
      <c r="AJ178" s="173">
        <v>0.17</v>
      </c>
      <c r="AK178" s="173">
        <f t="shared" si="6"/>
        <v>0.17</v>
      </c>
      <c r="AL178" s="173">
        <f t="shared" si="6"/>
        <v>0.17</v>
      </c>
      <c r="AM178" s="173">
        <v>0.16</v>
      </c>
      <c r="AN178" s="174">
        <f t="shared" si="7"/>
        <v>0.16</v>
      </c>
      <c r="AO178" s="173">
        <f t="shared" si="8"/>
        <v>0.16</v>
      </c>
      <c r="AP178" s="173">
        <v>0.15</v>
      </c>
      <c r="AQ178" s="173">
        <f t="shared" si="9"/>
        <v>0.15</v>
      </c>
      <c r="AR178" s="173">
        <f t="shared" si="9"/>
        <v>0.15</v>
      </c>
      <c r="AS178" s="174">
        <f t="shared" si="9"/>
        <v>0.15</v>
      </c>
      <c r="AT178" s="173">
        <f t="shared" si="9"/>
        <v>0.15</v>
      </c>
      <c r="AU178" s="173">
        <v>0.14</v>
      </c>
      <c r="AV178" s="173">
        <f t="shared" si="9"/>
        <v>0.14</v>
      </c>
      <c r="AW178" s="173">
        <f t="shared" si="10"/>
        <v>0.14</v>
      </c>
      <c r="AX178" s="174">
        <f t="shared" si="10"/>
        <v>0.14</v>
      </c>
      <c r="AY178" s="173">
        <f t="shared" si="10"/>
        <v>0.14</v>
      </c>
      <c r="AZ178" s="173">
        <v>0.13</v>
      </c>
      <c r="BA178" s="173">
        <f t="shared" si="10"/>
        <v>0.13</v>
      </c>
      <c r="BB178" s="173">
        <f t="shared" si="11"/>
        <v>0.13</v>
      </c>
      <c r="BC178" s="174">
        <f t="shared" si="11"/>
        <v>0.13</v>
      </c>
      <c r="BD178" s="173">
        <f t="shared" si="11"/>
        <v>0.13</v>
      </c>
      <c r="BE178" s="173">
        <f t="shared" si="11"/>
        <v>0.13</v>
      </c>
      <c r="BF178" s="173">
        <v>0.12</v>
      </c>
      <c r="BG178" s="173">
        <f t="shared" si="11"/>
        <v>0.12</v>
      </c>
      <c r="BH178" s="174">
        <f t="shared" si="68"/>
        <v>0.12</v>
      </c>
      <c r="BI178" s="173">
        <f t="shared" si="67"/>
        <v>0.12</v>
      </c>
      <c r="BJ178" s="173">
        <f t="shared" si="67"/>
        <v>0.12</v>
      </c>
      <c r="BK178" s="173">
        <f t="shared" si="67"/>
        <v>0.12</v>
      </c>
      <c r="BL178" s="173">
        <f t="shared" si="66"/>
        <v>0.12</v>
      </c>
      <c r="BM178" s="174">
        <v>0.11</v>
      </c>
      <c r="BN178" s="173">
        <f t="shared" si="66"/>
        <v>0.11</v>
      </c>
      <c r="BO178" s="173">
        <f t="shared" si="66"/>
        <v>0.11</v>
      </c>
      <c r="BP178" s="173">
        <f t="shared" si="66"/>
        <v>0.11</v>
      </c>
      <c r="BQ178" s="173">
        <f t="shared" si="66"/>
        <v>0.11</v>
      </c>
      <c r="BR178" s="174">
        <f t="shared" si="66"/>
        <v>0.11</v>
      </c>
      <c r="BS178" s="173">
        <f t="shared" si="66"/>
        <v>0.11</v>
      </c>
      <c r="BT178" s="173">
        <f t="shared" si="13"/>
        <v>0.11</v>
      </c>
      <c r="BU178" s="173">
        <v>0.1</v>
      </c>
      <c r="BV178" s="173">
        <v>0.1</v>
      </c>
      <c r="BW178" s="174">
        <f t="shared" si="13"/>
        <v>0.1</v>
      </c>
      <c r="BX178" s="173">
        <f t="shared" si="23"/>
        <v>0.1</v>
      </c>
      <c r="BY178" s="173">
        <f t="shared" si="23"/>
        <v>0.1</v>
      </c>
      <c r="BZ178" s="173">
        <f t="shared" si="65"/>
        <v>0.1</v>
      </c>
      <c r="CA178" s="173">
        <f t="shared" si="64"/>
        <v>0.1</v>
      </c>
      <c r="CB178" s="174">
        <f t="shared" si="64"/>
        <v>0.1</v>
      </c>
      <c r="CC178" s="173">
        <f t="shared" si="64"/>
        <v>0.1</v>
      </c>
      <c r="CD178" s="173">
        <f t="shared" si="64"/>
        <v>0.1</v>
      </c>
      <c r="CE178" s="173">
        <v>0.09</v>
      </c>
      <c r="CF178" s="173">
        <v>0.09</v>
      </c>
      <c r="CG178" s="174">
        <f t="shared" si="63"/>
        <v>0.09</v>
      </c>
      <c r="CH178" s="173">
        <f t="shared" si="63"/>
        <v>0.09</v>
      </c>
      <c r="CI178" s="173">
        <f t="shared" si="63"/>
        <v>0.09</v>
      </c>
      <c r="CJ178" s="173">
        <f t="shared" si="63"/>
        <v>0.09</v>
      </c>
      <c r="CK178" s="173">
        <f t="shared" si="63"/>
        <v>0.09</v>
      </c>
      <c r="CL178" s="174">
        <f t="shared" si="63"/>
        <v>0.09</v>
      </c>
      <c r="CM178" s="173">
        <f t="shared" si="63"/>
        <v>0.09</v>
      </c>
      <c r="CN178" s="173">
        <f t="shared" si="63"/>
        <v>0.09</v>
      </c>
      <c r="CO178" s="173">
        <f t="shared" si="15"/>
        <v>0.09</v>
      </c>
      <c r="CP178" s="173">
        <f t="shared" si="15"/>
        <v>0.09</v>
      </c>
      <c r="CQ178" s="174">
        <f t="shared" si="16"/>
        <v>0.09</v>
      </c>
      <c r="CR178" s="173">
        <f t="shared" si="16"/>
        <v>0.09</v>
      </c>
      <c r="CS178" s="173">
        <f t="shared" si="17"/>
        <v>0.08</v>
      </c>
      <c r="CT178" s="173">
        <f t="shared" si="17"/>
        <v>0.08</v>
      </c>
      <c r="CU178" s="173">
        <f t="shared" si="17"/>
        <v>0.08</v>
      </c>
      <c r="CV178" s="173">
        <f t="shared" si="17"/>
        <v>0.08</v>
      </c>
      <c r="CW178" s="175">
        <f t="shared" si="17"/>
        <v>0.08</v>
      </c>
    </row>
    <row r="179" spans="1:101" ht="12.75">
      <c r="A179" s="2">
        <v>0.38</v>
      </c>
      <c r="B179" s="172">
        <v>1.32</v>
      </c>
      <c r="C179" s="173">
        <v>0.93</v>
      </c>
      <c r="D179" s="173">
        <v>0.76</v>
      </c>
      <c r="E179" s="174">
        <v>0.65</v>
      </c>
      <c r="F179" s="173">
        <v>0.57</v>
      </c>
      <c r="G179" s="173">
        <v>0.52</v>
      </c>
      <c r="H179" s="173">
        <v>0.47</v>
      </c>
      <c r="I179" s="173">
        <v>0.43</v>
      </c>
      <c r="J179" s="174">
        <v>0.41</v>
      </c>
      <c r="K179" s="173">
        <f t="shared" si="18"/>
        <v>0.3799999999999999</v>
      </c>
      <c r="L179" s="173">
        <f t="shared" si="2"/>
        <v>0.37</v>
      </c>
      <c r="M179" s="173">
        <f t="shared" si="2"/>
        <v>0.3499999999999999</v>
      </c>
      <c r="N179" s="173">
        <f t="shared" si="2"/>
        <v>0.33999999999999997</v>
      </c>
      <c r="O179" s="174">
        <v>0.33</v>
      </c>
      <c r="P179" s="173">
        <f t="shared" si="27"/>
        <v>0.31</v>
      </c>
      <c r="Q179" s="173">
        <f t="shared" si="27"/>
        <v>0.3</v>
      </c>
      <c r="R179" s="173">
        <v>0.29</v>
      </c>
      <c r="S179" s="173">
        <f t="shared" si="27"/>
        <v>0.27</v>
      </c>
      <c r="T179" s="174">
        <f>T178-0.01</f>
        <v>0.26</v>
      </c>
      <c r="U179" s="173">
        <v>0.25</v>
      </c>
      <c r="V179" s="173">
        <v>0.24</v>
      </c>
      <c r="W179" s="173">
        <v>0.24</v>
      </c>
      <c r="X179" s="173">
        <v>0.23</v>
      </c>
      <c r="Y179" s="174">
        <f>Y178-0.01</f>
        <v>0.22</v>
      </c>
      <c r="Z179" s="173">
        <f t="shared" si="19"/>
        <v>0.22</v>
      </c>
      <c r="AA179" s="173">
        <v>0.21</v>
      </c>
      <c r="AB179" s="173">
        <f t="shared" si="19"/>
        <v>0.21</v>
      </c>
      <c r="AC179" s="173">
        <f t="shared" si="3"/>
        <v>0.2</v>
      </c>
      <c r="AD179" s="174">
        <v>0.19</v>
      </c>
      <c r="AE179" s="173">
        <f t="shared" si="3"/>
        <v>0.19</v>
      </c>
      <c r="AF179" s="173">
        <v>0.18</v>
      </c>
      <c r="AG179" s="173">
        <f t="shared" si="4"/>
        <v>0.18</v>
      </c>
      <c r="AH179" s="173">
        <f t="shared" si="4"/>
        <v>0.18</v>
      </c>
      <c r="AI179" s="174">
        <v>0.17</v>
      </c>
      <c r="AJ179" s="173">
        <f t="shared" si="5"/>
        <v>0.17</v>
      </c>
      <c r="AK179" s="173">
        <f t="shared" si="6"/>
        <v>0.17</v>
      </c>
      <c r="AL179" s="173">
        <v>0.16</v>
      </c>
      <c r="AM179" s="173">
        <f t="shared" si="7"/>
        <v>0.16</v>
      </c>
      <c r="AN179" s="174">
        <f t="shared" si="7"/>
        <v>0.16</v>
      </c>
      <c r="AO179" s="173">
        <v>0.15</v>
      </c>
      <c r="AP179" s="173">
        <f t="shared" si="8"/>
        <v>0.15</v>
      </c>
      <c r="AQ179" s="173">
        <f t="shared" si="9"/>
        <v>0.15</v>
      </c>
      <c r="AR179" s="173">
        <f t="shared" si="9"/>
        <v>0.15</v>
      </c>
      <c r="AS179" s="174">
        <f t="shared" si="9"/>
        <v>0.15</v>
      </c>
      <c r="AT179" s="173">
        <v>0.14</v>
      </c>
      <c r="AU179" s="173">
        <f t="shared" si="9"/>
        <v>0.14</v>
      </c>
      <c r="AV179" s="173">
        <f t="shared" si="9"/>
        <v>0.14</v>
      </c>
      <c r="AW179" s="173">
        <f t="shared" si="10"/>
        <v>0.14</v>
      </c>
      <c r="AX179" s="174">
        <f t="shared" si="10"/>
        <v>0.14</v>
      </c>
      <c r="AY179" s="173">
        <v>0.13</v>
      </c>
      <c r="AZ179" s="173">
        <f t="shared" si="10"/>
        <v>0.13</v>
      </c>
      <c r="BA179" s="173">
        <f t="shared" si="10"/>
        <v>0.13</v>
      </c>
      <c r="BB179" s="173">
        <f t="shared" si="11"/>
        <v>0.13</v>
      </c>
      <c r="BC179" s="174">
        <f t="shared" si="11"/>
        <v>0.13</v>
      </c>
      <c r="BD179" s="173">
        <f t="shared" si="11"/>
        <v>0.13</v>
      </c>
      <c r="BE179" s="173">
        <f t="shared" si="11"/>
        <v>0.13</v>
      </c>
      <c r="BF179" s="173">
        <f t="shared" si="11"/>
        <v>0.12</v>
      </c>
      <c r="BG179" s="173">
        <f t="shared" si="11"/>
        <v>0.12</v>
      </c>
      <c r="BH179" s="174">
        <f t="shared" si="68"/>
        <v>0.12</v>
      </c>
      <c r="BI179" s="173">
        <f t="shared" si="67"/>
        <v>0.12</v>
      </c>
      <c r="BJ179" s="173">
        <f t="shared" si="67"/>
        <v>0.12</v>
      </c>
      <c r="BK179" s="173">
        <f t="shared" si="67"/>
        <v>0.12</v>
      </c>
      <c r="BL179" s="173">
        <f t="shared" si="66"/>
        <v>0.12</v>
      </c>
      <c r="BM179" s="174">
        <f t="shared" si="66"/>
        <v>0.11</v>
      </c>
      <c r="BN179" s="173">
        <f t="shared" si="66"/>
        <v>0.11</v>
      </c>
      <c r="BO179" s="173">
        <f t="shared" si="66"/>
        <v>0.11</v>
      </c>
      <c r="BP179" s="173">
        <f t="shared" si="66"/>
        <v>0.11</v>
      </c>
      <c r="BQ179" s="173">
        <f t="shared" si="66"/>
        <v>0.11</v>
      </c>
      <c r="BR179" s="174">
        <f t="shared" si="66"/>
        <v>0.11</v>
      </c>
      <c r="BS179" s="173">
        <v>0.1</v>
      </c>
      <c r="BT179" s="173">
        <v>0.1</v>
      </c>
      <c r="BU179" s="173">
        <f t="shared" si="13"/>
        <v>0.1</v>
      </c>
      <c r="BV179" s="173">
        <f t="shared" si="13"/>
        <v>0.1</v>
      </c>
      <c r="BW179" s="174">
        <f t="shared" si="13"/>
        <v>0.1</v>
      </c>
      <c r="BX179" s="173">
        <f t="shared" si="23"/>
        <v>0.1</v>
      </c>
      <c r="BY179" s="173">
        <f t="shared" si="23"/>
        <v>0.1</v>
      </c>
      <c r="BZ179" s="173">
        <f t="shared" si="65"/>
        <v>0.1</v>
      </c>
      <c r="CA179" s="173">
        <f t="shared" si="64"/>
        <v>0.1</v>
      </c>
      <c r="CB179" s="174">
        <f t="shared" si="64"/>
        <v>0.1</v>
      </c>
      <c r="CC179" s="173">
        <v>0.09</v>
      </c>
      <c r="CD179" s="173">
        <v>0.09</v>
      </c>
      <c r="CE179" s="173">
        <f t="shared" si="63"/>
        <v>0.09</v>
      </c>
      <c r="CF179" s="173">
        <f t="shared" si="63"/>
        <v>0.09</v>
      </c>
      <c r="CG179" s="174">
        <f t="shared" si="63"/>
        <v>0.09</v>
      </c>
      <c r="CH179" s="173">
        <f t="shared" si="63"/>
        <v>0.09</v>
      </c>
      <c r="CI179" s="173">
        <f t="shared" si="63"/>
        <v>0.09</v>
      </c>
      <c r="CJ179" s="173">
        <f t="shared" si="63"/>
        <v>0.09</v>
      </c>
      <c r="CK179" s="173">
        <f t="shared" si="63"/>
        <v>0.09</v>
      </c>
      <c r="CL179" s="174">
        <f t="shared" si="63"/>
        <v>0.09</v>
      </c>
      <c r="CM179" s="173">
        <f t="shared" si="63"/>
        <v>0.09</v>
      </c>
      <c r="CN179" s="173">
        <f t="shared" si="63"/>
        <v>0.09</v>
      </c>
      <c r="CO179" s="173">
        <f t="shared" si="15"/>
        <v>0.09</v>
      </c>
      <c r="CP179" s="173">
        <f t="shared" si="15"/>
        <v>0.09</v>
      </c>
      <c r="CQ179" s="174">
        <f t="shared" si="16"/>
        <v>0.09</v>
      </c>
      <c r="CR179" s="173">
        <f t="shared" si="16"/>
        <v>0.09</v>
      </c>
      <c r="CS179" s="173">
        <f t="shared" si="17"/>
        <v>0.08</v>
      </c>
      <c r="CT179" s="173">
        <f t="shared" si="17"/>
        <v>0.08</v>
      </c>
      <c r="CU179" s="173">
        <f t="shared" si="17"/>
        <v>0.08</v>
      </c>
      <c r="CV179" s="173">
        <f t="shared" si="17"/>
        <v>0.08</v>
      </c>
      <c r="CW179" s="175">
        <f t="shared" si="17"/>
        <v>0.08</v>
      </c>
    </row>
    <row r="180" spans="1:101" ht="13.5" thickBot="1">
      <c r="A180" s="2">
        <v>0.39</v>
      </c>
      <c r="B180" s="176">
        <v>1.29</v>
      </c>
      <c r="C180" s="177">
        <v>0.9</v>
      </c>
      <c r="D180" s="177">
        <v>0.74</v>
      </c>
      <c r="E180" s="178">
        <v>0.63</v>
      </c>
      <c r="F180" s="177">
        <v>0.56</v>
      </c>
      <c r="G180" s="177">
        <v>0.5</v>
      </c>
      <c r="H180" s="177">
        <v>0.46</v>
      </c>
      <c r="I180" s="177">
        <v>0.42</v>
      </c>
      <c r="J180" s="178">
        <v>0.4</v>
      </c>
      <c r="K180" s="179">
        <f t="shared" si="18"/>
        <v>0.3699999999999999</v>
      </c>
      <c r="L180" s="177">
        <f t="shared" si="2"/>
        <v>0.36</v>
      </c>
      <c r="M180" s="177">
        <f t="shared" si="2"/>
        <v>0.3399999999999999</v>
      </c>
      <c r="N180" s="177">
        <f t="shared" si="2"/>
        <v>0.32999999999999996</v>
      </c>
      <c r="O180" s="178">
        <f>O179-0.01</f>
        <v>0.32</v>
      </c>
      <c r="P180" s="179">
        <v>0.31</v>
      </c>
      <c r="Q180" s="177">
        <f t="shared" si="27"/>
        <v>0.29</v>
      </c>
      <c r="R180" s="177">
        <f t="shared" si="27"/>
        <v>0.27999999999999997</v>
      </c>
      <c r="S180" s="177">
        <v>0.27</v>
      </c>
      <c r="T180" s="178">
        <v>0.26</v>
      </c>
      <c r="U180" s="177">
        <f>U179-0.01</f>
        <v>0.24</v>
      </c>
      <c r="V180" s="177">
        <v>0.24</v>
      </c>
      <c r="W180" s="177">
        <f>W179-0.01</f>
        <v>0.22999999999999998</v>
      </c>
      <c r="X180" s="177">
        <v>0.23</v>
      </c>
      <c r="Y180" s="178">
        <v>0.22</v>
      </c>
      <c r="Z180" s="179">
        <v>0.21</v>
      </c>
      <c r="AA180" s="177">
        <f t="shared" si="19"/>
        <v>0.21</v>
      </c>
      <c r="AB180" s="177">
        <v>0.2</v>
      </c>
      <c r="AC180" s="177">
        <f t="shared" si="3"/>
        <v>0.2</v>
      </c>
      <c r="AD180" s="178">
        <f t="shared" si="3"/>
        <v>0.19</v>
      </c>
      <c r="AE180" s="177">
        <v>0.18</v>
      </c>
      <c r="AF180" s="177">
        <f t="shared" si="3"/>
        <v>0.18</v>
      </c>
      <c r="AG180" s="177">
        <f t="shared" si="4"/>
        <v>0.18</v>
      </c>
      <c r="AH180" s="177">
        <v>0.17</v>
      </c>
      <c r="AI180" s="178">
        <f t="shared" si="5"/>
        <v>0.17</v>
      </c>
      <c r="AJ180" s="177">
        <f t="shared" si="5"/>
        <v>0.17</v>
      </c>
      <c r="AK180" s="177">
        <v>0.16</v>
      </c>
      <c r="AL180" s="177">
        <f t="shared" si="6"/>
        <v>0.16</v>
      </c>
      <c r="AM180" s="177">
        <f t="shared" si="7"/>
        <v>0.16</v>
      </c>
      <c r="AN180" s="178">
        <f t="shared" si="7"/>
        <v>0.16</v>
      </c>
      <c r="AO180" s="177">
        <f t="shared" si="8"/>
        <v>0.15</v>
      </c>
      <c r="AP180" s="177">
        <f t="shared" si="8"/>
        <v>0.15</v>
      </c>
      <c r="AQ180" s="177">
        <f t="shared" si="9"/>
        <v>0.15</v>
      </c>
      <c r="AR180" s="177">
        <f t="shared" si="9"/>
        <v>0.15</v>
      </c>
      <c r="AS180" s="178">
        <v>0.14</v>
      </c>
      <c r="AT180" s="177">
        <f t="shared" si="9"/>
        <v>0.14</v>
      </c>
      <c r="AU180" s="177">
        <f t="shared" si="9"/>
        <v>0.14</v>
      </c>
      <c r="AV180" s="177">
        <f t="shared" si="9"/>
        <v>0.14</v>
      </c>
      <c r="AW180" s="177">
        <f t="shared" si="10"/>
        <v>0.14</v>
      </c>
      <c r="AX180" s="178">
        <v>0.13</v>
      </c>
      <c r="AY180" s="177">
        <f t="shared" si="10"/>
        <v>0.13</v>
      </c>
      <c r="AZ180" s="177">
        <f t="shared" si="10"/>
        <v>0.13</v>
      </c>
      <c r="BA180" s="177">
        <f t="shared" si="10"/>
        <v>0.13</v>
      </c>
      <c r="BB180" s="177">
        <f t="shared" si="11"/>
        <v>0.13</v>
      </c>
      <c r="BC180" s="178">
        <f t="shared" si="11"/>
        <v>0.13</v>
      </c>
      <c r="BD180" s="177">
        <f t="shared" si="11"/>
        <v>0.13</v>
      </c>
      <c r="BE180" s="177">
        <v>0.12</v>
      </c>
      <c r="BF180" s="177">
        <f t="shared" si="11"/>
        <v>0.12</v>
      </c>
      <c r="BG180" s="177">
        <f t="shared" si="11"/>
        <v>0.12</v>
      </c>
      <c r="BH180" s="178">
        <f t="shared" si="68"/>
        <v>0.12</v>
      </c>
      <c r="BI180" s="177">
        <f t="shared" si="67"/>
        <v>0.12</v>
      </c>
      <c r="BJ180" s="177">
        <f t="shared" si="67"/>
        <v>0.12</v>
      </c>
      <c r="BK180" s="177">
        <f t="shared" si="67"/>
        <v>0.12</v>
      </c>
      <c r="BL180" s="177">
        <v>0.11</v>
      </c>
      <c r="BM180" s="178">
        <f t="shared" si="66"/>
        <v>0.11</v>
      </c>
      <c r="BN180" s="177">
        <f t="shared" si="66"/>
        <v>0.11</v>
      </c>
      <c r="BO180" s="177">
        <f t="shared" si="66"/>
        <v>0.11</v>
      </c>
      <c r="BP180" s="177">
        <f t="shared" si="66"/>
        <v>0.11</v>
      </c>
      <c r="BQ180" s="177">
        <f t="shared" si="66"/>
        <v>0.11</v>
      </c>
      <c r="BR180" s="178">
        <v>0.1</v>
      </c>
      <c r="BS180" s="177">
        <f t="shared" si="66"/>
        <v>0.1</v>
      </c>
      <c r="BT180" s="177">
        <f t="shared" si="13"/>
        <v>0.1</v>
      </c>
      <c r="BU180" s="177">
        <f t="shared" si="13"/>
        <v>0.1</v>
      </c>
      <c r="BV180" s="177">
        <f t="shared" si="13"/>
        <v>0.1</v>
      </c>
      <c r="BW180" s="178">
        <f t="shared" si="13"/>
        <v>0.1</v>
      </c>
      <c r="BX180" s="177">
        <f t="shared" si="23"/>
        <v>0.1</v>
      </c>
      <c r="BY180" s="177">
        <f t="shared" si="23"/>
        <v>0.1</v>
      </c>
      <c r="BZ180" s="177">
        <f t="shared" si="65"/>
        <v>0.1</v>
      </c>
      <c r="CA180" s="177">
        <v>0.09</v>
      </c>
      <c r="CB180" s="178">
        <v>0.09</v>
      </c>
      <c r="CC180" s="177">
        <f t="shared" si="64"/>
        <v>0.09</v>
      </c>
      <c r="CD180" s="177">
        <f t="shared" si="64"/>
        <v>0.09</v>
      </c>
      <c r="CE180" s="177">
        <f t="shared" si="63"/>
        <v>0.09</v>
      </c>
      <c r="CF180" s="177">
        <f t="shared" si="63"/>
        <v>0.09</v>
      </c>
      <c r="CG180" s="178">
        <f t="shared" si="63"/>
        <v>0.09</v>
      </c>
      <c r="CH180" s="177">
        <f t="shared" si="63"/>
        <v>0.09</v>
      </c>
      <c r="CI180" s="177">
        <f t="shared" si="63"/>
        <v>0.09</v>
      </c>
      <c r="CJ180" s="177">
        <f t="shared" si="63"/>
        <v>0.09</v>
      </c>
      <c r="CK180" s="177">
        <f t="shared" si="63"/>
        <v>0.09</v>
      </c>
      <c r="CL180" s="178">
        <f t="shared" si="63"/>
        <v>0.09</v>
      </c>
      <c r="CM180" s="177">
        <f t="shared" si="63"/>
        <v>0.09</v>
      </c>
      <c r="CN180" s="177">
        <f t="shared" si="63"/>
        <v>0.09</v>
      </c>
      <c r="CO180" s="177">
        <f t="shared" si="15"/>
        <v>0.09</v>
      </c>
      <c r="CP180" s="177">
        <f t="shared" si="15"/>
        <v>0.09</v>
      </c>
      <c r="CQ180" s="178">
        <f t="shared" si="16"/>
        <v>0.09</v>
      </c>
      <c r="CR180" s="177">
        <f t="shared" si="16"/>
        <v>0.09</v>
      </c>
      <c r="CS180" s="177">
        <f t="shared" si="17"/>
        <v>0.08</v>
      </c>
      <c r="CT180" s="177">
        <f t="shared" si="17"/>
        <v>0.08</v>
      </c>
      <c r="CU180" s="177">
        <f t="shared" si="17"/>
        <v>0.08</v>
      </c>
      <c r="CV180" s="177">
        <f t="shared" si="17"/>
        <v>0.08</v>
      </c>
      <c r="CW180" s="180">
        <f t="shared" si="17"/>
        <v>0.08</v>
      </c>
    </row>
    <row r="181" spans="1:101" ht="12.75">
      <c r="A181" s="2">
        <v>0.4</v>
      </c>
      <c r="B181" s="172">
        <v>1.27</v>
      </c>
      <c r="C181" s="173">
        <v>0.88</v>
      </c>
      <c r="D181" s="173">
        <v>0.72</v>
      </c>
      <c r="E181" s="174">
        <v>0.61</v>
      </c>
      <c r="F181" s="173">
        <v>0.54</v>
      </c>
      <c r="G181" s="173">
        <v>0.49</v>
      </c>
      <c r="H181" s="173">
        <v>0.45</v>
      </c>
      <c r="I181" s="173">
        <v>0.41</v>
      </c>
      <c r="J181" s="174">
        <v>0.39</v>
      </c>
      <c r="K181" s="173">
        <f t="shared" si="18"/>
        <v>0.3599999999999999</v>
      </c>
      <c r="L181" s="173">
        <f t="shared" si="2"/>
        <v>0.35</v>
      </c>
      <c r="M181" s="173">
        <v>0.34</v>
      </c>
      <c r="N181" s="173">
        <f t="shared" si="2"/>
        <v>0.31999999999999995</v>
      </c>
      <c r="O181" s="174">
        <f>O180-0.01</f>
        <v>0.31</v>
      </c>
      <c r="P181" s="173">
        <f t="shared" si="27"/>
        <v>0.3</v>
      </c>
      <c r="Q181" s="173">
        <v>0.29</v>
      </c>
      <c r="R181" s="173">
        <v>0.28</v>
      </c>
      <c r="S181" s="173">
        <f t="shared" si="27"/>
        <v>0.26</v>
      </c>
      <c r="T181" s="174">
        <f>T180-0.01</f>
        <v>0.25</v>
      </c>
      <c r="U181" s="173">
        <v>0.24</v>
      </c>
      <c r="V181" s="173">
        <f>V180-0.01</f>
        <v>0.22999999999999998</v>
      </c>
      <c r="W181" s="173">
        <v>0.23</v>
      </c>
      <c r="X181" s="173">
        <f>X180-0.01</f>
        <v>0.22</v>
      </c>
      <c r="Y181" s="174">
        <v>0.22</v>
      </c>
      <c r="Z181" s="173">
        <f t="shared" si="19"/>
        <v>0.21</v>
      </c>
      <c r="AA181" s="173">
        <v>0.2</v>
      </c>
      <c r="AB181" s="173">
        <f t="shared" si="19"/>
        <v>0.2</v>
      </c>
      <c r="AC181" s="173">
        <v>0.19</v>
      </c>
      <c r="AD181" s="174">
        <f t="shared" si="3"/>
        <v>0.19</v>
      </c>
      <c r="AE181" s="173">
        <f t="shared" si="3"/>
        <v>0.18</v>
      </c>
      <c r="AF181" s="173">
        <f t="shared" si="3"/>
        <v>0.18</v>
      </c>
      <c r="AG181" s="173">
        <v>0.17</v>
      </c>
      <c r="AH181" s="173">
        <f t="shared" si="4"/>
        <v>0.17</v>
      </c>
      <c r="AI181" s="174">
        <f t="shared" si="5"/>
        <v>0.17</v>
      </c>
      <c r="AJ181" s="173">
        <f t="shared" si="5"/>
        <v>0.17</v>
      </c>
      <c r="AK181" s="173">
        <f t="shared" si="6"/>
        <v>0.16</v>
      </c>
      <c r="AL181" s="173">
        <f t="shared" si="6"/>
        <v>0.16</v>
      </c>
      <c r="AM181" s="173">
        <f t="shared" si="7"/>
        <v>0.16</v>
      </c>
      <c r="AN181" s="174">
        <v>0.15</v>
      </c>
      <c r="AO181" s="173">
        <f t="shared" si="8"/>
        <v>0.15</v>
      </c>
      <c r="AP181" s="173">
        <f t="shared" si="8"/>
        <v>0.15</v>
      </c>
      <c r="AQ181" s="173">
        <f t="shared" si="9"/>
        <v>0.15</v>
      </c>
      <c r="AR181" s="173">
        <v>0.14</v>
      </c>
      <c r="AS181" s="174">
        <f t="shared" si="9"/>
        <v>0.14</v>
      </c>
      <c r="AT181" s="173">
        <f t="shared" si="9"/>
        <v>0.14</v>
      </c>
      <c r="AU181" s="173">
        <f t="shared" si="9"/>
        <v>0.14</v>
      </c>
      <c r="AV181" s="173">
        <f t="shared" si="9"/>
        <v>0.14</v>
      </c>
      <c r="AW181" s="173">
        <v>0.13</v>
      </c>
      <c r="AX181" s="174">
        <f t="shared" si="10"/>
        <v>0.13</v>
      </c>
      <c r="AY181" s="173">
        <f t="shared" si="10"/>
        <v>0.13</v>
      </c>
      <c r="AZ181" s="173">
        <f t="shared" si="10"/>
        <v>0.13</v>
      </c>
      <c r="BA181" s="173">
        <f t="shared" si="10"/>
        <v>0.13</v>
      </c>
      <c r="BB181" s="173">
        <f t="shared" si="11"/>
        <v>0.13</v>
      </c>
      <c r="BC181" s="174">
        <f t="shared" si="11"/>
        <v>0.13</v>
      </c>
      <c r="BD181" s="173">
        <f t="shared" si="11"/>
        <v>0.13</v>
      </c>
      <c r="BE181" s="173">
        <f t="shared" si="11"/>
        <v>0.12</v>
      </c>
      <c r="BF181" s="173">
        <f t="shared" si="11"/>
        <v>0.12</v>
      </c>
      <c r="BG181" s="173">
        <f t="shared" si="11"/>
        <v>0.12</v>
      </c>
      <c r="BH181" s="174">
        <f t="shared" si="68"/>
        <v>0.12</v>
      </c>
      <c r="BI181" s="173">
        <f t="shared" si="67"/>
        <v>0.12</v>
      </c>
      <c r="BJ181" s="173">
        <f t="shared" si="67"/>
        <v>0.12</v>
      </c>
      <c r="BK181" s="173">
        <f t="shared" si="67"/>
        <v>0.12</v>
      </c>
      <c r="BL181" s="173">
        <f t="shared" si="66"/>
        <v>0.11</v>
      </c>
      <c r="BM181" s="174">
        <f t="shared" si="66"/>
        <v>0.11</v>
      </c>
      <c r="BN181" s="173">
        <f t="shared" si="66"/>
        <v>0.11</v>
      </c>
      <c r="BO181" s="173">
        <f t="shared" si="66"/>
        <v>0.11</v>
      </c>
      <c r="BP181" s="173">
        <f t="shared" si="66"/>
        <v>0.11</v>
      </c>
      <c r="BQ181" s="173">
        <v>0.1</v>
      </c>
      <c r="BR181" s="174">
        <f t="shared" si="66"/>
        <v>0.1</v>
      </c>
      <c r="BS181" s="173">
        <f t="shared" si="66"/>
        <v>0.1</v>
      </c>
      <c r="BT181" s="173">
        <f t="shared" si="13"/>
        <v>0.1</v>
      </c>
      <c r="BU181" s="173">
        <f t="shared" si="13"/>
        <v>0.1</v>
      </c>
      <c r="BV181" s="173">
        <f t="shared" si="13"/>
        <v>0.1</v>
      </c>
      <c r="BW181" s="174">
        <f t="shared" si="13"/>
        <v>0.1</v>
      </c>
      <c r="BX181" s="173">
        <f t="shared" si="23"/>
        <v>0.1</v>
      </c>
      <c r="BY181" s="173">
        <v>0.09</v>
      </c>
      <c r="BZ181" s="173">
        <v>0.09</v>
      </c>
      <c r="CA181" s="173">
        <f t="shared" si="64"/>
        <v>0.09</v>
      </c>
      <c r="CB181" s="174">
        <f t="shared" si="64"/>
        <v>0.09</v>
      </c>
      <c r="CC181" s="173">
        <f t="shared" si="64"/>
        <v>0.09</v>
      </c>
      <c r="CD181" s="173">
        <f t="shared" si="64"/>
        <v>0.09</v>
      </c>
      <c r="CE181" s="173">
        <f t="shared" si="63"/>
        <v>0.09</v>
      </c>
      <c r="CF181" s="173">
        <f t="shared" si="63"/>
        <v>0.09</v>
      </c>
      <c r="CG181" s="174">
        <f t="shared" si="63"/>
        <v>0.09</v>
      </c>
      <c r="CH181" s="173">
        <f t="shared" si="63"/>
        <v>0.09</v>
      </c>
      <c r="CI181" s="173">
        <f t="shared" si="63"/>
        <v>0.09</v>
      </c>
      <c r="CJ181" s="173">
        <f t="shared" si="63"/>
        <v>0.09</v>
      </c>
      <c r="CK181" s="173">
        <f t="shared" si="63"/>
        <v>0.09</v>
      </c>
      <c r="CL181" s="174">
        <f t="shared" si="63"/>
        <v>0.09</v>
      </c>
      <c r="CM181" s="173">
        <f t="shared" si="63"/>
        <v>0.09</v>
      </c>
      <c r="CN181" s="173">
        <f t="shared" si="63"/>
        <v>0.09</v>
      </c>
      <c r="CO181" s="173">
        <f t="shared" si="15"/>
        <v>0.09</v>
      </c>
      <c r="CP181" s="173">
        <f t="shared" si="15"/>
        <v>0.09</v>
      </c>
      <c r="CQ181" s="174">
        <f t="shared" si="16"/>
        <v>0.09</v>
      </c>
      <c r="CR181" s="173">
        <f t="shared" si="16"/>
        <v>0.09</v>
      </c>
      <c r="CS181" s="173">
        <f t="shared" si="17"/>
        <v>0.08</v>
      </c>
      <c r="CT181" s="173">
        <f t="shared" si="17"/>
        <v>0.08</v>
      </c>
      <c r="CU181" s="173">
        <f t="shared" si="17"/>
        <v>0.08</v>
      </c>
      <c r="CV181" s="173">
        <f t="shared" si="17"/>
        <v>0.08</v>
      </c>
      <c r="CW181" s="175">
        <f t="shared" si="17"/>
        <v>0.08</v>
      </c>
    </row>
    <row r="182" spans="1:101" ht="12.75">
      <c r="A182" s="2">
        <v>0.41</v>
      </c>
      <c r="B182" s="172">
        <v>1.23</v>
      </c>
      <c r="C182" s="173">
        <v>0.85</v>
      </c>
      <c r="D182" s="173">
        <v>0.7</v>
      </c>
      <c r="E182" s="174">
        <v>0.59</v>
      </c>
      <c r="F182" s="173">
        <v>0.52</v>
      </c>
      <c r="G182" s="173">
        <v>0.47</v>
      </c>
      <c r="H182" s="173">
        <v>0.44</v>
      </c>
      <c r="I182" s="173">
        <v>0.4</v>
      </c>
      <c r="J182" s="174">
        <v>0.38</v>
      </c>
      <c r="K182" s="173">
        <f t="shared" si="18"/>
        <v>0.34999999999999987</v>
      </c>
      <c r="L182" s="173">
        <f t="shared" si="2"/>
        <v>0.33999999999999997</v>
      </c>
      <c r="M182" s="173">
        <f t="shared" si="2"/>
        <v>0.33</v>
      </c>
      <c r="N182" s="173">
        <v>0.32</v>
      </c>
      <c r="O182" s="174">
        <f>O181-0.01</f>
        <v>0.3</v>
      </c>
      <c r="P182" s="173">
        <f t="shared" si="27"/>
        <v>0.29</v>
      </c>
      <c r="Q182" s="173">
        <f t="shared" si="27"/>
        <v>0.27999999999999997</v>
      </c>
      <c r="R182" s="173">
        <f t="shared" si="27"/>
        <v>0.27</v>
      </c>
      <c r="S182" s="173">
        <v>0.26</v>
      </c>
      <c r="T182" s="174">
        <v>0.25</v>
      </c>
      <c r="U182" s="173">
        <f>U181-0.01</f>
        <v>0.22999999999999998</v>
      </c>
      <c r="V182" s="173">
        <v>0.23</v>
      </c>
      <c r="W182" s="173">
        <f>W181-0.01</f>
        <v>0.22</v>
      </c>
      <c r="X182" s="173">
        <v>0.22</v>
      </c>
      <c r="Y182" s="174">
        <f>Y181-0.01</f>
        <v>0.21</v>
      </c>
      <c r="Z182" s="173">
        <f t="shared" si="19"/>
        <v>0.21</v>
      </c>
      <c r="AA182" s="173">
        <f t="shared" si="19"/>
        <v>0.2</v>
      </c>
      <c r="AB182" s="173">
        <v>0.19</v>
      </c>
      <c r="AC182" s="173">
        <f t="shared" si="3"/>
        <v>0.19</v>
      </c>
      <c r="AD182" s="174">
        <v>0.18</v>
      </c>
      <c r="AE182" s="173">
        <f t="shared" si="3"/>
        <v>0.18</v>
      </c>
      <c r="AF182" s="173">
        <v>0.17</v>
      </c>
      <c r="AG182" s="173">
        <f t="shared" si="4"/>
        <v>0.17</v>
      </c>
      <c r="AH182" s="173">
        <f t="shared" si="4"/>
        <v>0.17</v>
      </c>
      <c r="AI182" s="174">
        <v>0.16</v>
      </c>
      <c r="AJ182" s="173">
        <v>0.16</v>
      </c>
      <c r="AK182" s="173">
        <f t="shared" si="6"/>
        <v>0.16</v>
      </c>
      <c r="AL182" s="173">
        <f t="shared" si="6"/>
        <v>0.16</v>
      </c>
      <c r="AM182" s="173">
        <v>0.15</v>
      </c>
      <c r="AN182" s="174">
        <f t="shared" si="7"/>
        <v>0.15</v>
      </c>
      <c r="AO182" s="173">
        <f t="shared" si="8"/>
        <v>0.15</v>
      </c>
      <c r="AP182" s="173">
        <f t="shared" si="8"/>
        <v>0.15</v>
      </c>
      <c r="AQ182" s="173">
        <v>0.14</v>
      </c>
      <c r="AR182" s="173">
        <f t="shared" si="9"/>
        <v>0.14</v>
      </c>
      <c r="AS182" s="174">
        <f t="shared" si="9"/>
        <v>0.14</v>
      </c>
      <c r="AT182" s="173">
        <f t="shared" si="9"/>
        <v>0.14</v>
      </c>
      <c r="AU182" s="173">
        <f t="shared" si="9"/>
        <v>0.14</v>
      </c>
      <c r="AV182" s="173">
        <v>0.13</v>
      </c>
      <c r="AW182" s="173">
        <f t="shared" si="10"/>
        <v>0.13</v>
      </c>
      <c r="AX182" s="174">
        <f t="shared" si="10"/>
        <v>0.13</v>
      </c>
      <c r="AY182" s="173">
        <f t="shared" si="10"/>
        <v>0.13</v>
      </c>
      <c r="AZ182" s="173">
        <f t="shared" si="10"/>
        <v>0.13</v>
      </c>
      <c r="BA182" s="173">
        <f t="shared" si="10"/>
        <v>0.13</v>
      </c>
      <c r="BB182" s="173">
        <f t="shared" si="11"/>
        <v>0.13</v>
      </c>
      <c r="BC182" s="174">
        <v>0.12</v>
      </c>
      <c r="BD182" s="173">
        <v>0.12</v>
      </c>
      <c r="BE182" s="173">
        <f t="shared" si="11"/>
        <v>0.12</v>
      </c>
      <c r="BF182" s="173">
        <f t="shared" si="11"/>
        <v>0.12</v>
      </c>
      <c r="BG182" s="173">
        <f t="shared" si="11"/>
        <v>0.12</v>
      </c>
      <c r="BH182" s="174">
        <f t="shared" si="68"/>
        <v>0.12</v>
      </c>
      <c r="BI182" s="173">
        <f t="shared" si="67"/>
        <v>0.12</v>
      </c>
      <c r="BJ182" s="173">
        <f t="shared" si="67"/>
        <v>0.12</v>
      </c>
      <c r="BK182" s="173">
        <v>0.11</v>
      </c>
      <c r="BL182" s="173">
        <f t="shared" si="66"/>
        <v>0.11</v>
      </c>
      <c r="BM182" s="174">
        <f t="shared" si="66"/>
        <v>0.11</v>
      </c>
      <c r="BN182" s="173">
        <f t="shared" si="66"/>
        <v>0.11</v>
      </c>
      <c r="BO182" s="173">
        <f t="shared" si="66"/>
        <v>0.11</v>
      </c>
      <c r="BP182" s="173">
        <f t="shared" si="66"/>
        <v>0.11</v>
      </c>
      <c r="BQ182" s="173">
        <f t="shared" si="66"/>
        <v>0.1</v>
      </c>
      <c r="BR182" s="174">
        <f t="shared" si="66"/>
        <v>0.1</v>
      </c>
      <c r="BS182" s="173">
        <f t="shared" si="66"/>
        <v>0.1</v>
      </c>
      <c r="BT182" s="173">
        <f t="shared" si="13"/>
        <v>0.1</v>
      </c>
      <c r="BU182" s="173">
        <f t="shared" si="13"/>
        <v>0.1</v>
      </c>
      <c r="BV182" s="173">
        <f t="shared" si="13"/>
        <v>0.1</v>
      </c>
      <c r="BW182" s="174">
        <f t="shared" si="13"/>
        <v>0.1</v>
      </c>
      <c r="BX182" s="173">
        <f t="shared" si="23"/>
        <v>0.1</v>
      </c>
      <c r="BY182" s="173">
        <f t="shared" si="23"/>
        <v>0.09</v>
      </c>
      <c r="BZ182" s="173">
        <f t="shared" si="65"/>
        <v>0.09</v>
      </c>
      <c r="CA182" s="173">
        <f t="shared" si="64"/>
        <v>0.09</v>
      </c>
      <c r="CB182" s="174">
        <f t="shared" si="64"/>
        <v>0.09</v>
      </c>
      <c r="CC182" s="173">
        <f t="shared" si="64"/>
        <v>0.09</v>
      </c>
      <c r="CD182" s="173">
        <f t="shared" si="64"/>
        <v>0.09</v>
      </c>
      <c r="CE182" s="173">
        <f t="shared" si="63"/>
        <v>0.09</v>
      </c>
      <c r="CF182" s="173">
        <f t="shared" si="63"/>
        <v>0.09</v>
      </c>
      <c r="CG182" s="174">
        <f t="shared" si="63"/>
        <v>0.09</v>
      </c>
      <c r="CH182" s="173">
        <f t="shared" si="63"/>
        <v>0.09</v>
      </c>
      <c r="CI182" s="173">
        <f t="shared" si="63"/>
        <v>0.09</v>
      </c>
      <c r="CJ182" s="173">
        <f t="shared" si="63"/>
        <v>0.09</v>
      </c>
      <c r="CK182" s="173">
        <f t="shared" si="63"/>
        <v>0.09</v>
      </c>
      <c r="CL182" s="174">
        <f t="shared" si="63"/>
        <v>0.09</v>
      </c>
      <c r="CM182" s="173">
        <f t="shared" si="63"/>
        <v>0.09</v>
      </c>
      <c r="CN182" s="173">
        <f t="shared" si="63"/>
        <v>0.09</v>
      </c>
      <c r="CO182" s="173">
        <f t="shared" si="15"/>
        <v>0.09</v>
      </c>
      <c r="CP182" s="173">
        <f t="shared" si="15"/>
        <v>0.09</v>
      </c>
      <c r="CQ182" s="174">
        <v>0.08</v>
      </c>
      <c r="CR182" s="173">
        <v>0.08</v>
      </c>
      <c r="CS182" s="173">
        <f t="shared" si="17"/>
        <v>0.08</v>
      </c>
      <c r="CT182" s="173">
        <f t="shared" si="17"/>
        <v>0.08</v>
      </c>
      <c r="CU182" s="173">
        <f t="shared" si="17"/>
        <v>0.08</v>
      </c>
      <c r="CV182" s="173">
        <f t="shared" si="17"/>
        <v>0.08</v>
      </c>
      <c r="CW182" s="175">
        <f t="shared" si="17"/>
        <v>0.08</v>
      </c>
    </row>
    <row r="183" spans="1:101" ht="12.75">
      <c r="A183" s="2">
        <v>0.42</v>
      </c>
      <c r="B183" s="172">
        <v>1.19</v>
      </c>
      <c r="C183" s="173">
        <v>0.83</v>
      </c>
      <c r="D183" s="173">
        <v>0.67</v>
      </c>
      <c r="E183" s="174">
        <v>0.57</v>
      </c>
      <c r="F183" s="173">
        <v>0.5</v>
      </c>
      <c r="G183" s="173">
        <v>0.46</v>
      </c>
      <c r="H183" s="173">
        <v>0.42</v>
      </c>
      <c r="I183" s="173">
        <v>0.39</v>
      </c>
      <c r="J183" s="174">
        <v>0.37</v>
      </c>
      <c r="K183" s="173">
        <f t="shared" si="18"/>
        <v>0.33999999999999986</v>
      </c>
      <c r="L183" s="173">
        <f t="shared" si="2"/>
        <v>0.32999999999999996</v>
      </c>
      <c r="M183" s="173">
        <f t="shared" si="2"/>
        <v>0.32</v>
      </c>
      <c r="N183" s="173">
        <f t="shared" si="2"/>
        <v>0.31</v>
      </c>
      <c r="O183" s="174">
        <v>0.3</v>
      </c>
      <c r="P183" s="173">
        <f t="shared" si="27"/>
        <v>0.27999999999999997</v>
      </c>
      <c r="Q183" s="173">
        <f t="shared" si="27"/>
        <v>0.26999999999999996</v>
      </c>
      <c r="R183" s="173">
        <f t="shared" si="27"/>
        <v>0.26</v>
      </c>
      <c r="S183" s="173">
        <f t="shared" si="27"/>
        <v>0.25</v>
      </c>
      <c r="T183" s="174">
        <f>T182-0.01</f>
        <v>0.24</v>
      </c>
      <c r="U183" s="173">
        <v>0.23</v>
      </c>
      <c r="V183" s="173">
        <f>V182-0.01</f>
        <v>0.22</v>
      </c>
      <c r="W183" s="173">
        <v>0.22</v>
      </c>
      <c r="X183" s="173">
        <f>X182-0.01</f>
        <v>0.21</v>
      </c>
      <c r="Y183" s="174">
        <v>0.21</v>
      </c>
      <c r="Z183" s="173">
        <v>0.2</v>
      </c>
      <c r="AA183" s="173">
        <v>0.19</v>
      </c>
      <c r="AB183" s="173">
        <f t="shared" si="19"/>
        <v>0.19</v>
      </c>
      <c r="AC183" s="173">
        <v>0.18</v>
      </c>
      <c r="AD183" s="174">
        <f t="shared" si="3"/>
        <v>0.18</v>
      </c>
      <c r="AE183" s="173">
        <v>0.17</v>
      </c>
      <c r="AF183" s="173">
        <f t="shared" si="3"/>
        <v>0.17</v>
      </c>
      <c r="AG183" s="173">
        <f t="shared" si="4"/>
        <v>0.17</v>
      </c>
      <c r="AH183" s="173">
        <v>0.16</v>
      </c>
      <c r="AI183" s="174">
        <f t="shared" si="5"/>
        <v>0.16</v>
      </c>
      <c r="AJ183" s="173">
        <f t="shared" si="5"/>
        <v>0.16</v>
      </c>
      <c r="AK183" s="173">
        <f t="shared" si="6"/>
        <v>0.16</v>
      </c>
      <c r="AL183" s="173">
        <v>0.15</v>
      </c>
      <c r="AM183" s="173">
        <f t="shared" si="7"/>
        <v>0.15</v>
      </c>
      <c r="AN183" s="174">
        <f t="shared" si="7"/>
        <v>0.15</v>
      </c>
      <c r="AO183" s="173">
        <f t="shared" si="8"/>
        <v>0.15</v>
      </c>
      <c r="AP183" s="173">
        <v>0.14</v>
      </c>
      <c r="AQ183" s="173">
        <f t="shared" si="9"/>
        <v>0.14</v>
      </c>
      <c r="AR183" s="173">
        <f t="shared" si="9"/>
        <v>0.14</v>
      </c>
      <c r="AS183" s="174">
        <f t="shared" si="9"/>
        <v>0.14</v>
      </c>
      <c r="AT183" s="173">
        <f t="shared" si="9"/>
        <v>0.14</v>
      </c>
      <c r="AU183" s="173">
        <v>0.13</v>
      </c>
      <c r="AV183" s="173">
        <f t="shared" si="9"/>
        <v>0.13</v>
      </c>
      <c r="AW183" s="173">
        <f t="shared" si="10"/>
        <v>0.13</v>
      </c>
      <c r="AX183" s="174">
        <f t="shared" si="10"/>
        <v>0.13</v>
      </c>
      <c r="AY183" s="173">
        <f t="shared" si="10"/>
        <v>0.13</v>
      </c>
      <c r="AZ183" s="173">
        <f t="shared" si="10"/>
        <v>0.13</v>
      </c>
      <c r="BA183" s="173">
        <v>0.12</v>
      </c>
      <c r="BB183" s="173">
        <v>0.12</v>
      </c>
      <c r="BC183" s="174">
        <f t="shared" si="11"/>
        <v>0.12</v>
      </c>
      <c r="BD183" s="173">
        <f t="shared" si="11"/>
        <v>0.12</v>
      </c>
      <c r="BE183" s="173">
        <f t="shared" si="11"/>
        <v>0.12</v>
      </c>
      <c r="BF183" s="173">
        <f t="shared" si="11"/>
        <v>0.12</v>
      </c>
      <c r="BG183" s="173">
        <f t="shared" si="11"/>
        <v>0.12</v>
      </c>
      <c r="BH183" s="174">
        <f t="shared" si="68"/>
        <v>0.12</v>
      </c>
      <c r="BI183" s="173">
        <f t="shared" si="67"/>
        <v>0.12</v>
      </c>
      <c r="BJ183" s="173">
        <v>0.11</v>
      </c>
      <c r="BK183" s="173">
        <f t="shared" si="67"/>
        <v>0.11</v>
      </c>
      <c r="BL183" s="173">
        <f t="shared" si="66"/>
        <v>0.11</v>
      </c>
      <c r="BM183" s="174">
        <f t="shared" si="66"/>
        <v>0.11</v>
      </c>
      <c r="BN183" s="173">
        <f t="shared" si="66"/>
        <v>0.11</v>
      </c>
      <c r="BO183" s="173">
        <f t="shared" si="66"/>
        <v>0.11</v>
      </c>
      <c r="BP183" s="173">
        <v>0.1</v>
      </c>
      <c r="BQ183" s="173">
        <f t="shared" si="66"/>
        <v>0.1</v>
      </c>
      <c r="BR183" s="174">
        <f t="shared" si="66"/>
        <v>0.1</v>
      </c>
      <c r="BS183" s="173">
        <f t="shared" si="66"/>
        <v>0.1</v>
      </c>
      <c r="BT183" s="173">
        <f t="shared" si="13"/>
        <v>0.1</v>
      </c>
      <c r="BU183" s="173">
        <f t="shared" si="13"/>
        <v>0.1</v>
      </c>
      <c r="BV183" s="173">
        <f t="shared" si="13"/>
        <v>0.1</v>
      </c>
      <c r="BW183" s="174">
        <f t="shared" si="13"/>
        <v>0.1</v>
      </c>
      <c r="BX183" s="173">
        <f t="shared" si="23"/>
        <v>0.1</v>
      </c>
      <c r="BY183" s="173">
        <f t="shared" si="23"/>
        <v>0.09</v>
      </c>
      <c r="BZ183" s="173">
        <f t="shared" si="65"/>
        <v>0.09</v>
      </c>
      <c r="CA183" s="173">
        <f t="shared" si="64"/>
        <v>0.09</v>
      </c>
      <c r="CB183" s="174">
        <f t="shared" si="64"/>
        <v>0.09</v>
      </c>
      <c r="CC183" s="173">
        <f t="shared" si="64"/>
        <v>0.09</v>
      </c>
      <c r="CD183" s="173">
        <f t="shared" si="64"/>
        <v>0.09</v>
      </c>
      <c r="CE183" s="173">
        <f t="shared" si="63"/>
        <v>0.09</v>
      </c>
      <c r="CF183" s="173">
        <f t="shared" si="63"/>
        <v>0.09</v>
      </c>
      <c r="CG183" s="174">
        <f t="shared" si="63"/>
        <v>0.09</v>
      </c>
      <c r="CH183" s="173">
        <f t="shared" si="63"/>
        <v>0.09</v>
      </c>
      <c r="CI183" s="173">
        <f t="shared" si="63"/>
        <v>0.09</v>
      </c>
      <c r="CJ183" s="173">
        <f t="shared" si="63"/>
        <v>0.09</v>
      </c>
      <c r="CK183" s="173">
        <f t="shared" si="63"/>
        <v>0.09</v>
      </c>
      <c r="CL183" s="174">
        <f t="shared" si="63"/>
        <v>0.09</v>
      </c>
      <c r="CM183" s="173">
        <f t="shared" si="63"/>
        <v>0.09</v>
      </c>
      <c r="CN183" s="173">
        <f t="shared" si="63"/>
        <v>0.09</v>
      </c>
      <c r="CO183" s="173">
        <v>0.08</v>
      </c>
      <c r="CP183" s="173">
        <v>0.08</v>
      </c>
      <c r="CQ183" s="174">
        <f t="shared" si="16"/>
        <v>0.08</v>
      </c>
      <c r="CR183" s="173">
        <f t="shared" si="16"/>
        <v>0.08</v>
      </c>
      <c r="CS183" s="173">
        <f t="shared" si="17"/>
        <v>0.08</v>
      </c>
      <c r="CT183" s="173">
        <f t="shared" si="17"/>
        <v>0.08</v>
      </c>
      <c r="CU183" s="173">
        <f t="shared" si="17"/>
        <v>0.08</v>
      </c>
      <c r="CV183" s="173">
        <f t="shared" si="17"/>
        <v>0.08</v>
      </c>
      <c r="CW183" s="175">
        <f t="shared" si="17"/>
        <v>0.08</v>
      </c>
    </row>
    <row r="184" spans="1:101" ht="12.75">
      <c r="A184" s="2">
        <v>0.43</v>
      </c>
      <c r="B184" s="172">
        <v>1.16</v>
      </c>
      <c r="C184" s="173">
        <v>0.8</v>
      </c>
      <c r="D184" s="173">
        <v>0.65</v>
      </c>
      <c r="E184" s="174">
        <v>0.55</v>
      </c>
      <c r="F184" s="173">
        <v>0.49</v>
      </c>
      <c r="G184" s="173">
        <v>0.44</v>
      </c>
      <c r="H184" s="173">
        <v>0.41</v>
      </c>
      <c r="I184" s="173">
        <v>0.37</v>
      </c>
      <c r="J184" s="174">
        <v>0.35</v>
      </c>
      <c r="K184" s="173">
        <f t="shared" si="18"/>
        <v>0.32999999999999985</v>
      </c>
      <c r="L184" s="173">
        <f t="shared" si="2"/>
        <v>0.31999999999999995</v>
      </c>
      <c r="M184" s="173">
        <f t="shared" si="2"/>
        <v>0.31</v>
      </c>
      <c r="N184" s="173">
        <f t="shared" si="2"/>
        <v>0.3</v>
      </c>
      <c r="O184" s="174">
        <f t="shared" si="2"/>
        <v>0.29</v>
      </c>
      <c r="P184" s="173">
        <v>0.28</v>
      </c>
      <c r="Q184" s="173">
        <v>0.27</v>
      </c>
      <c r="R184" s="173">
        <f t="shared" si="27"/>
        <v>0.25</v>
      </c>
      <c r="S184" s="173">
        <f t="shared" si="27"/>
        <v>0.24</v>
      </c>
      <c r="T184" s="174">
        <f>T183-0.01</f>
        <v>0.22999999999999998</v>
      </c>
      <c r="U184" s="173">
        <f>U183-0.01</f>
        <v>0.22</v>
      </c>
      <c r="V184" s="173">
        <v>0.22</v>
      </c>
      <c r="W184" s="173">
        <f>W183-0.01</f>
        <v>0.21</v>
      </c>
      <c r="X184" s="173">
        <v>0.21</v>
      </c>
      <c r="Y184" s="174">
        <f>Y183-0.01</f>
        <v>0.19999999999999998</v>
      </c>
      <c r="Z184" s="173">
        <f t="shared" si="19"/>
        <v>0.2</v>
      </c>
      <c r="AA184" s="173">
        <f t="shared" si="19"/>
        <v>0.19</v>
      </c>
      <c r="AB184" s="173">
        <v>0.18</v>
      </c>
      <c r="AC184" s="173">
        <f t="shared" si="3"/>
        <v>0.18</v>
      </c>
      <c r="AD184" s="174">
        <v>0.17</v>
      </c>
      <c r="AE184" s="173">
        <f t="shared" si="3"/>
        <v>0.17</v>
      </c>
      <c r="AF184" s="173">
        <f t="shared" si="3"/>
        <v>0.17</v>
      </c>
      <c r="AG184" s="173">
        <v>0.16</v>
      </c>
      <c r="AH184" s="173">
        <f t="shared" si="4"/>
        <v>0.16</v>
      </c>
      <c r="AI184" s="174">
        <f t="shared" si="5"/>
        <v>0.16</v>
      </c>
      <c r="AJ184" s="173">
        <f t="shared" si="5"/>
        <v>0.16</v>
      </c>
      <c r="AK184" s="173">
        <v>0.15</v>
      </c>
      <c r="AL184" s="173">
        <f t="shared" si="6"/>
        <v>0.15</v>
      </c>
      <c r="AM184" s="173">
        <f t="shared" si="7"/>
        <v>0.15</v>
      </c>
      <c r="AN184" s="174">
        <f t="shared" si="7"/>
        <v>0.15</v>
      </c>
      <c r="AO184" s="173">
        <v>0.14</v>
      </c>
      <c r="AP184" s="173">
        <f t="shared" si="8"/>
        <v>0.14</v>
      </c>
      <c r="AQ184" s="173">
        <f t="shared" si="9"/>
        <v>0.14</v>
      </c>
      <c r="AR184" s="173">
        <f t="shared" si="9"/>
        <v>0.14</v>
      </c>
      <c r="AS184" s="174">
        <f t="shared" si="9"/>
        <v>0.14</v>
      </c>
      <c r="AT184" s="173">
        <v>0.13</v>
      </c>
      <c r="AU184" s="173">
        <f t="shared" si="9"/>
        <v>0.13</v>
      </c>
      <c r="AV184" s="173">
        <f t="shared" si="9"/>
        <v>0.13</v>
      </c>
      <c r="AW184" s="173">
        <f t="shared" si="10"/>
        <v>0.13</v>
      </c>
      <c r="AX184" s="174">
        <f t="shared" si="10"/>
        <v>0.13</v>
      </c>
      <c r="AY184" s="173">
        <v>0.12</v>
      </c>
      <c r="AZ184" s="173">
        <v>0.12</v>
      </c>
      <c r="BA184" s="173">
        <f t="shared" si="10"/>
        <v>0.12</v>
      </c>
      <c r="BB184" s="173">
        <f t="shared" si="11"/>
        <v>0.12</v>
      </c>
      <c r="BC184" s="174">
        <f t="shared" si="11"/>
        <v>0.12</v>
      </c>
      <c r="BD184" s="173">
        <f t="shared" si="11"/>
        <v>0.12</v>
      </c>
      <c r="BE184" s="173">
        <f t="shared" si="11"/>
        <v>0.12</v>
      </c>
      <c r="BF184" s="173">
        <f t="shared" si="11"/>
        <v>0.12</v>
      </c>
      <c r="BG184" s="173">
        <f t="shared" si="11"/>
        <v>0.12</v>
      </c>
      <c r="BH184" s="174">
        <f t="shared" si="68"/>
        <v>0.12</v>
      </c>
      <c r="BI184" s="173">
        <v>0.11</v>
      </c>
      <c r="BJ184" s="173">
        <f t="shared" si="67"/>
        <v>0.11</v>
      </c>
      <c r="BK184" s="173">
        <f t="shared" si="67"/>
        <v>0.11</v>
      </c>
      <c r="BL184" s="173">
        <f t="shared" si="66"/>
        <v>0.11</v>
      </c>
      <c r="BM184" s="174">
        <f t="shared" si="66"/>
        <v>0.11</v>
      </c>
      <c r="BN184" s="173">
        <f t="shared" si="66"/>
        <v>0.11</v>
      </c>
      <c r="BO184" s="173">
        <f t="shared" si="66"/>
        <v>0.11</v>
      </c>
      <c r="BP184" s="173">
        <f t="shared" si="66"/>
        <v>0.1</v>
      </c>
      <c r="BQ184" s="173">
        <f t="shared" si="66"/>
        <v>0.1</v>
      </c>
      <c r="BR184" s="174">
        <f t="shared" si="66"/>
        <v>0.1</v>
      </c>
      <c r="BS184" s="173">
        <f t="shared" si="66"/>
        <v>0.1</v>
      </c>
      <c r="BT184" s="173">
        <f t="shared" si="13"/>
        <v>0.1</v>
      </c>
      <c r="BU184" s="173">
        <f t="shared" si="13"/>
        <v>0.1</v>
      </c>
      <c r="BV184" s="173">
        <f t="shared" si="13"/>
        <v>0.1</v>
      </c>
      <c r="BW184" s="174">
        <f t="shared" si="13"/>
        <v>0.1</v>
      </c>
      <c r="BX184" s="173">
        <f t="shared" si="23"/>
        <v>0.1</v>
      </c>
      <c r="BY184" s="173">
        <f t="shared" si="23"/>
        <v>0.09</v>
      </c>
      <c r="BZ184" s="173">
        <f t="shared" si="65"/>
        <v>0.09</v>
      </c>
      <c r="CA184" s="173">
        <f t="shared" si="64"/>
        <v>0.09</v>
      </c>
      <c r="CB184" s="174">
        <f t="shared" si="64"/>
        <v>0.09</v>
      </c>
      <c r="CC184" s="173">
        <f t="shared" si="64"/>
        <v>0.09</v>
      </c>
      <c r="CD184" s="173">
        <f t="shared" si="64"/>
        <v>0.09</v>
      </c>
      <c r="CE184" s="173">
        <f t="shared" si="63"/>
        <v>0.09</v>
      </c>
      <c r="CF184" s="173">
        <f t="shared" si="63"/>
        <v>0.09</v>
      </c>
      <c r="CG184" s="174">
        <f t="shared" si="63"/>
        <v>0.09</v>
      </c>
      <c r="CH184" s="173">
        <f t="shared" si="63"/>
        <v>0.09</v>
      </c>
      <c r="CI184" s="173">
        <f t="shared" si="63"/>
        <v>0.09</v>
      </c>
      <c r="CJ184" s="173">
        <f t="shared" si="63"/>
        <v>0.09</v>
      </c>
      <c r="CK184" s="173">
        <f t="shared" si="63"/>
        <v>0.09</v>
      </c>
      <c r="CL184" s="174">
        <v>0.08</v>
      </c>
      <c r="CM184" s="173">
        <v>0.08</v>
      </c>
      <c r="CN184" s="173">
        <v>0.08</v>
      </c>
      <c r="CO184" s="173">
        <f t="shared" si="15"/>
        <v>0.08</v>
      </c>
      <c r="CP184" s="173">
        <f t="shared" si="15"/>
        <v>0.08</v>
      </c>
      <c r="CQ184" s="174">
        <f t="shared" si="16"/>
        <v>0.08</v>
      </c>
      <c r="CR184" s="173">
        <f t="shared" si="16"/>
        <v>0.08</v>
      </c>
      <c r="CS184" s="173">
        <f t="shared" si="17"/>
        <v>0.08</v>
      </c>
      <c r="CT184" s="173">
        <f t="shared" si="17"/>
        <v>0.08</v>
      </c>
      <c r="CU184" s="173">
        <f t="shared" si="17"/>
        <v>0.08</v>
      </c>
      <c r="CV184" s="173">
        <f t="shared" si="17"/>
        <v>0.08</v>
      </c>
      <c r="CW184" s="175">
        <f t="shared" si="17"/>
        <v>0.08</v>
      </c>
    </row>
    <row r="185" spans="1:101" ht="13.5" thickBot="1">
      <c r="A185" s="2">
        <v>0.44</v>
      </c>
      <c r="B185" s="176">
        <v>1.12</v>
      </c>
      <c r="C185" s="177">
        <v>0.78</v>
      </c>
      <c r="D185" s="177">
        <v>0.62</v>
      </c>
      <c r="E185" s="178">
        <v>0.53</v>
      </c>
      <c r="F185" s="177">
        <v>0.47</v>
      </c>
      <c r="G185" s="177">
        <v>0.43</v>
      </c>
      <c r="H185" s="177">
        <v>0.39</v>
      </c>
      <c r="I185" s="177">
        <v>0.36</v>
      </c>
      <c r="J185" s="178">
        <v>0.34</v>
      </c>
      <c r="K185" s="179">
        <f t="shared" si="18"/>
        <v>0.31999999999999984</v>
      </c>
      <c r="L185" s="177">
        <f t="shared" si="2"/>
        <v>0.30999999999999994</v>
      </c>
      <c r="M185" s="177">
        <f t="shared" si="2"/>
        <v>0.3</v>
      </c>
      <c r="N185" s="177">
        <f t="shared" si="2"/>
        <v>0.29</v>
      </c>
      <c r="O185" s="178">
        <f t="shared" si="2"/>
        <v>0.27999999999999997</v>
      </c>
      <c r="P185" s="179">
        <f t="shared" si="27"/>
        <v>0.27</v>
      </c>
      <c r="Q185" s="177">
        <f t="shared" si="27"/>
        <v>0.26</v>
      </c>
      <c r="R185" s="177">
        <v>0.25</v>
      </c>
      <c r="S185" s="177">
        <v>0.24</v>
      </c>
      <c r="T185" s="178">
        <v>0.23</v>
      </c>
      <c r="U185" s="177">
        <v>0.22</v>
      </c>
      <c r="V185" s="177">
        <f>V184-0.01</f>
        <v>0.21</v>
      </c>
      <c r="W185" s="177">
        <v>0.21</v>
      </c>
      <c r="X185" s="177">
        <f>X184-0.01</f>
        <v>0.19999999999999998</v>
      </c>
      <c r="Y185" s="178">
        <v>0.2</v>
      </c>
      <c r="Z185" s="179">
        <v>0.19</v>
      </c>
      <c r="AA185" s="177">
        <v>0.18</v>
      </c>
      <c r="AB185" s="177">
        <f t="shared" si="19"/>
        <v>0.18</v>
      </c>
      <c r="AC185" s="177">
        <v>0.17</v>
      </c>
      <c r="AD185" s="178">
        <f t="shared" si="3"/>
        <v>0.17</v>
      </c>
      <c r="AE185" s="177">
        <v>0.16</v>
      </c>
      <c r="AF185" s="177">
        <v>0.16</v>
      </c>
      <c r="AG185" s="177">
        <f t="shared" si="4"/>
        <v>0.16</v>
      </c>
      <c r="AH185" s="177">
        <f t="shared" si="4"/>
        <v>0.16</v>
      </c>
      <c r="AI185" s="178">
        <f t="shared" si="5"/>
        <v>0.16</v>
      </c>
      <c r="AJ185" s="177">
        <v>0.15</v>
      </c>
      <c r="AK185" s="177">
        <f t="shared" si="6"/>
        <v>0.15</v>
      </c>
      <c r="AL185" s="177">
        <f t="shared" si="6"/>
        <v>0.15</v>
      </c>
      <c r="AM185" s="177">
        <f t="shared" si="7"/>
        <v>0.15</v>
      </c>
      <c r="AN185" s="178">
        <v>0.14</v>
      </c>
      <c r="AO185" s="177">
        <f t="shared" si="8"/>
        <v>0.14</v>
      </c>
      <c r="AP185" s="177">
        <f t="shared" si="8"/>
        <v>0.14</v>
      </c>
      <c r="AQ185" s="177">
        <f t="shared" si="9"/>
        <v>0.14</v>
      </c>
      <c r="AR185" s="177">
        <f t="shared" si="9"/>
        <v>0.14</v>
      </c>
      <c r="AS185" s="178">
        <v>0.13</v>
      </c>
      <c r="AT185" s="177">
        <f t="shared" si="9"/>
        <v>0.13</v>
      </c>
      <c r="AU185" s="177">
        <f t="shared" si="9"/>
        <v>0.13</v>
      </c>
      <c r="AV185" s="177">
        <f t="shared" si="9"/>
        <v>0.13</v>
      </c>
      <c r="AW185" s="177">
        <f t="shared" si="10"/>
        <v>0.13</v>
      </c>
      <c r="AX185" s="178">
        <v>0.12</v>
      </c>
      <c r="AY185" s="177">
        <f t="shared" si="10"/>
        <v>0.12</v>
      </c>
      <c r="AZ185" s="177">
        <f t="shared" si="10"/>
        <v>0.12</v>
      </c>
      <c r="BA185" s="177">
        <f t="shared" si="10"/>
        <v>0.12</v>
      </c>
      <c r="BB185" s="177">
        <f t="shared" si="11"/>
        <v>0.12</v>
      </c>
      <c r="BC185" s="178">
        <f t="shared" si="11"/>
        <v>0.12</v>
      </c>
      <c r="BD185" s="177">
        <f t="shared" si="11"/>
        <v>0.12</v>
      </c>
      <c r="BE185" s="177">
        <f t="shared" si="11"/>
        <v>0.12</v>
      </c>
      <c r="BF185" s="177">
        <f t="shared" si="11"/>
        <v>0.12</v>
      </c>
      <c r="BG185" s="177">
        <v>0.11</v>
      </c>
      <c r="BH185" s="178">
        <v>0.11</v>
      </c>
      <c r="BI185" s="177">
        <f t="shared" si="67"/>
        <v>0.11</v>
      </c>
      <c r="BJ185" s="177">
        <f t="shared" si="67"/>
        <v>0.11</v>
      </c>
      <c r="BK185" s="177">
        <f t="shared" si="67"/>
        <v>0.11</v>
      </c>
      <c r="BL185" s="177">
        <f t="shared" si="66"/>
        <v>0.11</v>
      </c>
      <c r="BM185" s="178">
        <f t="shared" si="66"/>
        <v>0.11</v>
      </c>
      <c r="BN185" s="177">
        <f t="shared" si="66"/>
        <v>0.11</v>
      </c>
      <c r="BO185" s="177">
        <v>0.1</v>
      </c>
      <c r="BP185" s="177">
        <f t="shared" si="66"/>
        <v>0.1</v>
      </c>
      <c r="BQ185" s="177">
        <f t="shared" si="66"/>
        <v>0.1</v>
      </c>
      <c r="BR185" s="178">
        <f t="shared" si="66"/>
        <v>0.1</v>
      </c>
      <c r="BS185" s="177">
        <f t="shared" si="66"/>
        <v>0.1</v>
      </c>
      <c r="BT185" s="177">
        <f t="shared" si="13"/>
        <v>0.1</v>
      </c>
      <c r="BU185" s="177">
        <f t="shared" si="13"/>
        <v>0.1</v>
      </c>
      <c r="BV185" s="177">
        <f t="shared" si="13"/>
        <v>0.1</v>
      </c>
      <c r="BW185" s="178">
        <f t="shared" si="13"/>
        <v>0.1</v>
      </c>
      <c r="BX185" s="177">
        <f t="shared" si="23"/>
        <v>0.1</v>
      </c>
      <c r="BY185" s="177">
        <f t="shared" si="23"/>
        <v>0.09</v>
      </c>
      <c r="BZ185" s="177">
        <f t="shared" si="65"/>
        <v>0.09</v>
      </c>
      <c r="CA185" s="177">
        <f t="shared" si="64"/>
        <v>0.09</v>
      </c>
      <c r="CB185" s="178">
        <f t="shared" si="64"/>
        <v>0.09</v>
      </c>
      <c r="CC185" s="177">
        <f t="shared" si="64"/>
        <v>0.09</v>
      </c>
      <c r="CD185" s="177">
        <f t="shared" si="64"/>
        <v>0.09</v>
      </c>
      <c r="CE185" s="177">
        <f t="shared" si="63"/>
        <v>0.09</v>
      </c>
      <c r="CF185" s="177">
        <f t="shared" si="63"/>
        <v>0.09</v>
      </c>
      <c r="CG185" s="178">
        <f t="shared" si="63"/>
        <v>0.09</v>
      </c>
      <c r="CH185" s="177">
        <f t="shared" si="63"/>
        <v>0.09</v>
      </c>
      <c r="CI185" s="177">
        <f t="shared" si="63"/>
        <v>0.09</v>
      </c>
      <c r="CJ185" s="177">
        <v>0.08</v>
      </c>
      <c r="CK185" s="177">
        <v>0.08</v>
      </c>
      <c r="CL185" s="178">
        <f t="shared" si="63"/>
        <v>0.08</v>
      </c>
      <c r="CM185" s="177">
        <f t="shared" si="63"/>
        <v>0.08</v>
      </c>
      <c r="CN185" s="177">
        <f t="shared" si="63"/>
        <v>0.08</v>
      </c>
      <c r="CO185" s="177">
        <f t="shared" si="15"/>
        <v>0.08</v>
      </c>
      <c r="CP185" s="177">
        <f t="shared" si="15"/>
        <v>0.08</v>
      </c>
      <c r="CQ185" s="178">
        <f t="shared" si="16"/>
        <v>0.08</v>
      </c>
      <c r="CR185" s="177">
        <f t="shared" si="16"/>
        <v>0.08</v>
      </c>
      <c r="CS185" s="177">
        <f t="shared" si="17"/>
        <v>0.08</v>
      </c>
      <c r="CT185" s="177">
        <f t="shared" si="17"/>
        <v>0.08</v>
      </c>
      <c r="CU185" s="177">
        <f t="shared" si="17"/>
        <v>0.08</v>
      </c>
      <c r="CV185" s="177">
        <f t="shared" si="17"/>
        <v>0.08</v>
      </c>
      <c r="CW185" s="180">
        <f t="shared" si="17"/>
        <v>0.08</v>
      </c>
    </row>
    <row r="186" spans="1:101" ht="12.75">
      <c r="A186" s="2">
        <v>0.45</v>
      </c>
      <c r="B186" s="172">
        <v>1.08</v>
      </c>
      <c r="C186" s="173">
        <v>0.75</v>
      </c>
      <c r="D186" s="173">
        <v>0.6</v>
      </c>
      <c r="E186" s="174">
        <v>0.51</v>
      </c>
      <c r="F186" s="173">
        <v>0.45</v>
      </c>
      <c r="G186" s="173">
        <v>0.41</v>
      </c>
      <c r="H186" s="173">
        <v>0.38</v>
      </c>
      <c r="I186" s="173">
        <v>0.35</v>
      </c>
      <c r="J186" s="174">
        <v>0.33</v>
      </c>
      <c r="K186" s="173">
        <f t="shared" si="18"/>
        <v>0.30999999999999983</v>
      </c>
      <c r="L186" s="173">
        <f t="shared" si="2"/>
        <v>0.29999999999999993</v>
      </c>
      <c r="M186" s="173">
        <f t="shared" si="2"/>
        <v>0.29</v>
      </c>
      <c r="N186" s="173">
        <f t="shared" si="2"/>
        <v>0.27999999999999997</v>
      </c>
      <c r="O186" s="174">
        <f t="shared" si="2"/>
        <v>0.26999999999999996</v>
      </c>
      <c r="P186" s="173">
        <f t="shared" si="27"/>
        <v>0.26</v>
      </c>
      <c r="Q186" s="173">
        <f t="shared" si="27"/>
        <v>0.25</v>
      </c>
      <c r="R186" s="173">
        <f t="shared" si="27"/>
        <v>0.24</v>
      </c>
      <c r="S186" s="173">
        <f t="shared" si="27"/>
        <v>0.22999999999999998</v>
      </c>
      <c r="T186" s="174">
        <f>T185-0.01</f>
        <v>0.22</v>
      </c>
      <c r="U186" s="173">
        <f>U185-0.01</f>
        <v>0.21</v>
      </c>
      <c r="V186" s="173">
        <v>0.21</v>
      </c>
      <c r="W186" s="173">
        <f>W185-0.01</f>
        <v>0.19999999999999998</v>
      </c>
      <c r="X186" s="173">
        <v>0.2</v>
      </c>
      <c r="Y186" s="174">
        <f>Y185-0.01</f>
        <v>0.19</v>
      </c>
      <c r="Z186" s="173">
        <f t="shared" si="19"/>
        <v>0.19</v>
      </c>
      <c r="AA186" s="173">
        <f t="shared" si="19"/>
        <v>0.18</v>
      </c>
      <c r="AB186" s="173">
        <f t="shared" si="19"/>
        <v>0.18</v>
      </c>
      <c r="AC186" s="173">
        <f t="shared" si="3"/>
        <v>0.17</v>
      </c>
      <c r="AD186" s="174">
        <f t="shared" si="3"/>
        <v>0.17</v>
      </c>
      <c r="AE186" s="173">
        <f t="shared" si="3"/>
        <v>0.16</v>
      </c>
      <c r="AF186" s="173">
        <f t="shared" si="3"/>
        <v>0.16</v>
      </c>
      <c r="AG186" s="173">
        <f t="shared" si="4"/>
        <v>0.16</v>
      </c>
      <c r="AH186" s="173">
        <v>0.15</v>
      </c>
      <c r="AI186" s="174">
        <v>0.15</v>
      </c>
      <c r="AJ186" s="173">
        <f t="shared" si="5"/>
        <v>0.15</v>
      </c>
      <c r="AK186" s="173">
        <f t="shared" si="6"/>
        <v>0.15</v>
      </c>
      <c r="AL186" s="173">
        <f t="shared" si="6"/>
        <v>0.15</v>
      </c>
      <c r="AM186" s="173">
        <v>0.14</v>
      </c>
      <c r="AN186" s="174">
        <f t="shared" si="7"/>
        <v>0.14</v>
      </c>
      <c r="AO186" s="173">
        <f t="shared" si="8"/>
        <v>0.14</v>
      </c>
      <c r="AP186" s="173">
        <f t="shared" si="8"/>
        <v>0.14</v>
      </c>
      <c r="AQ186" s="173">
        <f t="shared" si="9"/>
        <v>0.14</v>
      </c>
      <c r="AR186" s="173">
        <v>0.13</v>
      </c>
      <c r="AS186" s="174">
        <f t="shared" si="9"/>
        <v>0.13</v>
      </c>
      <c r="AT186" s="173">
        <f t="shared" si="9"/>
        <v>0.13</v>
      </c>
      <c r="AU186" s="173">
        <f t="shared" si="9"/>
        <v>0.13</v>
      </c>
      <c r="AV186" s="173">
        <f t="shared" si="9"/>
        <v>0.13</v>
      </c>
      <c r="AW186" s="173">
        <v>0.12</v>
      </c>
      <c r="AX186" s="174">
        <f t="shared" si="10"/>
        <v>0.12</v>
      </c>
      <c r="AY186" s="173">
        <f t="shared" si="10"/>
        <v>0.12</v>
      </c>
      <c r="AZ186" s="173">
        <f t="shared" si="10"/>
        <v>0.12</v>
      </c>
      <c r="BA186" s="173">
        <f t="shared" si="10"/>
        <v>0.12</v>
      </c>
      <c r="BB186" s="173">
        <f t="shared" si="11"/>
        <v>0.12</v>
      </c>
      <c r="BC186" s="174">
        <f t="shared" si="11"/>
        <v>0.12</v>
      </c>
      <c r="BD186" s="173">
        <f t="shared" si="11"/>
        <v>0.12</v>
      </c>
      <c r="BE186" s="173">
        <v>0.11</v>
      </c>
      <c r="BF186" s="173">
        <v>0.11</v>
      </c>
      <c r="BG186" s="173">
        <f t="shared" si="11"/>
        <v>0.11</v>
      </c>
      <c r="BH186" s="174">
        <f t="shared" si="68"/>
        <v>0.11</v>
      </c>
      <c r="BI186" s="173">
        <f t="shared" si="67"/>
        <v>0.11</v>
      </c>
      <c r="BJ186" s="173">
        <f t="shared" si="67"/>
        <v>0.11</v>
      </c>
      <c r="BK186" s="173">
        <f t="shared" si="67"/>
        <v>0.11</v>
      </c>
      <c r="BL186" s="173">
        <f t="shared" si="66"/>
        <v>0.11</v>
      </c>
      <c r="BM186" s="174">
        <f t="shared" si="66"/>
        <v>0.11</v>
      </c>
      <c r="BN186" s="173">
        <f t="shared" si="66"/>
        <v>0.11</v>
      </c>
      <c r="BO186" s="173">
        <f t="shared" si="66"/>
        <v>0.1</v>
      </c>
      <c r="BP186" s="173">
        <f t="shared" si="66"/>
        <v>0.1</v>
      </c>
      <c r="BQ186" s="173">
        <f t="shared" si="66"/>
        <v>0.1</v>
      </c>
      <c r="BR186" s="174">
        <f t="shared" si="66"/>
        <v>0.1</v>
      </c>
      <c r="BS186" s="173">
        <f t="shared" si="66"/>
        <v>0.1</v>
      </c>
      <c r="BT186" s="173">
        <f t="shared" si="13"/>
        <v>0.1</v>
      </c>
      <c r="BU186" s="173">
        <f t="shared" si="13"/>
        <v>0.1</v>
      </c>
      <c r="BV186" s="173">
        <f t="shared" si="13"/>
        <v>0.1</v>
      </c>
      <c r="BW186" s="174">
        <f t="shared" si="13"/>
        <v>0.1</v>
      </c>
      <c r="BX186" s="173">
        <f t="shared" si="23"/>
        <v>0.1</v>
      </c>
      <c r="BY186" s="173">
        <f t="shared" si="23"/>
        <v>0.09</v>
      </c>
      <c r="BZ186" s="173">
        <f t="shared" si="65"/>
        <v>0.09</v>
      </c>
      <c r="CA186" s="173">
        <f t="shared" si="64"/>
        <v>0.09</v>
      </c>
      <c r="CB186" s="174">
        <f t="shared" si="64"/>
        <v>0.09</v>
      </c>
      <c r="CC186" s="173">
        <f t="shared" si="64"/>
        <v>0.09</v>
      </c>
      <c r="CD186" s="173">
        <f t="shared" si="64"/>
        <v>0.09</v>
      </c>
      <c r="CE186" s="173">
        <f t="shared" si="63"/>
        <v>0.09</v>
      </c>
      <c r="CF186" s="173">
        <f t="shared" si="63"/>
        <v>0.09</v>
      </c>
      <c r="CG186" s="174">
        <f t="shared" si="63"/>
        <v>0.09</v>
      </c>
      <c r="CH186" s="173">
        <f t="shared" si="63"/>
        <v>0.09</v>
      </c>
      <c r="CI186" s="173">
        <v>0.08</v>
      </c>
      <c r="CJ186" s="173">
        <f t="shared" si="63"/>
        <v>0.08</v>
      </c>
      <c r="CK186" s="173">
        <f t="shared" si="63"/>
        <v>0.08</v>
      </c>
      <c r="CL186" s="174">
        <f t="shared" si="63"/>
        <v>0.08</v>
      </c>
      <c r="CM186" s="173">
        <f t="shared" si="63"/>
        <v>0.08</v>
      </c>
      <c r="CN186" s="173">
        <f t="shared" si="63"/>
        <v>0.08</v>
      </c>
      <c r="CO186" s="173">
        <f t="shared" si="15"/>
        <v>0.08</v>
      </c>
      <c r="CP186" s="173">
        <f t="shared" si="15"/>
        <v>0.08</v>
      </c>
      <c r="CQ186" s="174">
        <f t="shared" si="16"/>
        <v>0.08</v>
      </c>
      <c r="CR186" s="173">
        <f t="shared" si="16"/>
        <v>0.08</v>
      </c>
      <c r="CS186" s="173">
        <f t="shared" si="17"/>
        <v>0.08</v>
      </c>
      <c r="CT186" s="173">
        <f t="shared" si="17"/>
        <v>0.08</v>
      </c>
      <c r="CU186" s="173">
        <f t="shared" si="17"/>
        <v>0.08</v>
      </c>
      <c r="CV186" s="173">
        <f t="shared" si="17"/>
        <v>0.08</v>
      </c>
      <c r="CW186" s="175">
        <f t="shared" si="17"/>
        <v>0.08</v>
      </c>
    </row>
    <row r="187" spans="1:101" ht="12.75">
      <c r="A187" s="2">
        <v>0.46</v>
      </c>
      <c r="B187" s="172">
        <v>1.03</v>
      </c>
      <c r="C187" s="173">
        <v>0.72</v>
      </c>
      <c r="D187" s="173">
        <v>0.57</v>
      </c>
      <c r="E187" s="174">
        <v>0.49</v>
      </c>
      <c r="F187" s="173">
        <v>0.43</v>
      </c>
      <c r="G187" s="173">
        <v>0.39</v>
      </c>
      <c r="H187" s="173">
        <v>0.36</v>
      </c>
      <c r="I187" s="173">
        <v>0.34</v>
      </c>
      <c r="J187" s="174">
        <v>0.32</v>
      </c>
      <c r="K187" s="173">
        <f t="shared" si="18"/>
        <v>0.2999999999999998</v>
      </c>
      <c r="L187" s="173">
        <f t="shared" si="2"/>
        <v>0.2899999999999999</v>
      </c>
      <c r="M187" s="173">
        <f t="shared" si="2"/>
        <v>0.27999999999999997</v>
      </c>
      <c r="N187" s="173">
        <f t="shared" si="2"/>
        <v>0.26999999999999996</v>
      </c>
      <c r="O187" s="174">
        <f t="shared" si="2"/>
        <v>0.25999999999999995</v>
      </c>
      <c r="P187" s="173">
        <f t="shared" si="27"/>
        <v>0.25</v>
      </c>
      <c r="Q187" s="173">
        <f t="shared" si="27"/>
        <v>0.24</v>
      </c>
      <c r="R187" s="173">
        <f t="shared" si="27"/>
        <v>0.22999999999999998</v>
      </c>
      <c r="S187" s="173">
        <f t="shared" si="27"/>
        <v>0.21999999999999997</v>
      </c>
      <c r="T187" s="174">
        <f>T186-0.01</f>
        <v>0.21</v>
      </c>
      <c r="U187" s="173">
        <f>U186-0.01</f>
        <v>0.19999999999999998</v>
      </c>
      <c r="V187" s="173">
        <f>V186-0.01</f>
        <v>0.19999999999999998</v>
      </c>
      <c r="W187" s="173">
        <f>W186-0.01</f>
        <v>0.18999999999999997</v>
      </c>
      <c r="X187" s="173">
        <f>X186-0.01</f>
        <v>0.19</v>
      </c>
      <c r="Y187" s="174">
        <v>0.18</v>
      </c>
      <c r="Z187" s="173">
        <v>0.18</v>
      </c>
      <c r="AA187" s="173">
        <f t="shared" si="19"/>
        <v>0.18</v>
      </c>
      <c r="AB187" s="173">
        <v>0.17</v>
      </c>
      <c r="AC187" s="173">
        <f t="shared" si="3"/>
        <v>0.17</v>
      </c>
      <c r="AD187" s="174">
        <v>0.16</v>
      </c>
      <c r="AE187" s="173">
        <f t="shared" si="3"/>
        <v>0.16</v>
      </c>
      <c r="AF187" s="173">
        <v>0.15</v>
      </c>
      <c r="AG187" s="173">
        <v>0.15</v>
      </c>
      <c r="AH187" s="173">
        <f t="shared" si="4"/>
        <v>0.15</v>
      </c>
      <c r="AI187" s="174">
        <f t="shared" si="5"/>
        <v>0.15</v>
      </c>
      <c r="AJ187" s="173">
        <f t="shared" si="5"/>
        <v>0.15</v>
      </c>
      <c r="AK187" s="173">
        <v>0.14</v>
      </c>
      <c r="AL187" s="173">
        <v>0.14</v>
      </c>
      <c r="AM187" s="173">
        <f t="shared" si="7"/>
        <v>0.14</v>
      </c>
      <c r="AN187" s="174">
        <f t="shared" si="7"/>
        <v>0.14</v>
      </c>
      <c r="AO187" s="173">
        <f t="shared" si="8"/>
        <v>0.14</v>
      </c>
      <c r="AP187" s="173">
        <v>0.13</v>
      </c>
      <c r="AQ187" s="173">
        <v>0.13</v>
      </c>
      <c r="AR187" s="173">
        <f t="shared" si="9"/>
        <v>0.13</v>
      </c>
      <c r="AS187" s="174">
        <f t="shared" si="9"/>
        <v>0.13</v>
      </c>
      <c r="AT187" s="173">
        <f t="shared" si="9"/>
        <v>0.13</v>
      </c>
      <c r="AU187" s="173">
        <f t="shared" si="9"/>
        <v>0.13</v>
      </c>
      <c r="AV187" s="173">
        <v>0.12</v>
      </c>
      <c r="AW187" s="173">
        <f t="shared" si="10"/>
        <v>0.12</v>
      </c>
      <c r="AX187" s="174">
        <f t="shared" si="10"/>
        <v>0.12</v>
      </c>
      <c r="AY187" s="173">
        <f t="shared" si="10"/>
        <v>0.12</v>
      </c>
      <c r="AZ187" s="173">
        <f t="shared" si="10"/>
        <v>0.12</v>
      </c>
      <c r="BA187" s="173">
        <f t="shared" si="10"/>
        <v>0.12</v>
      </c>
      <c r="BB187" s="173">
        <f t="shared" si="11"/>
        <v>0.12</v>
      </c>
      <c r="BC187" s="174">
        <v>0.11</v>
      </c>
      <c r="BD187" s="173">
        <v>0.11</v>
      </c>
      <c r="BE187" s="173">
        <f t="shared" si="11"/>
        <v>0.11</v>
      </c>
      <c r="BF187" s="173">
        <f t="shared" si="11"/>
        <v>0.11</v>
      </c>
      <c r="BG187" s="173">
        <f t="shared" si="11"/>
        <v>0.11</v>
      </c>
      <c r="BH187" s="174">
        <f t="shared" si="68"/>
        <v>0.11</v>
      </c>
      <c r="BI187" s="173">
        <f t="shared" si="67"/>
        <v>0.11</v>
      </c>
      <c r="BJ187" s="173">
        <f t="shared" si="67"/>
        <v>0.11</v>
      </c>
      <c r="BK187" s="173">
        <f t="shared" si="67"/>
        <v>0.11</v>
      </c>
      <c r="BL187" s="173">
        <f t="shared" si="66"/>
        <v>0.11</v>
      </c>
      <c r="BM187" s="174">
        <v>0.1</v>
      </c>
      <c r="BN187" s="173">
        <v>0.1</v>
      </c>
      <c r="BO187" s="173">
        <f t="shared" si="66"/>
        <v>0.1</v>
      </c>
      <c r="BP187" s="173">
        <f t="shared" si="66"/>
        <v>0.1</v>
      </c>
      <c r="BQ187" s="173">
        <f t="shared" si="66"/>
        <v>0.1</v>
      </c>
      <c r="BR187" s="174">
        <f t="shared" si="66"/>
        <v>0.1</v>
      </c>
      <c r="BS187" s="173">
        <f t="shared" si="66"/>
        <v>0.1</v>
      </c>
      <c r="BT187" s="173">
        <f t="shared" si="13"/>
        <v>0.1</v>
      </c>
      <c r="BU187" s="173">
        <f t="shared" si="13"/>
        <v>0.1</v>
      </c>
      <c r="BV187" s="173">
        <f t="shared" si="13"/>
        <v>0.1</v>
      </c>
      <c r="BW187" s="174">
        <v>0.09</v>
      </c>
      <c r="BX187" s="173">
        <v>0.09</v>
      </c>
      <c r="BY187" s="173">
        <f t="shared" si="23"/>
        <v>0.09</v>
      </c>
      <c r="BZ187" s="173">
        <f t="shared" si="65"/>
        <v>0.09</v>
      </c>
      <c r="CA187" s="173">
        <f t="shared" si="64"/>
        <v>0.09</v>
      </c>
      <c r="CB187" s="174">
        <f t="shared" si="64"/>
        <v>0.09</v>
      </c>
      <c r="CC187" s="173">
        <f t="shared" si="64"/>
        <v>0.09</v>
      </c>
      <c r="CD187" s="173">
        <f t="shared" si="64"/>
        <v>0.09</v>
      </c>
      <c r="CE187" s="173">
        <f t="shared" si="63"/>
        <v>0.09</v>
      </c>
      <c r="CF187" s="173">
        <f t="shared" si="63"/>
        <v>0.09</v>
      </c>
      <c r="CG187" s="174">
        <f t="shared" si="63"/>
        <v>0.09</v>
      </c>
      <c r="CH187" s="173">
        <f t="shared" si="63"/>
        <v>0.09</v>
      </c>
      <c r="CI187" s="173">
        <f t="shared" si="63"/>
        <v>0.08</v>
      </c>
      <c r="CJ187" s="173">
        <f t="shared" si="63"/>
        <v>0.08</v>
      </c>
      <c r="CK187" s="173">
        <f t="shared" si="63"/>
        <v>0.08</v>
      </c>
      <c r="CL187" s="174">
        <f t="shared" si="63"/>
        <v>0.08</v>
      </c>
      <c r="CM187" s="173">
        <f t="shared" si="63"/>
        <v>0.08</v>
      </c>
      <c r="CN187" s="173">
        <f t="shared" si="63"/>
        <v>0.08</v>
      </c>
      <c r="CO187" s="173">
        <f t="shared" si="15"/>
        <v>0.08</v>
      </c>
      <c r="CP187" s="173">
        <f t="shared" si="15"/>
        <v>0.08</v>
      </c>
      <c r="CQ187" s="174">
        <f t="shared" si="16"/>
        <v>0.08</v>
      </c>
      <c r="CR187" s="173">
        <f t="shared" si="16"/>
        <v>0.08</v>
      </c>
      <c r="CS187" s="173">
        <f t="shared" si="17"/>
        <v>0.08</v>
      </c>
      <c r="CT187" s="173">
        <f t="shared" si="17"/>
        <v>0.08</v>
      </c>
      <c r="CU187" s="173">
        <f t="shared" si="17"/>
        <v>0.08</v>
      </c>
      <c r="CV187" s="173">
        <f t="shared" si="17"/>
        <v>0.08</v>
      </c>
      <c r="CW187" s="175">
        <f t="shared" si="17"/>
        <v>0.08</v>
      </c>
    </row>
    <row r="188" spans="1:101" ht="12.75">
      <c r="A188" s="2">
        <v>0.47</v>
      </c>
      <c r="B188" s="172">
        <v>0.98</v>
      </c>
      <c r="C188" s="173">
        <v>0.68</v>
      </c>
      <c r="D188" s="173">
        <v>0.55</v>
      </c>
      <c r="E188" s="174">
        <v>0.47</v>
      </c>
      <c r="F188" s="173">
        <v>0.41</v>
      </c>
      <c r="G188" s="173">
        <v>0.38</v>
      </c>
      <c r="H188" s="173">
        <v>0.35</v>
      </c>
      <c r="I188" s="173">
        <v>0.32</v>
      </c>
      <c r="J188" s="174">
        <v>0.31</v>
      </c>
      <c r="K188" s="173">
        <f t="shared" si="18"/>
        <v>0.2899999999999998</v>
      </c>
      <c r="L188" s="173">
        <f t="shared" si="2"/>
        <v>0.2799999999999999</v>
      </c>
      <c r="M188" s="173">
        <f t="shared" si="2"/>
        <v>0.26999999999999996</v>
      </c>
      <c r="N188" s="173">
        <f t="shared" si="2"/>
        <v>0.25999999999999995</v>
      </c>
      <c r="O188" s="174">
        <f t="shared" si="2"/>
        <v>0.24999999999999994</v>
      </c>
      <c r="P188" s="173">
        <f t="shared" si="27"/>
        <v>0.24</v>
      </c>
      <c r="Q188" s="173">
        <f t="shared" si="27"/>
        <v>0.22999999999999998</v>
      </c>
      <c r="R188" s="173">
        <f t="shared" si="27"/>
        <v>0.21999999999999997</v>
      </c>
      <c r="S188" s="173">
        <v>0.22</v>
      </c>
      <c r="T188" s="174">
        <v>0.21</v>
      </c>
      <c r="U188" s="173">
        <v>0.2</v>
      </c>
      <c r="V188" s="173">
        <f>V187-0.01</f>
        <v>0.18999999999999997</v>
      </c>
      <c r="W188" s="173">
        <v>0.19</v>
      </c>
      <c r="X188" s="173">
        <f>X187-0.01</f>
        <v>0.18</v>
      </c>
      <c r="Y188" s="174">
        <v>0.18</v>
      </c>
      <c r="Z188" s="173">
        <f t="shared" si="19"/>
        <v>0.18</v>
      </c>
      <c r="AA188" s="173">
        <v>0.17</v>
      </c>
      <c r="AB188" s="173">
        <f t="shared" si="19"/>
        <v>0.17</v>
      </c>
      <c r="AC188" s="173">
        <v>0.16</v>
      </c>
      <c r="AD188" s="174">
        <f t="shared" si="3"/>
        <v>0.16</v>
      </c>
      <c r="AE188" s="173">
        <v>0.15</v>
      </c>
      <c r="AF188" s="173">
        <f t="shared" si="3"/>
        <v>0.15</v>
      </c>
      <c r="AG188" s="173">
        <f t="shared" si="4"/>
        <v>0.15</v>
      </c>
      <c r="AH188" s="173">
        <f t="shared" si="4"/>
        <v>0.15</v>
      </c>
      <c r="AI188" s="174">
        <v>0.14</v>
      </c>
      <c r="AJ188" s="173">
        <v>0.14</v>
      </c>
      <c r="AK188" s="173">
        <f t="shared" si="6"/>
        <v>0.14</v>
      </c>
      <c r="AL188" s="173">
        <f t="shared" si="6"/>
        <v>0.14</v>
      </c>
      <c r="AM188" s="173">
        <f t="shared" si="7"/>
        <v>0.14</v>
      </c>
      <c r="AN188" s="174">
        <v>0.13</v>
      </c>
      <c r="AO188" s="173">
        <v>0.13</v>
      </c>
      <c r="AP188" s="173">
        <f t="shared" si="8"/>
        <v>0.13</v>
      </c>
      <c r="AQ188" s="173">
        <f t="shared" si="9"/>
        <v>0.13</v>
      </c>
      <c r="AR188" s="173">
        <f t="shared" si="9"/>
        <v>0.13</v>
      </c>
      <c r="AS188" s="174">
        <f t="shared" si="9"/>
        <v>0.13</v>
      </c>
      <c r="AT188" s="173">
        <v>0.12</v>
      </c>
      <c r="AU188" s="173">
        <v>0.12</v>
      </c>
      <c r="AV188" s="173">
        <f t="shared" si="9"/>
        <v>0.12</v>
      </c>
      <c r="AW188" s="173">
        <f t="shared" si="10"/>
        <v>0.12</v>
      </c>
      <c r="AX188" s="174">
        <f t="shared" si="10"/>
        <v>0.12</v>
      </c>
      <c r="AY188" s="173">
        <f t="shared" si="10"/>
        <v>0.12</v>
      </c>
      <c r="AZ188" s="173">
        <f t="shared" si="10"/>
        <v>0.12</v>
      </c>
      <c r="BA188" s="173">
        <v>0.11</v>
      </c>
      <c r="BB188" s="173">
        <v>0.11</v>
      </c>
      <c r="BC188" s="174">
        <f t="shared" si="11"/>
        <v>0.11</v>
      </c>
      <c r="BD188" s="173">
        <f t="shared" si="11"/>
        <v>0.11</v>
      </c>
      <c r="BE188" s="173">
        <f t="shared" si="11"/>
        <v>0.11</v>
      </c>
      <c r="BF188" s="173">
        <f t="shared" si="11"/>
        <v>0.11</v>
      </c>
      <c r="BG188" s="173">
        <f t="shared" si="11"/>
        <v>0.11</v>
      </c>
      <c r="BH188" s="174">
        <f t="shared" si="68"/>
        <v>0.11</v>
      </c>
      <c r="BI188" s="173">
        <f t="shared" si="67"/>
        <v>0.11</v>
      </c>
      <c r="BJ188" s="173">
        <f t="shared" si="67"/>
        <v>0.11</v>
      </c>
      <c r="BK188" s="173">
        <v>0.1</v>
      </c>
      <c r="BL188" s="173">
        <v>0.1</v>
      </c>
      <c r="BM188" s="174">
        <f t="shared" si="66"/>
        <v>0.1</v>
      </c>
      <c r="BN188" s="173">
        <f t="shared" si="66"/>
        <v>0.1</v>
      </c>
      <c r="BO188" s="173">
        <f t="shared" si="66"/>
        <v>0.1</v>
      </c>
      <c r="BP188" s="173">
        <f t="shared" si="66"/>
        <v>0.1</v>
      </c>
      <c r="BQ188" s="173">
        <f t="shared" si="66"/>
        <v>0.1</v>
      </c>
      <c r="BR188" s="174">
        <f t="shared" si="66"/>
        <v>0.1</v>
      </c>
      <c r="BS188" s="173">
        <f t="shared" si="66"/>
        <v>0.1</v>
      </c>
      <c r="BT188" s="173">
        <f t="shared" si="13"/>
        <v>0.1</v>
      </c>
      <c r="BU188" s="173">
        <v>0.09</v>
      </c>
      <c r="BV188" s="173">
        <v>0.09</v>
      </c>
      <c r="BW188" s="174">
        <f t="shared" si="13"/>
        <v>0.09</v>
      </c>
      <c r="BX188" s="173">
        <f t="shared" si="23"/>
        <v>0.09</v>
      </c>
      <c r="BY188" s="173">
        <f t="shared" si="23"/>
        <v>0.09</v>
      </c>
      <c r="BZ188" s="173">
        <f t="shared" si="65"/>
        <v>0.09</v>
      </c>
      <c r="CA188" s="173">
        <f t="shared" si="64"/>
        <v>0.09</v>
      </c>
      <c r="CB188" s="174">
        <f t="shared" si="64"/>
        <v>0.09</v>
      </c>
      <c r="CC188" s="173">
        <f t="shared" si="64"/>
        <v>0.09</v>
      </c>
      <c r="CD188" s="173">
        <f t="shared" si="64"/>
        <v>0.09</v>
      </c>
      <c r="CE188" s="173">
        <f t="shared" si="63"/>
        <v>0.09</v>
      </c>
      <c r="CF188" s="173">
        <f t="shared" si="63"/>
        <v>0.09</v>
      </c>
      <c r="CG188" s="174">
        <f t="shared" si="63"/>
        <v>0.09</v>
      </c>
      <c r="CH188" s="173">
        <f t="shared" si="63"/>
        <v>0.09</v>
      </c>
      <c r="CI188" s="173">
        <f t="shared" si="63"/>
        <v>0.08</v>
      </c>
      <c r="CJ188" s="173">
        <f t="shared" si="63"/>
        <v>0.08</v>
      </c>
      <c r="CK188" s="173">
        <f t="shared" si="63"/>
        <v>0.08</v>
      </c>
      <c r="CL188" s="174">
        <f t="shared" si="63"/>
        <v>0.08</v>
      </c>
      <c r="CM188" s="173">
        <f t="shared" si="63"/>
        <v>0.08</v>
      </c>
      <c r="CN188" s="173">
        <f t="shared" si="63"/>
        <v>0.08</v>
      </c>
      <c r="CO188" s="173">
        <f t="shared" si="15"/>
        <v>0.08</v>
      </c>
      <c r="CP188" s="173">
        <f t="shared" si="15"/>
        <v>0.08</v>
      </c>
      <c r="CQ188" s="174">
        <f t="shared" si="16"/>
        <v>0.08</v>
      </c>
      <c r="CR188" s="173">
        <f t="shared" si="16"/>
        <v>0.08</v>
      </c>
      <c r="CS188" s="173">
        <f t="shared" si="17"/>
        <v>0.08</v>
      </c>
      <c r="CT188" s="173">
        <f t="shared" si="17"/>
        <v>0.08</v>
      </c>
      <c r="CU188" s="173">
        <f t="shared" si="17"/>
        <v>0.08</v>
      </c>
      <c r="CV188" s="173">
        <f t="shared" si="17"/>
        <v>0.08</v>
      </c>
      <c r="CW188" s="175">
        <f t="shared" si="17"/>
        <v>0.08</v>
      </c>
    </row>
    <row r="189" spans="1:101" ht="12.75">
      <c r="A189" s="2">
        <v>0.48</v>
      </c>
      <c r="B189" s="172">
        <v>0.94</v>
      </c>
      <c r="C189" s="173">
        <v>0.65</v>
      </c>
      <c r="D189" s="173">
        <v>0.52</v>
      </c>
      <c r="E189" s="174">
        <v>0.44</v>
      </c>
      <c r="F189" s="173">
        <v>0.4</v>
      </c>
      <c r="G189" s="173">
        <v>0.36</v>
      </c>
      <c r="H189" s="173">
        <v>0.33</v>
      </c>
      <c r="I189" s="173">
        <v>0.31</v>
      </c>
      <c r="J189" s="174">
        <v>0.29</v>
      </c>
      <c r="K189" s="173">
        <v>0.27</v>
      </c>
      <c r="L189" s="173">
        <f t="shared" si="2"/>
        <v>0.2699999999999999</v>
      </c>
      <c r="M189" s="173">
        <f t="shared" si="2"/>
        <v>0.25999999999999995</v>
      </c>
      <c r="N189" s="173">
        <f t="shared" si="2"/>
        <v>0.24999999999999994</v>
      </c>
      <c r="O189" s="174">
        <f t="shared" si="2"/>
        <v>0.23999999999999994</v>
      </c>
      <c r="P189" s="173">
        <f t="shared" si="27"/>
        <v>0.22999999999999998</v>
      </c>
      <c r="Q189" s="173">
        <f t="shared" si="27"/>
        <v>0.21999999999999997</v>
      </c>
      <c r="R189" s="173">
        <v>0.22</v>
      </c>
      <c r="S189" s="173">
        <f t="shared" si="27"/>
        <v>0.21</v>
      </c>
      <c r="T189" s="174">
        <f>T188-0.01</f>
        <v>0.19999999999999998</v>
      </c>
      <c r="U189" s="173">
        <f>U188-0.01</f>
        <v>0.19</v>
      </c>
      <c r="V189" s="173">
        <v>0.19</v>
      </c>
      <c r="W189" s="173">
        <f>W188-0.01</f>
        <v>0.18</v>
      </c>
      <c r="X189" s="173">
        <v>0.18</v>
      </c>
      <c r="Y189" s="174">
        <f>Y188-0.01</f>
        <v>0.16999999999999998</v>
      </c>
      <c r="Z189" s="173">
        <v>0.17</v>
      </c>
      <c r="AA189" s="173">
        <f t="shared" si="19"/>
        <v>0.17</v>
      </c>
      <c r="AB189" s="173">
        <v>0.16</v>
      </c>
      <c r="AC189" s="173">
        <f t="shared" si="3"/>
        <v>0.16</v>
      </c>
      <c r="AD189" s="174">
        <v>0.15</v>
      </c>
      <c r="AE189" s="173">
        <f t="shared" si="3"/>
        <v>0.15</v>
      </c>
      <c r="AF189" s="173">
        <f t="shared" si="3"/>
        <v>0.15</v>
      </c>
      <c r="AG189" s="173">
        <v>0.14</v>
      </c>
      <c r="AH189" s="173">
        <v>0.14</v>
      </c>
      <c r="AI189" s="174">
        <f t="shared" si="5"/>
        <v>0.14</v>
      </c>
      <c r="AJ189" s="173">
        <f t="shared" si="5"/>
        <v>0.14</v>
      </c>
      <c r="AK189" s="173">
        <f t="shared" si="6"/>
        <v>0.14</v>
      </c>
      <c r="AL189" s="173">
        <v>0.13</v>
      </c>
      <c r="AM189" s="173">
        <v>0.13</v>
      </c>
      <c r="AN189" s="174">
        <f t="shared" si="7"/>
        <v>0.13</v>
      </c>
      <c r="AO189" s="173">
        <f t="shared" si="8"/>
        <v>0.13</v>
      </c>
      <c r="AP189" s="173">
        <f t="shared" si="8"/>
        <v>0.13</v>
      </c>
      <c r="AQ189" s="173">
        <f t="shared" si="9"/>
        <v>0.13</v>
      </c>
      <c r="AR189" s="173">
        <v>0.12</v>
      </c>
      <c r="AS189" s="174">
        <v>0.12</v>
      </c>
      <c r="AT189" s="173">
        <f t="shared" si="9"/>
        <v>0.12</v>
      </c>
      <c r="AU189" s="173">
        <f t="shared" si="9"/>
        <v>0.12</v>
      </c>
      <c r="AV189" s="173">
        <f t="shared" si="9"/>
        <v>0.12</v>
      </c>
      <c r="AW189" s="173">
        <f t="shared" si="10"/>
        <v>0.12</v>
      </c>
      <c r="AX189" s="174">
        <f t="shared" si="10"/>
        <v>0.12</v>
      </c>
      <c r="AY189" s="173">
        <v>0.11</v>
      </c>
      <c r="AZ189" s="173">
        <v>0.11</v>
      </c>
      <c r="BA189" s="173">
        <f t="shared" si="10"/>
        <v>0.11</v>
      </c>
      <c r="BB189" s="173">
        <f t="shared" si="11"/>
        <v>0.11</v>
      </c>
      <c r="BC189" s="174">
        <f t="shared" si="11"/>
        <v>0.11</v>
      </c>
      <c r="BD189" s="173">
        <f t="shared" si="11"/>
        <v>0.11</v>
      </c>
      <c r="BE189" s="173">
        <f t="shared" si="11"/>
        <v>0.11</v>
      </c>
      <c r="BF189" s="173">
        <f t="shared" si="11"/>
        <v>0.11</v>
      </c>
      <c r="BG189" s="173">
        <f t="shared" si="11"/>
        <v>0.11</v>
      </c>
      <c r="BH189" s="174">
        <f t="shared" si="68"/>
        <v>0.11</v>
      </c>
      <c r="BI189" s="173">
        <v>0.1</v>
      </c>
      <c r="BJ189" s="173">
        <v>0.1</v>
      </c>
      <c r="BK189" s="173">
        <f t="shared" si="67"/>
        <v>0.1</v>
      </c>
      <c r="BL189" s="173">
        <f t="shared" si="66"/>
        <v>0.1</v>
      </c>
      <c r="BM189" s="174">
        <f t="shared" si="66"/>
        <v>0.1</v>
      </c>
      <c r="BN189" s="173">
        <f t="shared" si="66"/>
        <v>0.1</v>
      </c>
      <c r="BO189" s="173">
        <f t="shared" si="66"/>
        <v>0.1</v>
      </c>
      <c r="BP189" s="173">
        <f t="shared" si="66"/>
        <v>0.1</v>
      </c>
      <c r="BQ189" s="173">
        <f t="shared" si="66"/>
        <v>0.1</v>
      </c>
      <c r="BR189" s="174">
        <f t="shared" si="66"/>
        <v>0.1</v>
      </c>
      <c r="BS189" s="173">
        <v>0.09</v>
      </c>
      <c r="BT189" s="173">
        <v>0.09</v>
      </c>
      <c r="BU189" s="173">
        <f t="shared" si="13"/>
        <v>0.09</v>
      </c>
      <c r="BV189" s="173">
        <f t="shared" si="13"/>
        <v>0.09</v>
      </c>
      <c r="BW189" s="174">
        <f t="shared" si="13"/>
        <v>0.09</v>
      </c>
      <c r="BX189" s="173">
        <f t="shared" si="23"/>
        <v>0.09</v>
      </c>
      <c r="BY189" s="173">
        <f t="shared" si="23"/>
        <v>0.09</v>
      </c>
      <c r="BZ189" s="173">
        <f t="shared" si="65"/>
        <v>0.09</v>
      </c>
      <c r="CA189" s="173">
        <f t="shared" si="64"/>
        <v>0.09</v>
      </c>
      <c r="CB189" s="174">
        <f t="shared" si="64"/>
        <v>0.09</v>
      </c>
      <c r="CC189" s="173">
        <f t="shared" si="64"/>
        <v>0.09</v>
      </c>
      <c r="CD189" s="173">
        <f t="shared" si="64"/>
        <v>0.09</v>
      </c>
      <c r="CE189" s="173">
        <f t="shared" si="63"/>
        <v>0.09</v>
      </c>
      <c r="CF189" s="173">
        <f t="shared" si="63"/>
        <v>0.09</v>
      </c>
      <c r="CG189" s="174">
        <f t="shared" si="63"/>
        <v>0.09</v>
      </c>
      <c r="CH189" s="173">
        <f t="shared" si="63"/>
        <v>0.09</v>
      </c>
      <c r="CI189" s="173">
        <f t="shared" si="63"/>
        <v>0.08</v>
      </c>
      <c r="CJ189" s="173">
        <f t="shared" si="63"/>
        <v>0.08</v>
      </c>
      <c r="CK189" s="173">
        <f t="shared" si="63"/>
        <v>0.08</v>
      </c>
      <c r="CL189" s="174">
        <f t="shared" si="63"/>
        <v>0.08</v>
      </c>
      <c r="CM189" s="173">
        <f t="shared" si="63"/>
        <v>0.08</v>
      </c>
      <c r="CN189" s="173">
        <f t="shared" si="63"/>
        <v>0.08</v>
      </c>
      <c r="CO189" s="173">
        <f t="shared" si="15"/>
        <v>0.08</v>
      </c>
      <c r="CP189" s="173">
        <f t="shared" si="15"/>
        <v>0.08</v>
      </c>
      <c r="CQ189" s="174">
        <f t="shared" si="16"/>
        <v>0.08</v>
      </c>
      <c r="CR189" s="173">
        <f t="shared" si="16"/>
        <v>0.08</v>
      </c>
      <c r="CS189" s="173">
        <f t="shared" si="17"/>
        <v>0.08</v>
      </c>
      <c r="CT189" s="173">
        <f t="shared" si="17"/>
        <v>0.08</v>
      </c>
      <c r="CU189" s="173">
        <f t="shared" si="17"/>
        <v>0.08</v>
      </c>
      <c r="CV189" s="173">
        <f t="shared" si="17"/>
        <v>0.08</v>
      </c>
      <c r="CW189" s="175">
        <f t="shared" si="17"/>
        <v>0.08</v>
      </c>
    </row>
    <row r="190" spans="1:101" ht="12.75">
      <c r="A190" s="2">
        <v>0.49</v>
      </c>
      <c r="B190" s="172">
        <v>0.89</v>
      </c>
      <c r="C190" s="173">
        <v>0.61</v>
      </c>
      <c r="D190" s="173">
        <v>0.5</v>
      </c>
      <c r="E190" s="174">
        <v>0.42</v>
      </c>
      <c r="F190" s="173">
        <v>0.38</v>
      </c>
      <c r="G190" s="173">
        <v>0.35</v>
      </c>
      <c r="H190" s="173">
        <v>0.32</v>
      </c>
      <c r="I190" s="173">
        <v>0.29</v>
      </c>
      <c r="J190" s="174">
        <v>0.28</v>
      </c>
      <c r="K190" s="173">
        <f t="shared" si="18"/>
        <v>0.26</v>
      </c>
      <c r="L190" s="173">
        <v>0.25</v>
      </c>
      <c r="M190" s="173">
        <f t="shared" si="2"/>
        <v>0.24999999999999994</v>
      </c>
      <c r="N190" s="173">
        <f t="shared" si="2"/>
        <v>0.23999999999999994</v>
      </c>
      <c r="O190" s="174">
        <f t="shared" si="2"/>
        <v>0.22999999999999993</v>
      </c>
      <c r="P190" s="173">
        <f t="shared" si="27"/>
        <v>0.21999999999999997</v>
      </c>
      <c r="Q190" s="173">
        <v>0.22</v>
      </c>
      <c r="R190" s="173">
        <f t="shared" si="27"/>
        <v>0.21</v>
      </c>
      <c r="S190" s="173">
        <f t="shared" si="27"/>
        <v>0.19999999999999998</v>
      </c>
      <c r="T190" s="174">
        <f>T189-0.01</f>
        <v>0.18999999999999997</v>
      </c>
      <c r="U190" s="173">
        <v>0.19</v>
      </c>
      <c r="V190" s="173">
        <f>V189-0.01</f>
        <v>0.18</v>
      </c>
      <c r="W190" s="173">
        <v>0.18</v>
      </c>
      <c r="X190" s="173">
        <f>X189-0.01</f>
        <v>0.16999999999999998</v>
      </c>
      <c r="Y190" s="174">
        <v>0.17</v>
      </c>
      <c r="Z190" s="173">
        <f t="shared" si="19"/>
        <v>0.17</v>
      </c>
      <c r="AA190" s="173">
        <v>0.16</v>
      </c>
      <c r="AB190" s="173">
        <f t="shared" si="19"/>
        <v>0.16</v>
      </c>
      <c r="AC190" s="173">
        <v>0.15</v>
      </c>
      <c r="AD190" s="174">
        <f t="shared" si="3"/>
        <v>0.15</v>
      </c>
      <c r="AE190" s="173">
        <v>0.14</v>
      </c>
      <c r="AF190" s="173">
        <v>0.14</v>
      </c>
      <c r="AG190" s="173">
        <f t="shared" si="4"/>
        <v>0.14</v>
      </c>
      <c r="AH190" s="173">
        <f t="shared" si="4"/>
        <v>0.14</v>
      </c>
      <c r="AI190" s="174">
        <f t="shared" si="5"/>
        <v>0.14</v>
      </c>
      <c r="AJ190" s="173">
        <v>0.13</v>
      </c>
      <c r="AK190" s="173">
        <v>0.13</v>
      </c>
      <c r="AL190" s="173">
        <f t="shared" si="6"/>
        <v>0.13</v>
      </c>
      <c r="AM190" s="173">
        <f t="shared" si="7"/>
        <v>0.13</v>
      </c>
      <c r="AN190" s="174">
        <f t="shared" si="7"/>
        <v>0.13</v>
      </c>
      <c r="AO190" s="173">
        <v>0.12</v>
      </c>
      <c r="AP190" s="173">
        <v>0.12</v>
      </c>
      <c r="AQ190" s="173">
        <v>0.12</v>
      </c>
      <c r="AR190" s="173">
        <f t="shared" si="9"/>
        <v>0.12</v>
      </c>
      <c r="AS190" s="174">
        <f t="shared" si="9"/>
        <v>0.12</v>
      </c>
      <c r="AT190" s="173">
        <f t="shared" si="9"/>
        <v>0.12</v>
      </c>
      <c r="AU190" s="173">
        <f t="shared" si="9"/>
        <v>0.12</v>
      </c>
      <c r="AV190" s="173">
        <f t="shared" si="9"/>
        <v>0.12</v>
      </c>
      <c r="AW190" s="173">
        <v>0.11</v>
      </c>
      <c r="AX190" s="174">
        <v>0.11</v>
      </c>
      <c r="AY190" s="173">
        <f t="shared" si="10"/>
        <v>0.11</v>
      </c>
      <c r="AZ190" s="173">
        <f t="shared" si="10"/>
        <v>0.11</v>
      </c>
      <c r="BA190" s="173">
        <f t="shared" si="10"/>
        <v>0.11</v>
      </c>
      <c r="BB190" s="173">
        <f t="shared" si="11"/>
        <v>0.11</v>
      </c>
      <c r="BC190" s="174">
        <f t="shared" si="11"/>
        <v>0.11</v>
      </c>
      <c r="BD190" s="173">
        <f t="shared" si="11"/>
        <v>0.11</v>
      </c>
      <c r="BE190" s="173">
        <f t="shared" si="11"/>
        <v>0.11</v>
      </c>
      <c r="BF190" s="173">
        <f t="shared" si="11"/>
        <v>0.11</v>
      </c>
      <c r="BG190" s="173">
        <f t="shared" si="11"/>
        <v>0.11</v>
      </c>
      <c r="BH190" s="174">
        <f t="shared" si="68"/>
        <v>0.11</v>
      </c>
      <c r="BI190" s="173">
        <f t="shared" si="67"/>
        <v>0.1</v>
      </c>
      <c r="BJ190" s="173">
        <f t="shared" si="67"/>
        <v>0.1</v>
      </c>
      <c r="BK190" s="173">
        <f t="shared" si="67"/>
        <v>0.1</v>
      </c>
      <c r="BL190" s="173">
        <f t="shared" si="66"/>
        <v>0.1</v>
      </c>
      <c r="BM190" s="174">
        <f t="shared" si="66"/>
        <v>0.1</v>
      </c>
      <c r="BN190" s="173">
        <f t="shared" si="66"/>
        <v>0.1</v>
      </c>
      <c r="BO190" s="173">
        <f t="shared" si="66"/>
        <v>0.1</v>
      </c>
      <c r="BP190" s="173">
        <f t="shared" si="66"/>
        <v>0.1</v>
      </c>
      <c r="BQ190" s="173">
        <f t="shared" si="66"/>
        <v>0.1</v>
      </c>
      <c r="BR190" s="174">
        <f t="shared" si="66"/>
        <v>0.1</v>
      </c>
      <c r="BS190" s="173">
        <f t="shared" si="66"/>
        <v>0.09</v>
      </c>
      <c r="BT190" s="173">
        <f t="shared" si="13"/>
        <v>0.09</v>
      </c>
      <c r="BU190" s="173">
        <f t="shared" si="13"/>
        <v>0.09</v>
      </c>
      <c r="BV190" s="173">
        <f t="shared" si="13"/>
        <v>0.09</v>
      </c>
      <c r="BW190" s="174">
        <f t="shared" si="13"/>
        <v>0.09</v>
      </c>
      <c r="BX190" s="173">
        <f t="shared" si="23"/>
        <v>0.09</v>
      </c>
      <c r="BY190" s="173">
        <f t="shared" si="23"/>
        <v>0.09</v>
      </c>
      <c r="BZ190" s="173">
        <f t="shared" si="65"/>
        <v>0.09</v>
      </c>
      <c r="CA190" s="173">
        <f t="shared" si="64"/>
        <v>0.09</v>
      </c>
      <c r="CB190" s="174">
        <f t="shared" si="64"/>
        <v>0.09</v>
      </c>
      <c r="CC190" s="173">
        <f t="shared" si="64"/>
        <v>0.09</v>
      </c>
      <c r="CD190" s="173">
        <f t="shared" si="64"/>
        <v>0.09</v>
      </c>
      <c r="CE190" s="173">
        <f t="shared" si="63"/>
        <v>0.09</v>
      </c>
      <c r="CF190" s="173">
        <f t="shared" si="63"/>
        <v>0.09</v>
      </c>
      <c r="CG190" s="174">
        <f t="shared" si="63"/>
        <v>0.09</v>
      </c>
      <c r="CH190" s="173">
        <f t="shared" si="63"/>
        <v>0.09</v>
      </c>
      <c r="CI190" s="173">
        <f t="shared" si="63"/>
        <v>0.08</v>
      </c>
      <c r="CJ190" s="173">
        <f t="shared" si="63"/>
        <v>0.08</v>
      </c>
      <c r="CK190" s="173">
        <f t="shared" si="63"/>
        <v>0.08</v>
      </c>
      <c r="CL190" s="174">
        <f t="shared" si="63"/>
        <v>0.08</v>
      </c>
      <c r="CM190" s="173">
        <f t="shared" si="63"/>
        <v>0.08</v>
      </c>
      <c r="CN190" s="173">
        <f t="shared" si="63"/>
        <v>0.08</v>
      </c>
      <c r="CO190" s="173">
        <f t="shared" si="15"/>
        <v>0.08</v>
      </c>
      <c r="CP190" s="173">
        <f t="shared" si="15"/>
        <v>0.08</v>
      </c>
      <c r="CQ190" s="174">
        <f t="shared" si="16"/>
        <v>0.08</v>
      </c>
      <c r="CR190" s="173">
        <f t="shared" si="16"/>
        <v>0.08</v>
      </c>
      <c r="CS190" s="173">
        <f t="shared" si="17"/>
        <v>0.08</v>
      </c>
      <c r="CT190" s="173">
        <f t="shared" si="17"/>
        <v>0.08</v>
      </c>
      <c r="CU190" s="173">
        <f t="shared" si="17"/>
        <v>0.08</v>
      </c>
      <c r="CV190" s="173">
        <f t="shared" si="17"/>
        <v>0.08</v>
      </c>
      <c r="CW190" s="175">
        <f t="shared" si="17"/>
        <v>0.08</v>
      </c>
    </row>
    <row r="191" spans="1:101" ht="13.5" thickBot="1">
      <c r="A191" s="2">
        <v>0.5</v>
      </c>
      <c r="B191" s="176">
        <v>0.84</v>
      </c>
      <c r="C191" s="177">
        <v>0.58</v>
      </c>
      <c r="D191" s="177">
        <v>0.47</v>
      </c>
      <c r="E191" s="178">
        <v>0.4</v>
      </c>
      <c r="F191" s="177">
        <v>0.36</v>
      </c>
      <c r="G191" s="177">
        <v>0.33</v>
      </c>
      <c r="H191" s="177">
        <v>0.3</v>
      </c>
      <c r="I191" s="177">
        <v>0.28</v>
      </c>
      <c r="J191" s="178">
        <v>0.18</v>
      </c>
      <c r="K191" s="179">
        <f t="shared" si="18"/>
        <v>0.25</v>
      </c>
      <c r="L191" s="177">
        <f t="shared" si="2"/>
        <v>0.24</v>
      </c>
      <c r="M191" s="177">
        <f t="shared" si="2"/>
        <v>0.23999999999999994</v>
      </c>
      <c r="N191" s="177">
        <f t="shared" si="2"/>
        <v>0.22999999999999993</v>
      </c>
      <c r="O191" s="178">
        <f t="shared" si="2"/>
        <v>0.21999999999999992</v>
      </c>
      <c r="P191" s="179">
        <v>0.22</v>
      </c>
      <c r="Q191" s="177">
        <f>Q190-0.01</f>
        <v>0.21</v>
      </c>
      <c r="R191" s="177">
        <f>R190-0.01</f>
        <v>0.19999999999999998</v>
      </c>
      <c r="S191" s="177">
        <f>S190-0.01</f>
        <v>0.18999999999999997</v>
      </c>
      <c r="T191" s="178">
        <v>0.19</v>
      </c>
      <c r="U191" s="177">
        <f>U190-0.01</f>
        <v>0.18</v>
      </c>
      <c r="V191" s="177">
        <v>0.18</v>
      </c>
      <c r="W191" s="177">
        <f>W190-0.01</f>
        <v>0.16999999999999998</v>
      </c>
      <c r="X191" s="177">
        <v>0.17</v>
      </c>
      <c r="Y191" s="178">
        <f>Y190-0.01</f>
        <v>0.16</v>
      </c>
      <c r="Z191" s="179">
        <v>0.16</v>
      </c>
      <c r="AA191" s="177">
        <f>AA190</f>
        <v>0.16</v>
      </c>
      <c r="AB191" s="177">
        <v>0.15</v>
      </c>
      <c r="AC191" s="177">
        <f t="shared" si="3"/>
        <v>0.15</v>
      </c>
      <c r="AD191" s="178">
        <v>0.14</v>
      </c>
      <c r="AE191" s="177">
        <f t="shared" si="3"/>
        <v>0.14</v>
      </c>
      <c r="AF191" s="177">
        <f t="shared" si="3"/>
        <v>0.14</v>
      </c>
      <c r="AG191" s="177">
        <f t="shared" si="4"/>
        <v>0.14</v>
      </c>
      <c r="AH191" s="177">
        <v>0.13</v>
      </c>
      <c r="AI191" s="178">
        <v>0.13</v>
      </c>
      <c r="AJ191" s="177">
        <f>AJ190</f>
        <v>0.13</v>
      </c>
      <c r="AK191" s="177">
        <f t="shared" si="6"/>
        <v>0.13</v>
      </c>
      <c r="AL191" s="177">
        <v>0.13</v>
      </c>
      <c r="AM191" s="177">
        <v>0.12</v>
      </c>
      <c r="AN191" s="178">
        <v>0.12</v>
      </c>
      <c r="AO191" s="177">
        <f t="shared" si="8"/>
        <v>0.12</v>
      </c>
      <c r="AP191" s="177">
        <f t="shared" si="8"/>
        <v>0.12</v>
      </c>
      <c r="AQ191" s="177">
        <f t="shared" si="9"/>
        <v>0.12</v>
      </c>
      <c r="AR191" s="177">
        <f t="shared" si="9"/>
        <v>0.12</v>
      </c>
      <c r="AS191" s="178">
        <f t="shared" si="9"/>
        <v>0.12</v>
      </c>
      <c r="AT191" s="177">
        <f t="shared" si="9"/>
        <v>0.12</v>
      </c>
      <c r="AU191" s="177">
        <v>0.11</v>
      </c>
      <c r="AV191" s="177">
        <v>0.11</v>
      </c>
      <c r="AW191" s="177">
        <f t="shared" si="10"/>
        <v>0.11</v>
      </c>
      <c r="AX191" s="178">
        <f t="shared" si="10"/>
        <v>0.11</v>
      </c>
      <c r="AY191" s="177">
        <f t="shared" si="10"/>
        <v>0.11</v>
      </c>
      <c r="AZ191" s="177">
        <f t="shared" si="10"/>
        <v>0.11</v>
      </c>
      <c r="BA191" s="177">
        <f t="shared" si="10"/>
        <v>0.11</v>
      </c>
      <c r="BB191" s="177">
        <f t="shared" si="11"/>
        <v>0.11</v>
      </c>
      <c r="BC191" s="178">
        <f t="shared" si="11"/>
        <v>0.11</v>
      </c>
      <c r="BD191" s="177">
        <f t="shared" si="11"/>
        <v>0.11</v>
      </c>
      <c r="BE191" s="177">
        <f t="shared" si="11"/>
        <v>0.11</v>
      </c>
      <c r="BF191" s="177">
        <f t="shared" si="11"/>
        <v>0.11</v>
      </c>
      <c r="BG191" s="177">
        <f t="shared" si="11"/>
        <v>0.11</v>
      </c>
      <c r="BH191" s="178">
        <f t="shared" si="68"/>
        <v>0.11</v>
      </c>
      <c r="BI191" s="177">
        <f t="shared" si="67"/>
        <v>0.1</v>
      </c>
      <c r="BJ191" s="177">
        <f t="shared" si="67"/>
        <v>0.1</v>
      </c>
      <c r="BK191" s="177">
        <f t="shared" si="67"/>
        <v>0.1</v>
      </c>
      <c r="BL191" s="177">
        <f t="shared" si="66"/>
        <v>0.1</v>
      </c>
      <c r="BM191" s="178">
        <f t="shared" si="66"/>
        <v>0.1</v>
      </c>
      <c r="BN191" s="177">
        <f t="shared" si="66"/>
        <v>0.1</v>
      </c>
      <c r="BO191" s="177">
        <f t="shared" si="66"/>
        <v>0.1</v>
      </c>
      <c r="BP191" s="177">
        <f t="shared" si="66"/>
        <v>0.1</v>
      </c>
      <c r="BQ191" s="177">
        <f t="shared" si="66"/>
        <v>0.1</v>
      </c>
      <c r="BR191" s="178">
        <f t="shared" si="66"/>
        <v>0.1</v>
      </c>
      <c r="BS191" s="177">
        <f t="shared" si="66"/>
        <v>0.09</v>
      </c>
      <c r="BT191" s="177">
        <f t="shared" si="13"/>
        <v>0.09</v>
      </c>
      <c r="BU191" s="177">
        <f t="shared" si="13"/>
        <v>0.09</v>
      </c>
      <c r="BV191" s="177">
        <f t="shared" si="13"/>
        <v>0.09</v>
      </c>
      <c r="BW191" s="178">
        <f t="shared" si="13"/>
        <v>0.09</v>
      </c>
      <c r="BX191" s="177">
        <f t="shared" si="23"/>
        <v>0.09</v>
      </c>
      <c r="BY191" s="177">
        <f t="shared" si="23"/>
        <v>0.09</v>
      </c>
      <c r="BZ191" s="177">
        <f t="shared" si="65"/>
        <v>0.09</v>
      </c>
      <c r="CA191" s="177">
        <f t="shared" si="64"/>
        <v>0.09</v>
      </c>
      <c r="CB191" s="178">
        <f t="shared" si="64"/>
        <v>0.09</v>
      </c>
      <c r="CC191" s="177">
        <f t="shared" si="64"/>
        <v>0.09</v>
      </c>
      <c r="CD191" s="177">
        <f t="shared" si="64"/>
        <v>0.09</v>
      </c>
      <c r="CE191" s="177">
        <f t="shared" si="63"/>
        <v>0.09</v>
      </c>
      <c r="CF191" s="177">
        <f t="shared" si="63"/>
        <v>0.09</v>
      </c>
      <c r="CG191" s="178">
        <f t="shared" si="63"/>
        <v>0.09</v>
      </c>
      <c r="CH191" s="177">
        <f t="shared" si="63"/>
        <v>0.09</v>
      </c>
      <c r="CI191" s="177">
        <f t="shared" si="63"/>
        <v>0.08</v>
      </c>
      <c r="CJ191" s="177">
        <f t="shared" si="63"/>
        <v>0.08</v>
      </c>
      <c r="CK191" s="177">
        <f t="shared" si="63"/>
        <v>0.08</v>
      </c>
      <c r="CL191" s="178">
        <f t="shared" si="63"/>
        <v>0.08</v>
      </c>
      <c r="CM191" s="177">
        <f t="shared" si="63"/>
        <v>0.08</v>
      </c>
      <c r="CN191" s="177">
        <f t="shared" si="63"/>
        <v>0.08</v>
      </c>
      <c r="CO191" s="177">
        <f t="shared" si="15"/>
        <v>0.08</v>
      </c>
      <c r="CP191" s="177">
        <f t="shared" si="15"/>
        <v>0.08</v>
      </c>
      <c r="CQ191" s="178">
        <f t="shared" si="16"/>
        <v>0.08</v>
      </c>
      <c r="CR191" s="177">
        <f t="shared" si="16"/>
        <v>0.08</v>
      </c>
      <c r="CS191" s="177">
        <f t="shared" si="17"/>
        <v>0.08</v>
      </c>
      <c r="CT191" s="177">
        <f t="shared" si="17"/>
        <v>0.08</v>
      </c>
      <c r="CU191" s="177">
        <f t="shared" si="17"/>
        <v>0.08</v>
      </c>
      <c r="CV191" s="177">
        <f t="shared" si="17"/>
        <v>0.08</v>
      </c>
      <c r="CW191" s="180">
        <f t="shared" si="17"/>
        <v>0.08</v>
      </c>
    </row>
    <row r="192" spans="1:21" ht="12.75">
      <c r="A192"/>
      <c r="B192"/>
      <c r="C192"/>
      <c r="D192"/>
      <c r="E192"/>
      <c r="F192"/>
      <c r="G192"/>
      <c r="H192"/>
      <c r="I192"/>
      <c r="J192"/>
      <c r="K192"/>
      <c r="L192"/>
      <c r="M192"/>
      <c r="N192"/>
      <c r="O192"/>
      <c r="P192"/>
      <c r="Q192"/>
      <c r="R192"/>
      <c r="S192"/>
      <c r="T192"/>
      <c r="U192"/>
    </row>
    <row r="227" spans="1:21" ht="12.75">
      <c r="A227"/>
      <c r="B227"/>
      <c r="C227"/>
      <c r="D227"/>
      <c r="E227"/>
      <c r="F227"/>
      <c r="G227"/>
      <c r="H227"/>
      <c r="I227"/>
      <c r="J227"/>
      <c r="K227"/>
      <c r="L227"/>
      <c r="M227"/>
      <c r="N227"/>
      <c r="O227"/>
      <c r="P227"/>
      <c r="Q227"/>
      <c r="R227"/>
      <c r="S227"/>
      <c r="T227"/>
      <c r="U227"/>
    </row>
    <row r="228" spans="1:21" ht="12.75">
      <c r="A228"/>
      <c r="B228"/>
      <c r="C228"/>
      <c r="D228"/>
      <c r="E228"/>
      <c r="F228"/>
      <c r="G228"/>
      <c r="H228"/>
      <c r="I228"/>
      <c r="J228"/>
      <c r="K228"/>
      <c r="L228"/>
      <c r="M228"/>
      <c r="N228"/>
      <c r="O228"/>
      <c r="P228"/>
      <c r="Q228"/>
      <c r="R228"/>
      <c r="S228"/>
      <c r="T228"/>
      <c r="U228"/>
    </row>
    <row r="229" spans="1:21" ht="12.75">
      <c r="A229"/>
      <c r="B229"/>
      <c r="C229"/>
      <c r="D229"/>
      <c r="E229"/>
      <c r="F229"/>
      <c r="G229"/>
      <c r="H229"/>
      <c r="I229"/>
      <c r="J229"/>
      <c r="K229"/>
      <c r="L229"/>
      <c r="M229"/>
      <c r="N229"/>
      <c r="O229"/>
      <c r="P229"/>
      <c r="Q229"/>
      <c r="R229"/>
      <c r="S229"/>
      <c r="T229"/>
      <c r="U229"/>
    </row>
    <row r="230" spans="1:21" ht="12.75">
      <c r="A230"/>
      <c r="B230"/>
      <c r="C230"/>
      <c r="D230"/>
      <c r="E230"/>
      <c r="F230"/>
      <c r="G230"/>
      <c r="H230"/>
      <c r="I230"/>
      <c r="J230"/>
      <c r="K230"/>
      <c r="L230"/>
      <c r="M230"/>
      <c r="N230"/>
      <c r="O230"/>
      <c r="P230"/>
      <c r="Q230"/>
      <c r="R230"/>
      <c r="S230"/>
      <c r="T230"/>
      <c r="U230"/>
    </row>
    <row r="231" spans="1:21" ht="12.75">
      <c r="A231"/>
      <c r="B231"/>
      <c r="C231"/>
      <c r="D231"/>
      <c r="E231"/>
      <c r="F231"/>
      <c r="G231"/>
      <c r="H231"/>
      <c r="I231"/>
      <c r="J231"/>
      <c r="K231"/>
      <c r="L231"/>
      <c r="M231"/>
      <c r="N231"/>
      <c r="O231"/>
      <c r="P231"/>
      <c r="Q231"/>
      <c r="R231"/>
      <c r="S231"/>
      <c r="T231"/>
      <c r="U231"/>
    </row>
    <row r="232" spans="1:21" ht="12.75">
      <c r="A232"/>
      <c r="B232"/>
      <c r="C232"/>
      <c r="D232"/>
      <c r="E232"/>
      <c r="F232"/>
      <c r="G232"/>
      <c r="H232"/>
      <c r="I232"/>
      <c r="J232"/>
      <c r="K232"/>
      <c r="L232"/>
      <c r="M232"/>
      <c r="N232"/>
      <c r="O232"/>
      <c r="P232"/>
      <c r="Q232"/>
      <c r="R232"/>
      <c r="S232"/>
      <c r="T232"/>
      <c r="U232"/>
    </row>
    <row r="233" spans="1:21" ht="12.75">
      <c r="A233"/>
      <c r="B233"/>
      <c r="C233"/>
      <c r="D233"/>
      <c r="E233"/>
      <c r="F233"/>
      <c r="G233"/>
      <c r="H233"/>
      <c r="I233"/>
      <c r="J233"/>
      <c r="K233"/>
      <c r="L233"/>
      <c r="M233"/>
      <c r="N233"/>
      <c r="O233"/>
      <c r="P233"/>
      <c r="Q233"/>
      <c r="R233"/>
      <c r="S233"/>
      <c r="T233"/>
      <c r="U233"/>
    </row>
    <row r="234" spans="1:21" ht="12.75">
      <c r="A234"/>
      <c r="B234"/>
      <c r="C234"/>
      <c r="D234"/>
      <c r="E234"/>
      <c r="F234"/>
      <c r="G234"/>
      <c r="H234"/>
      <c r="I234"/>
      <c r="J234"/>
      <c r="K234"/>
      <c r="L234"/>
      <c r="M234"/>
      <c r="N234"/>
      <c r="O234"/>
      <c r="P234"/>
      <c r="Q234"/>
      <c r="R234"/>
      <c r="S234"/>
      <c r="T234"/>
      <c r="U234"/>
    </row>
    <row r="235" spans="1:21" ht="12.75">
      <c r="A235"/>
      <c r="B235"/>
      <c r="C235"/>
      <c r="D235"/>
      <c r="E235"/>
      <c r="F235"/>
      <c r="G235"/>
      <c r="H235"/>
      <c r="I235"/>
      <c r="J235"/>
      <c r="K235"/>
      <c r="L235"/>
      <c r="M235"/>
      <c r="N235"/>
      <c r="O235"/>
      <c r="P235"/>
      <c r="Q235"/>
      <c r="R235"/>
      <c r="S235"/>
      <c r="T235"/>
      <c r="U235"/>
    </row>
    <row r="236" spans="1:21" ht="12.75">
      <c r="A236"/>
      <c r="B236"/>
      <c r="C236"/>
      <c r="D236"/>
      <c r="E236"/>
      <c r="F236"/>
      <c r="G236"/>
      <c r="H236"/>
      <c r="I236"/>
      <c r="J236"/>
      <c r="K236"/>
      <c r="L236"/>
      <c r="M236"/>
      <c r="N236"/>
      <c r="O236"/>
      <c r="P236"/>
      <c r="Q236"/>
      <c r="R236"/>
      <c r="S236"/>
      <c r="T236"/>
      <c r="U236"/>
    </row>
    <row r="237" spans="1:21" ht="12.75">
      <c r="A237"/>
      <c r="B237"/>
      <c r="C237"/>
      <c r="D237"/>
      <c r="E237"/>
      <c r="F237"/>
      <c r="G237"/>
      <c r="H237"/>
      <c r="I237"/>
      <c r="J237"/>
      <c r="K237"/>
      <c r="L237"/>
      <c r="M237"/>
      <c r="N237"/>
      <c r="O237"/>
      <c r="P237"/>
      <c r="Q237"/>
      <c r="R237"/>
      <c r="S237"/>
      <c r="T237"/>
      <c r="U237"/>
    </row>
    <row r="238" spans="1:21" ht="12.75">
      <c r="A238"/>
      <c r="B238"/>
      <c r="C238"/>
      <c r="D238"/>
      <c r="E238"/>
      <c r="F238"/>
      <c r="G238"/>
      <c r="H238"/>
      <c r="I238"/>
      <c r="J238"/>
      <c r="K238"/>
      <c r="L238"/>
      <c r="M238"/>
      <c r="N238"/>
      <c r="O238"/>
      <c r="P238"/>
      <c r="Q238"/>
      <c r="R238"/>
      <c r="S238"/>
      <c r="T238"/>
      <c r="U238"/>
    </row>
    <row r="239" spans="1:21" ht="12.75">
      <c r="A239"/>
      <c r="B239"/>
      <c r="C239"/>
      <c r="D239"/>
      <c r="E239"/>
      <c r="F239"/>
      <c r="G239"/>
      <c r="H239"/>
      <c r="I239"/>
      <c r="J239"/>
      <c r="K239"/>
      <c r="L239"/>
      <c r="M239"/>
      <c r="N239"/>
      <c r="O239"/>
      <c r="P239"/>
      <c r="Q239"/>
      <c r="R239"/>
      <c r="S239"/>
      <c r="T239"/>
      <c r="U239"/>
    </row>
    <row r="240" spans="1:21" ht="12.75">
      <c r="A240"/>
      <c r="B240"/>
      <c r="C240"/>
      <c r="D240"/>
      <c r="E240"/>
      <c r="F240"/>
      <c r="G240"/>
      <c r="H240"/>
      <c r="I240"/>
      <c r="J240"/>
      <c r="K240"/>
      <c r="L240"/>
      <c r="M240"/>
      <c r="N240"/>
      <c r="O240"/>
      <c r="P240"/>
      <c r="Q240"/>
      <c r="R240"/>
      <c r="S240"/>
      <c r="T240"/>
      <c r="U240"/>
    </row>
    <row r="241" spans="1:21" ht="12.75">
      <c r="A241"/>
      <c r="B241"/>
      <c r="C241"/>
      <c r="D241"/>
      <c r="E241"/>
      <c r="F241"/>
      <c r="G241"/>
      <c r="H241"/>
      <c r="I241"/>
      <c r="J241"/>
      <c r="K241"/>
      <c r="L241"/>
      <c r="M241"/>
      <c r="N241"/>
      <c r="O241"/>
      <c r="P241"/>
      <c r="Q241"/>
      <c r="R241"/>
      <c r="S241"/>
      <c r="T241"/>
      <c r="U241"/>
    </row>
    <row r="242" spans="1:21" ht="12.75">
      <c r="A242"/>
      <c r="B242"/>
      <c r="C242"/>
      <c r="D242"/>
      <c r="E242"/>
      <c r="F242"/>
      <c r="G242"/>
      <c r="H242"/>
      <c r="I242"/>
      <c r="J242"/>
      <c r="K242"/>
      <c r="L242"/>
      <c r="M242"/>
      <c r="N242"/>
      <c r="O242"/>
      <c r="P242"/>
      <c r="Q242"/>
      <c r="R242"/>
      <c r="S242"/>
      <c r="T242"/>
      <c r="U242"/>
    </row>
    <row r="243" spans="1:21" ht="12.75">
      <c r="A243"/>
      <c r="B243"/>
      <c r="C243"/>
      <c r="D243"/>
      <c r="E243"/>
      <c r="F243"/>
      <c r="G243"/>
      <c r="H243"/>
      <c r="I243"/>
      <c r="J243"/>
      <c r="K243"/>
      <c r="L243"/>
      <c r="M243"/>
      <c r="N243"/>
      <c r="O243"/>
      <c r="P243"/>
      <c r="Q243"/>
      <c r="R243"/>
      <c r="S243"/>
      <c r="T243"/>
      <c r="U243"/>
    </row>
    <row r="244" spans="1:21" ht="12.75">
      <c r="A244"/>
      <c r="B244"/>
      <c r="C244"/>
      <c r="D244"/>
      <c r="E244"/>
      <c r="F244"/>
      <c r="G244"/>
      <c r="H244"/>
      <c r="I244"/>
      <c r="J244"/>
      <c r="K244"/>
      <c r="L244"/>
      <c r="M244"/>
      <c r="N244"/>
      <c r="O244"/>
      <c r="P244"/>
      <c r="Q244"/>
      <c r="R244"/>
      <c r="S244"/>
      <c r="T244"/>
      <c r="U244"/>
    </row>
    <row r="245" spans="1:21" ht="12.75">
      <c r="A245"/>
      <c r="B245"/>
      <c r="C245"/>
      <c r="D245"/>
      <c r="E245"/>
      <c r="F245"/>
      <c r="G245"/>
      <c r="H245"/>
      <c r="I245"/>
      <c r="J245"/>
      <c r="K245"/>
      <c r="L245"/>
      <c r="M245"/>
      <c r="N245"/>
      <c r="O245"/>
      <c r="P245"/>
      <c r="Q245"/>
      <c r="R245"/>
      <c r="S245"/>
      <c r="T245"/>
      <c r="U245"/>
    </row>
    <row r="246" spans="1:21" ht="12.75">
      <c r="A246"/>
      <c r="B246"/>
      <c r="C246"/>
      <c r="D246"/>
      <c r="E246"/>
      <c r="F246"/>
      <c r="G246"/>
      <c r="H246"/>
      <c r="I246"/>
      <c r="J246"/>
      <c r="K246"/>
      <c r="L246"/>
      <c r="M246"/>
      <c r="N246"/>
      <c r="O246"/>
      <c r="P246"/>
      <c r="Q246"/>
      <c r="R246"/>
      <c r="S246"/>
      <c r="T246"/>
      <c r="U246"/>
    </row>
    <row r="247" spans="1:21" ht="12.75">
      <c r="A247"/>
      <c r="B247"/>
      <c r="C247"/>
      <c r="D247"/>
      <c r="E247"/>
      <c r="F247"/>
      <c r="G247"/>
      <c r="H247"/>
      <c r="I247"/>
      <c r="J247"/>
      <c r="K247"/>
      <c r="L247"/>
      <c r="M247"/>
      <c r="N247"/>
      <c r="O247"/>
      <c r="P247"/>
      <c r="Q247"/>
      <c r="R247"/>
      <c r="S247"/>
      <c r="T247"/>
      <c r="U247"/>
    </row>
    <row r="248" spans="1:21" ht="12.75">
      <c r="A248"/>
      <c r="B248"/>
      <c r="C248"/>
      <c r="D248"/>
      <c r="E248"/>
      <c r="F248"/>
      <c r="G248"/>
      <c r="H248"/>
      <c r="I248"/>
      <c r="J248"/>
      <c r="K248"/>
      <c r="L248"/>
      <c r="M248"/>
      <c r="N248"/>
      <c r="O248"/>
      <c r="P248"/>
      <c r="Q248"/>
      <c r="R248"/>
      <c r="S248"/>
      <c r="T248"/>
      <c r="U248"/>
    </row>
    <row r="249" spans="1:21" ht="12.75">
      <c r="A249"/>
      <c r="B249"/>
      <c r="C249"/>
      <c r="D249"/>
      <c r="E249"/>
      <c r="F249"/>
      <c r="G249"/>
      <c r="H249"/>
      <c r="I249"/>
      <c r="J249"/>
      <c r="K249"/>
      <c r="L249"/>
      <c r="M249"/>
      <c r="N249"/>
      <c r="O249"/>
      <c r="P249"/>
      <c r="Q249"/>
      <c r="R249"/>
      <c r="S249"/>
      <c r="T249"/>
      <c r="U249"/>
    </row>
    <row r="250" spans="1:21" ht="12.75">
      <c r="A250"/>
      <c r="B250"/>
      <c r="C250"/>
      <c r="D250"/>
      <c r="E250"/>
      <c r="F250"/>
      <c r="G250"/>
      <c r="H250"/>
      <c r="I250"/>
      <c r="J250"/>
      <c r="K250"/>
      <c r="L250"/>
      <c r="M250"/>
      <c r="N250"/>
      <c r="O250"/>
      <c r="P250"/>
      <c r="Q250"/>
      <c r="R250"/>
      <c r="S250"/>
      <c r="T250"/>
      <c r="U250"/>
    </row>
    <row r="251" spans="1:21" ht="12.75">
      <c r="A251"/>
      <c r="B251"/>
      <c r="C251"/>
      <c r="D251"/>
      <c r="E251"/>
      <c r="F251"/>
      <c r="G251"/>
      <c r="H251"/>
      <c r="I251"/>
      <c r="J251"/>
      <c r="K251"/>
      <c r="L251"/>
      <c r="M251"/>
      <c r="N251"/>
      <c r="O251"/>
      <c r="P251"/>
      <c r="Q251"/>
      <c r="R251"/>
      <c r="S251"/>
      <c r="T251"/>
      <c r="U251"/>
    </row>
    <row r="252" spans="1:21" ht="12.75">
      <c r="A252"/>
      <c r="B252"/>
      <c r="C252"/>
      <c r="D252"/>
      <c r="E252"/>
      <c r="F252"/>
      <c r="G252"/>
      <c r="H252"/>
      <c r="I252"/>
      <c r="J252"/>
      <c r="K252"/>
      <c r="L252"/>
      <c r="M252"/>
      <c r="N252"/>
      <c r="O252"/>
      <c r="P252"/>
      <c r="Q252"/>
      <c r="R252"/>
      <c r="S252"/>
      <c r="T252"/>
      <c r="U252"/>
    </row>
    <row r="253" spans="1:21" ht="12.75">
      <c r="A253"/>
      <c r="B253"/>
      <c r="C253"/>
      <c r="D253"/>
      <c r="E253"/>
      <c r="F253"/>
      <c r="G253"/>
      <c r="H253"/>
      <c r="I253"/>
      <c r="J253"/>
      <c r="K253"/>
      <c r="L253"/>
      <c r="M253"/>
      <c r="N253"/>
      <c r="O253"/>
      <c r="P253"/>
      <c r="Q253"/>
      <c r="R253"/>
      <c r="S253"/>
      <c r="T253"/>
      <c r="U253"/>
    </row>
    <row r="254" spans="1:21" ht="12.75">
      <c r="A254"/>
      <c r="B254"/>
      <c r="C254"/>
      <c r="D254"/>
      <c r="E254"/>
      <c r="F254"/>
      <c r="G254"/>
      <c r="H254"/>
      <c r="I254"/>
      <c r="J254"/>
      <c r="K254"/>
      <c r="L254"/>
      <c r="M254"/>
      <c r="N254"/>
      <c r="O254"/>
      <c r="P254"/>
      <c r="Q254"/>
      <c r="R254"/>
      <c r="S254"/>
      <c r="T254"/>
      <c r="U254"/>
    </row>
    <row r="262" spans="1:28" ht="12.75">
      <c r="A262"/>
      <c r="B262"/>
      <c r="C262"/>
      <c r="D262"/>
      <c r="E262"/>
      <c r="F262"/>
      <c r="G262"/>
      <c r="H262"/>
      <c r="I262"/>
      <c r="J262"/>
      <c r="K262"/>
      <c r="L262"/>
      <c r="M262"/>
      <c r="N262"/>
      <c r="O262"/>
      <c r="P262"/>
      <c r="Q262"/>
      <c r="R262"/>
      <c r="S262"/>
      <c r="T262"/>
      <c r="U262"/>
      <c r="V262"/>
      <c r="W262"/>
      <c r="X262"/>
      <c r="Y262"/>
      <c r="Z262"/>
      <c r="AA262"/>
      <c r="AB262"/>
    </row>
    <row r="263" spans="1:28" ht="12.75">
      <c r="A263"/>
      <c r="B263"/>
      <c r="C263"/>
      <c r="D263"/>
      <c r="E263"/>
      <c r="F263"/>
      <c r="G263"/>
      <c r="H263"/>
      <c r="I263"/>
      <c r="J263"/>
      <c r="K263"/>
      <c r="L263"/>
      <c r="M263"/>
      <c r="N263"/>
      <c r="O263"/>
      <c r="P263"/>
      <c r="Q263"/>
      <c r="R263"/>
      <c r="S263"/>
      <c r="T263"/>
      <c r="U263"/>
      <c r="V263"/>
      <c r="W263"/>
      <c r="X263"/>
      <c r="Y263"/>
      <c r="Z263"/>
      <c r="AA263"/>
      <c r="AB263"/>
    </row>
    <row r="264" spans="1:28" ht="12.75">
      <c r="A264"/>
      <c r="B264"/>
      <c r="C264"/>
      <c r="D264"/>
      <c r="E264"/>
      <c r="F264"/>
      <c r="G264"/>
      <c r="H264"/>
      <c r="I264"/>
      <c r="J264"/>
      <c r="K264"/>
      <c r="L264"/>
      <c r="M264"/>
      <c r="N264"/>
      <c r="O264"/>
      <c r="P264"/>
      <c r="Q264"/>
      <c r="R264"/>
      <c r="S264"/>
      <c r="T264"/>
      <c r="U264"/>
      <c r="V264"/>
      <c r="W264"/>
      <c r="X264"/>
      <c r="Y264"/>
      <c r="Z264"/>
      <c r="AA264"/>
      <c r="AB264"/>
    </row>
    <row r="265" spans="1:28" ht="12.75">
      <c r="A265"/>
      <c r="B265"/>
      <c r="C265"/>
      <c r="D265"/>
      <c r="E265"/>
      <c r="F265"/>
      <c r="G265"/>
      <c r="H265"/>
      <c r="I265"/>
      <c r="J265"/>
      <c r="K265"/>
      <c r="L265"/>
      <c r="M265"/>
      <c r="N265"/>
      <c r="O265"/>
      <c r="P265"/>
      <c r="Q265"/>
      <c r="R265"/>
      <c r="S265"/>
      <c r="T265"/>
      <c r="U265"/>
      <c r="V265"/>
      <c r="W265"/>
      <c r="X265"/>
      <c r="Y265"/>
      <c r="Z265"/>
      <c r="AA265"/>
      <c r="AB265"/>
    </row>
    <row r="266" spans="1:28" ht="12.75">
      <c r="A266"/>
      <c r="B266"/>
      <c r="C266"/>
      <c r="D266"/>
      <c r="E266"/>
      <c r="F266"/>
      <c r="G266"/>
      <c r="H266"/>
      <c r="I266"/>
      <c r="J266"/>
      <c r="K266"/>
      <c r="L266"/>
      <c r="M266"/>
      <c r="N266"/>
      <c r="O266"/>
      <c r="P266"/>
      <c r="Q266"/>
      <c r="R266"/>
      <c r="S266"/>
      <c r="T266"/>
      <c r="U266"/>
      <c r="V266"/>
      <c r="W266"/>
      <c r="X266"/>
      <c r="Y266"/>
      <c r="Z266"/>
      <c r="AA266"/>
      <c r="AB266"/>
    </row>
    <row r="267" spans="1:28" ht="12.75">
      <c r="A267"/>
      <c r="B267"/>
      <c r="C267"/>
      <c r="D267"/>
      <c r="E267"/>
      <c r="F267"/>
      <c r="G267"/>
      <c r="H267"/>
      <c r="I267"/>
      <c r="J267"/>
      <c r="K267"/>
      <c r="L267"/>
      <c r="M267"/>
      <c r="N267"/>
      <c r="O267"/>
      <c r="P267"/>
      <c r="Q267"/>
      <c r="R267"/>
      <c r="S267"/>
      <c r="T267"/>
      <c r="U267"/>
      <c r="V267"/>
      <c r="W267"/>
      <c r="X267"/>
      <c r="Y267"/>
      <c r="Z267"/>
      <c r="AA267"/>
      <c r="AB267"/>
    </row>
    <row r="268" spans="1:28" ht="12.75">
      <c r="A268"/>
      <c r="B268"/>
      <c r="C268"/>
      <c r="D268"/>
      <c r="E268"/>
      <c r="F268"/>
      <c r="G268"/>
      <c r="H268"/>
      <c r="I268"/>
      <c r="J268"/>
      <c r="K268"/>
      <c r="L268"/>
      <c r="M268"/>
      <c r="N268"/>
      <c r="O268"/>
      <c r="P268"/>
      <c r="Q268"/>
      <c r="R268"/>
      <c r="S268"/>
      <c r="T268"/>
      <c r="U268"/>
      <c r="V268"/>
      <c r="W268"/>
      <c r="X268"/>
      <c r="Y268"/>
      <c r="Z268"/>
      <c r="AA268"/>
      <c r="AB268"/>
    </row>
    <row r="269" spans="1:28" ht="12.75">
      <c r="A269"/>
      <c r="B269"/>
      <c r="C269"/>
      <c r="D269"/>
      <c r="E269"/>
      <c r="F269"/>
      <c r="G269"/>
      <c r="H269"/>
      <c r="I269"/>
      <c r="J269"/>
      <c r="K269"/>
      <c r="L269"/>
      <c r="M269"/>
      <c r="N269"/>
      <c r="O269"/>
      <c r="P269"/>
      <c r="Q269"/>
      <c r="R269"/>
      <c r="S269"/>
      <c r="T269"/>
      <c r="U269"/>
      <c r="V269"/>
      <c r="W269"/>
      <c r="X269"/>
      <c r="Y269"/>
      <c r="Z269"/>
      <c r="AA269"/>
      <c r="AB269"/>
    </row>
    <row r="270" spans="1:28" ht="12.75">
      <c r="A270"/>
      <c r="B270"/>
      <c r="C270"/>
      <c r="D270"/>
      <c r="E270"/>
      <c r="F270"/>
      <c r="G270"/>
      <c r="H270"/>
      <c r="I270"/>
      <c r="J270"/>
      <c r="K270"/>
      <c r="L270"/>
      <c r="M270"/>
      <c r="N270"/>
      <c r="O270"/>
      <c r="P270"/>
      <c r="Q270"/>
      <c r="R270"/>
      <c r="S270"/>
      <c r="T270"/>
      <c r="U270"/>
      <c r="V270"/>
      <c r="W270"/>
      <c r="X270"/>
      <c r="Y270"/>
      <c r="Z270"/>
      <c r="AA270"/>
      <c r="AB270"/>
    </row>
    <row r="271" spans="1:28" ht="12.75">
      <c r="A271"/>
      <c r="B271"/>
      <c r="C271"/>
      <c r="D271"/>
      <c r="E271"/>
      <c r="F271"/>
      <c r="G271"/>
      <c r="H271"/>
      <c r="I271"/>
      <c r="J271"/>
      <c r="K271"/>
      <c r="L271"/>
      <c r="M271"/>
      <c r="N271"/>
      <c r="O271"/>
      <c r="P271"/>
      <c r="Q271"/>
      <c r="R271"/>
      <c r="S271"/>
      <c r="T271"/>
      <c r="U271"/>
      <c r="V271"/>
      <c r="W271"/>
      <c r="X271"/>
      <c r="Y271"/>
      <c r="Z271"/>
      <c r="AA271"/>
      <c r="AB271"/>
    </row>
    <row r="272" spans="1:28" ht="12.75">
      <c r="A272"/>
      <c r="B272"/>
      <c r="C272"/>
      <c r="D272"/>
      <c r="E272"/>
      <c r="F272"/>
      <c r="G272"/>
      <c r="H272"/>
      <c r="I272"/>
      <c r="J272"/>
      <c r="K272"/>
      <c r="L272"/>
      <c r="M272"/>
      <c r="N272"/>
      <c r="O272"/>
      <c r="P272"/>
      <c r="Q272"/>
      <c r="R272"/>
      <c r="S272"/>
      <c r="T272"/>
      <c r="U272"/>
      <c r="V272"/>
      <c r="W272"/>
      <c r="X272"/>
      <c r="Y272"/>
      <c r="Z272"/>
      <c r="AA272"/>
      <c r="AB272"/>
    </row>
    <row r="273" spans="1:28" ht="12.75">
      <c r="A273"/>
      <c r="B273"/>
      <c r="C273"/>
      <c r="D273"/>
      <c r="E273"/>
      <c r="F273"/>
      <c r="G273"/>
      <c r="H273"/>
      <c r="I273"/>
      <c r="J273"/>
      <c r="K273"/>
      <c r="L273"/>
      <c r="M273"/>
      <c r="N273"/>
      <c r="O273"/>
      <c r="P273"/>
      <c r="Q273"/>
      <c r="R273"/>
      <c r="S273"/>
      <c r="T273"/>
      <c r="U273"/>
      <c r="V273"/>
      <c r="W273"/>
      <c r="X273"/>
      <c r="Y273"/>
      <c r="Z273"/>
      <c r="AA273"/>
      <c r="AB273"/>
    </row>
    <row r="274" spans="1:28" ht="12.75">
      <c r="A274"/>
      <c r="B274"/>
      <c r="C274"/>
      <c r="D274"/>
      <c r="E274"/>
      <c r="F274"/>
      <c r="G274"/>
      <c r="H274"/>
      <c r="I274"/>
      <c r="J274"/>
      <c r="K274"/>
      <c r="L274"/>
      <c r="M274"/>
      <c r="N274"/>
      <c r="O274"/>
      <c r="P274"/>
      <c r="Q274"/>
      <c r="R274"/>
      <c r="S274"/>
      <c r="T274"/>
      <c r="U274"/>
      <c r="V274"/>
      <c r="W274"/>
      <c r="X274"/>
      <c r="Y274"/>
      <c r="Z274"/>
      <c r="AA274"/>
      <c r="AB274"/>
    </row>
    <row r="275" spans="1:28" ht="12.75">
      <c r="A275"/>
      <c r="B275"/>
      <c r="C275"/>
      <c r="D275"/>
      <c r="E275"/>
      <c r="F275"/>
      <c r="G275"/>
      <c r="H275"/>
      <c r="I275"/>
      <c r="J275"/>
      <c r="K275"/>
      <c r="L275"/>
      <c r="M275"/>
      <c r="N275"/>
      <c r="O275"/>
      <c r="P275"/>
      <c r="Q275"/>
      <c r="R275"/>
      <c r="S275"/>
      <c r="T275"/>
      <c r="U275"/>
      <c r="V275"/>
      <c r="W275"/>
      <c r="X275"/>
      <c r="Y275"/>
      <c r="Z275"/>
      <c r="AA275"/>
      <c r="AB275"/>
    </row>
    <row r="276" spans="1:28" ht="12.75">
      <c r="A276"/>
      <c r="B276"/>
      <c r="C276"/>
      <c r="D276"/>
      <c r="E276"/>
      <c r="F276"/>
      <c r="G276"/>
      <c r="H276"/>
      <c r="I276"/>
      <c r="J276"/>
      <c r="K276"/>
      <c r="L276"/>
      <c r="M276"/>
      <c r="N276"/>
      <c r="O276"/>
      <c r="P276"/>
      <c r="Q276"/>
      <c r="R276"/>
      <c r="S276"/>
      <c r="T276"/>
      <c r="U276"/>
      <c r="V276"/>
      <c r="W276"/>
      <c r="X276"/>
      <c r="Y276"/>
      <c r="Z276"/>
      <c r="AA276"/>
      <c r="AB276"/>
    </row>
    <row r="277" spans="1:28" ht="12.75">
      <c r="A277"/>
      <c r="B277"/>
      <c r="C277"/>
      <c r="D277"/>
      <c r="E277"/>
      <c r="F277"/>
      <c r="G277"/>
      <c r="H277"/>
      <c r="I277"/>
      <c r="J277"/>
      <c r="K277"/>
      <c r="L277"/>
      <c r="M277"/>
      <c r="N277"/>
      <c r="O277"/>
      <c r="P277"/>
      <c r="Q277"/>
      <c r="R277"/>
      <c r="S277"/>
      <c r="T277"/>
      <c r="U277"/>
      <c r="V277"/>
      <c r="W277"/>
      <c r="X277"/>
      <c r="Y277"/>
      <c r="Z277"/>
      <c r="AA277"/>
      <c r="AB277"/>
    </row>
    <row r="278" spans="1:28" ht="12.75">
      <c r="A278"/>
      <c r="B278"/>
      <c r="C278"/>
      <c r="D278"/>
      <c r="E278"/>
      <c r="F278"/>
      <c r="G278"/>
      <c r="H278"/>
      <c r="I278"/>
      <c r="J278"/>
      <c r="K278"/>
      <c r="L278"/>
      <c r="M278"/>
      <c r="N278"/>
      <c r="O278"/>
      <c r="P278"/>
      <c r="Q278"/>
      <c r="R278"/>
      <c r="S278"/>
      <c r="T278"/>
      <c r="U278"/>
      <c r="V278"/>
      <c r="W278"/>
      <c r="X278"/>
      <c r="Y278"/>
      <c r="Z278"/>
      <c r="AA278"/>
      <c r="AB278"/>
    </row>
    <row r="279" spans="1:28" ht="12.75">
      <c r="A279"/>
      <c r="B279"/>
      <c r="C279"/>
      <c r="D279"/>
      <c r="E279"/>
      <c r="F279"/>
      <c r="G279"/>
      <c r="H279"/>
      <c r="I279"/>
      <c r="J279"/>
      <c r="K279"/>
      <c r="L279"/>
      <c r="M279"/>
      <c r="N279"/>
      <c r="O279"/>
      <c r="P279"/>
      <c r="Q279"/>
      <c r="R279"/>
      <c r="S279"/>
      <c r="T279"/>
      <c r="U279"/>
      <c r="V279"/>
      <c r="W279"/>
      <c r="X279"/>
      <c r="Y279"/>
      <c r="Z279"/>
      <c r="AA279"/>
      <c r="AB279"/>
    </row>
    <row r="280" spans="1:28" ht="12.75">
      <c r="A280"/>
      <c r="B280"/>
      <c r="C280"/>
      <c r="D280"/>
      <c r="E280"/>
      <c r="F280"/>
      <c r="G280"/>
      <c r="H280"/>
      <c r="I280"/>
      <c r="J280"/>
      <c r="K280"/>
      <c r="L280"/>
      <c r="M280"/>
      <c r="N280"/>
      <c r="O280"/>
      <c r="P280"/>
      <c r="Q280"/>
      <c r="R280"/>
      <c r="S280"/>
      <c r="T280"/>
      <c r="U280"/>
      <c r="V280"/>
      <c r="W280"/>
      <c r="X280"/>
      <c r="Y280"/>
      <c r="Z280"/>
      <c r="AA280"/>
      <c r="AB280"/>
    </row>
    <row r="281" spans="1:28" ht="12.75">
      <c r="A281"/>
      <c r="B281"/>
      <c r="C281"/>
      <c r="D281"/>
      <c r="E281"/>
      <c r="F281"/>
      <c r="G281"/>
      <c r="H281"/>
      <c r="I281"/>
      <c r="J281"/>
      <c r="K281"/>
      <c r="L281"/>
      <c r="M281"/>
      <c r="N281"/>
      <c r="O281"/>
      <c r="P281"/>
      <c r="Q281"/>
      <c r="R281"/>
      <c r="S281"/>
      <c r="T281"/>
      <c r="U281"/>
      <c r="V281"/>
      <c r="W281"/>
      <c r="X281"/>
      <c r="Y281"/>
      <c r="Z281"/>
      <c r="AA281"/>
      <c r="AB281"/>
    </row>
    <row r="282" spans="1:28" ht="12.75">
      <c r="A282"/>
      <c r="B282"/>
      <c r="C282"/>
      <c r="D282"/>
      <c r="E282"/>
      <c r="F282"/>
      <c r="G282"/>
      <c r="H282"/>
      <c r="I282"/>
      <c r="J282"/>
      <c r="K282"/>
      <c r="L282"/>
      <c r="M282"/>
      <c r="N282"/>
      <c r="O282"/>
      <c r="P282"/>
      <c r="Q282"/>
      <c r="R282"/>
      <c r="S282"/>
      <c r="T282"/>
      <c r="U282"/>
      <c r="V282"/>
      <c r="W282"/>
      <c r="X282"/>
      <c r="Y282"/>
      <c r="Z282"/>
      <c r="AA282"/>
      <c r="AB282"/>
    </row>
    <row r="283" spans="1:28" ht="12.75">
      <c r="A283"/>
      <c r="B283"/>
      <c r="C283"/>
      <c r="D283"/>
      <c r="E283"/>
      <c r="F283"/>
      <c r="G283"/>
      <c r="H283"/>
      <c r="I283"/>
      <c r="J283"/>
      <c r="K283"/>
      <c r="L283"/>
      <c r="M283"/>
      <c r="N283"/>
      <c r="O283"/>
      <c r="P283"/>
      <c r="Q283"/>
      <c r="R283"/>
      <c r="S283"/>
      <c r="T283"/>
      <c r="U283"/>
      <c r="V283"/>
      <c r="W283"/>
      <c r="X283"/>
      <c r="Y283"/>
      <c r="Z283"/>
      <c r="AA283"/>
      <c r="AB283"/>
    </row>
    <row r="284" spans="1:28" ht="12.75">
      <c r="A284"/>
      <c r="B284"/>
      <c r="C284"/>
      <c r="D284"/>
      <c r="E284"/>
      <c r="F284"/>
      <c r="G284"/>
      <c r="H284"/>
      <c r="I284"/>
      <c r="J284"/>
      <c r="K284"/>
      <c r="L284"/>
      <c r="M284"/>
      <c r="N284"/>
      <c r="O284"/>
      <c r="P284"/>
      <c r="Q284"/>
      <c r="R284"/>
      <c r="S284"/>
      <c r="T284"/>
      <c r="U284"/>
      <c r="V284"/>
      <c r="W284"/>
      <c r="X284"/>
      <c r="Y284"/>
      <c r="Z284"/>
      <c r="AA284"/>
      <c r="AB284"/>
    </row>
    <row r="285" spans="1:28" ht="12.75">
      <c r="A285"/>
      <c r="B285"/>
      <c r="C285"/>
      <c r="D285"/>
      <c r="E285"/>
      <c r="F285"/>
      <c r="G285"/>
      <c r="H285"/>
      <c r="I285"/>
      <c r="J285"/>
      <c r="K285"/>
      <c r="L285"/>
      <c r="M285"/>
      <c r="N285"/>
      <c r="O285"/>
      <c r="P285"/>
      <c r="Q285"/>
      <c r="R285"/>
      <c r="S285"/>
      <c r="T285"/>
      <c r="U285"/>
      <c r="V285"/>
      <c r="W285"/>
      <c r="X285"/>
      <c r="Y285"/>
      <c r="Z285"/>
      <c r="AA285"/>
      <c r="AB285"/>
    </row>
    <row r="286" spans="1:28" ht="12.75">
      <c r="A286"/>
      <c r="B286"/>
      <c r="C286"/>
      <c r="D286"/>
      <c r="E286"/>
      <c r="F286"/>
      <c r="G286"/>
      <c r="H286"/>
      <c r="I286"/>
      <c r="J286"/>
      <c r="K286"/>
      <c r="L286"/>
      <c r="M286"/>
      <c r="N286"/>
      <c r="O286"/>
      <c r="P286"/>
      <c r="Q286"/>
      <c r="R286"/>
      <c r="S286"/>
      <c r="T286"/>
      <c r="U286"/>
      <c r="V286"/>
      <c r="W286"/>
      <c r="X286"/>
      <c r="Y286"/>
      <c r="Z286"/>
      <c r="AA286"/>
      <c r="AB286"/>
    </row>
    <row r="287" spans="1:28" ht="12.75">
      <c r="A287"/>
      <c r="B287"/>
      <c r="C287"/>
      <c r="D287"/>
      <c r="E287"/>
      <c r="F287"/>
      <c r="G287"/>
      <c r="H287"/>
      <c r="I287"/>
      <c r="J287"/>
      <c r="K287"/>
      <c r="L287"/>
      <c r="M287"/>
      <c r="N287"/>
      <c r="O287"/>
      <c r="P287"/>
      <c r="Q287"/>
      <c r="R287"/>
      <c r="S287"/>
      <c r="T287"/>
      <c r="U287"/>
      <c r="V287"/>
      <c r="W287"/>
      <c r="X287"/>
      <c r="Y287"/>
      <c r="Z287"/>
      <c r="AA287"/>
      <c r="AB287"/>
    </row>
    <row r="288" spans="1:28" ht="12.75">
      <c r="A288"/>
      <c r="B288"/>
      <c r="C288"/>
      <c r="D288"/>
      <c r="E288"/>
      <c r="F288"/>
      <c r="G288"/>
      <c r="H288"/>
      <c r="I288"/>
      <c r="J288"/>
      <c r="K288"/>
      <c r="L288"/>
      <c r="M288"/>
      <c r="N288"/>
      <c r="O288"/>
      <c r="P288"/>
      <c r="Q288"/>
      <c r="R288"/>
      <c r="S288"/>
      <c r="T288"/>
      <c r="U288"/>
      <c r="V288"/>
      <c r="W288"/>
      <c r="X288"/>
      <c r="Y288"/>
      <c r="Z288"/>
      <c r="AA288"/>
      <c r="AB288"/>
    </row>
    <row r="289" spans="1:28" ht="12.75">
      <c r="A289"/>
      <c r="B289"/>
      <c r="C289"/>
      <c r="D289"/>
      <c r="E289"/>
      <c r="F289"/>
      <c r="G289"/>
      <c r="H289"/>
      <c r="I289"/>
      <c r="J289"/>
      <c r="K289"/>
      <c r="L289"/>
      <c r="M289"/>
      <c r="N289"/>
      <c r="O289"/>
      <c r="P289"/>
      <c r="Q289"/>
      <c r="R289"/>
      <c r="S289"/>
      <c r="T289"/>
      <c r="U289"/>
      <c r="V289"/>
      <c r="W289"/>
      <c r="X289"/>
      <c r="Y289"/>
      <c r="Z289"/>
      <c r="AA289"/>
      <c r="AB289"/>
    </row>
    <row r="290" spans="1:28" ht="12.75">
      <c r="A290"/>
      <c r="B290"/>
      <c r="C290"/>
      <c r="D290"/>
      <c r="E290"/>
      <c r="F290"/>
      <c r="G290"/>
      <c r="H290"/>
      <c r="I290"/>
      <c r="J290"/>
      <c r="K290"/>
      <c r="L290"/>
      <c r="M290"/>
      <c r="N290"/>
      <c r="O290"/>
      <c r="P290"/>
      <c r="Q290"/>
      <c r="R290"/>
      <c r="S290"/>
      <c r="T290"/>
      <c r="U290"/>
      <c r="V290"/>
      <c r="W290"/>
      <c r="X290"/>
      <c r="Y290"/>
      <c r="Z290"/>
      <c r="AA290"/>
      <c r="AB290"/>
    </row>
    <row r="291" spans="1:28" ht="12.75">
      <c r="A291"/>
      <c r="B291"/>
      <c r="C291"/>
      <c r="D291"/>
      <c r="E291"/>
      <c r="F291"/>
      <c r="G291"/>
      <c r="H291"/>
      <c r="I291"/>
      <c r="J291"/>
      <c r="K291"/>
      <c r="L291"/>
      <c r="M291"/>
      <c r="N291"/>
      <c r="O291"/>
      <c r="P291"/>
      <c r="Q291"/>
      <c r="R291"/>
      <c r="S291"/>
      <c r="T291"/>
      <c r="U291"/>
      <c r="V291"/>
      <c r="W291"/>
      <c r="X291"/>
      <c r="Y291"/>
      <c r="Z291"/>
      <c r="AA291"/>
      <c r="AB291"/>
    </row>
    <row r="301" spans="1:43" ht="12.7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row>
    <row r="302" spans="1:43" ht="12.7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row>
    <row r="303" spans="1:43" ht="12.7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row>
    <row r="304" spans="1:43" ht="12.7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row>
    <row r="305" spans="1:43" ht="12.7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row>
    <row r="306" spans="1:43" ht="12.7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row>
    <row r="307" spans="1:43" ht="12.7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row>
    <row r="308" spans="1:43" ht="12.7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row>
    <row r="309" spans="1:43" ht="12.7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row>
    <row r="310" spans="1:43" ht="12.7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row>
    <row r="311" spans="1:43" ht="12.7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row>
    <row r="312" spans="1:43" ht="12.7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row>
    <row r="313" spans="1:43" ht="12.7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row>
    <row r="314" spans="1:43" ht="12.7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row>
    <row r="315" spans="1:43" ht="12.75">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row>
    <row r="316" spans="1:43" ht="12.7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row>
    <row r="317" spans="1:43" ht="12.7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row>
    <row r="318" spans="1:43" ht="12.75">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row>
    <row r="319" spans="1:43" ht="12.7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row>
    <row r="320" spans="1:43" ht="12.75">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row>
    <row r="321" spans="1:43" ht="12.7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row>
    <row r="322" spans="1:43" ht="12.75">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row>
    <row r="323" spans="1:43" ht="12.75">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row>
    <row r="324" spans="1:43" ht="12.75">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row>
    <row r="325" spans="1:43" ht="12.7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row>
    <row r="326" spans="1:43" ht="12.7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row>
    <row r="327" spans="1:43" ht="12.75">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row>
    <row r="328" spans="1:43" ht="12.7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row>
    <row r="329" spans="1:43" ht="12.75">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row>
    <row r="330" spans="1:43" ht="12.75">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row>
    <row r="331" spans="1:43" ht="12.75">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row>
    <row r="332" spans="1:43" ht="12.75">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row>
    <row r="333" spans="1:43" ht="12.75">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row>
    <row r="334" spans="1:43" ht="12.75">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row>
    <row r="335" spans="1:43" ht="12.7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row>
    <row r="336" spans="1:43" ht="12.7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row>
    <row r="337" spans="1:43" ht="12.75">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row>
    <row r="338" spans="1:43" ht="12.7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row>
    <row r="339" spans="1:43" ht="12.7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row>
    <row r="340" spans="1:43" ht="12.75">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row>
    <row r="341" spans="1:43" ht="12.75">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row>
    <row r="342" spans="1:43" ht="12.75">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row>
    <row r="343" spans="1:92" ht="12.75">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row>
    <row r="344" spans="1:92" ht="12.75">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row>
    <row r="345" spans="1:92" ht="12.75">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row>
    <row r="346" spans="1:92" ht="12.75">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row>
    <row r="347" spans="1:92" ht="12.75">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row>
    <row r="348" spans="1:92" ht="12.75">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row>
    <row r="349" spans="1:92" ht="12.75">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row>
    <row r="350" spans="1:92" ht="12.75">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row>
    <row r="351" spans="1:92" ht="12.75">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row>
    <row r="352" spans="1:92" ht="12.75">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row>
    <row r="353" spans="1:92" ht="12.75">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row>
    <row r="354" spans="1:92" ht="12.75">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row>
    <row r="355" spans="1:92" ht="12.75">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row>
    <row r="356" spans="1:92" ht="12.75">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row>
    <row r="357" spans="1:92" ht="12.75">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row>
    <row r="358" spans="1:92" ht="12.75">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row>
    <row r="359" spans="1:92" ht="12.75">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row>
    <row r="360" spans="1:92" ht="12.75">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row>
    <row r="361" spans="1:92" ht="12.75">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row>
    <row r="362" spans="1:92" ht="12.75">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row>
    <row r="363" spans="1:92" ht="12.75">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row>
    <row r="364" spans="1:92" ht="12.75">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row>
    <row r="365" spans="1:92" ht="12.75">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row>
    <row r="366" spans="1:92" ht="12.75">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row>
  </sheetData>
  <sheetProtection password="B271" sheet="1" objects="1" scenarios="1"/>
  <mergeCells count="12">
    <mergeCell ref="F126:G126"/>
    <mergeCell ref="H126:I126"/>
    <mergeCell ref="J126:K126"/>
    <mergeCell ref="F134:G134"/>
    <mergeCell ref="H134:I134"/>
    <mergeCell ref="J134:K134"/>
    <mergeCell ref="H114:I114"/>
    <mergeCell ref="F114:G114"/>
    <mergeCell ref="J114:K114"/>
    <mergeCell ref="F120:G120"/>
    <mergeCell ref="H120:I120"/>
    <mergeCell ref="J120:K120"/>
  </mergeCells>
  <printOptions gridLines="1"/>
  <pageMargins left="0.75" right="0.75" top="1" bottom="1" header="0.5" footer="0.5"/>
  <pageSetup horizontalDpi="600" verticalDpi="600" orientation="landscape" paperSize="119" scale="77"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16"/>
  <dimension ref="A1:AB117"/>
  <sheetViews>
    <sheetView showGridLines="0" workbookViewId="0" topLeftCell="A1">
      <selection activeCell="A1" sqref="A1"/>
    </sheetView>
  </sheetViews>
  <sheetFormatPr defaultColWidth="9.140625" defaultRowHeight="12.75"/>
  <cols>
    <col min="1" max="1" width="3.7109375" style="0" customWidth="1"/>
    <col min="2" max="2" width="16.7109375" style="0" bestFit="1" customWidth="1"/>
    <col min="3" max="3" width="48.7109375" style="0" customWidth="1"/>
    <col min="4" max="4" width="5.00390625" style="0" customWidth="1"/>
    <col min="5" max="5" width="4.00390625" style="0" customWidth="1"/>
    <col min="6" max="6" width="5.00390625" style="0" customWidth="1"/>
    <col min="7" max="7" width="3.7109375" style="0" customWidth="1"/>
    <col min="8" max="8" width="5.00390625" style="0" customWidth="1"/>
    <col min="9" max="9" width="3.7109375" style="0" customWidth="1"/>
    <col min="10" max="10" width="5.00390625" style="0" customWidth="1"/>
    <col min="11" max="11" width="3.7109375" style="0" customWidth="1"/>
    <col min="12" max="12" width="2.7109375" style="0" customWidth="1"/>
    <col min="13" max="19" width="0" style="0" hidden="1" customWidth="1"/>
    <col min="20" max="20" width="6.57421875" style="0" customWidth="1"/>
    <col min="21" max="28" width="9.140625" style="0" hidden="1" customWidth="1"/>
    <col min="29" max="29" width="5.00390625" style="0" hidden="1" customWidth="1"/>
    <col min="30" max="35" width="5.00390625" style="0" customWidth="1"/>
  </cols>
  <sheetData>
    <row r="1" spans="2:11" ht="12.75" customHeight="1">
      <c r="B1" s="16" t="s">
        <v>125</v>
      </c>
      <c r="E1" s="16"/>
      <c r="F1" s="16"/>
      <c r="G1" s="16"/>
      <c r="H1" s="437" t="s">
        <v>240</v>
      </c>
      <c r="I1" s="437"/>
      <c r="J1" s="437"/>
      <c r="K1" s="437"/>
    </row>
    <row r="2" spans="2:11" ht="13.5" customHeight="1">
      <c r="B2" s="20" t="s">
        <v>126</v>
      </c>
      <c r="C2" s="515" t="s">
        <v>325</v>
      </c>
      <c r="D2" s="515"/>
      <c r="E2" s="500"/>
      <c r="F2" s="500"/>
      <c r="G2" s="19"/>
      <c r="H2" s="516" t="s">
        <v>396</v>
      </c>
      <c r="I2" s="517"/>
      <c r="J2" s="517"/>
      <c r="K2" s="490"/>
    </row>
    <row r="3" spans="2:11" ht="12.75" customHeight="1">
      <c r="B3" s="20"/>
      <c r="C3" s="89"/>
      <c r="D3" s="15"/>
      <c r="E3" s="15"/>
      <c r="F3" s="19"/>
      <c r="G3" s="19"/>
      <c r="H3" s="118"/>
      <c r="I3" s="119"/>
      <c r="J3" s="119"/>
      <c r="K3" s="19"/>
    </row>
    <row r="4" spans="2:11" ht="12.75">
      <c r="B4" s="20" t="s">
        <v>127</v>
      </c>
      <c r="C4" s="19">
        <f>IF('Hyd Sum'!G4="","",'Hyd Sum'!G4)</f>
      </c>
      <c r="E4" s="440" t="s">
        <v>184</v>
      </c>
      <c r="F4" s="440"/>
      <c r="G4" s="518">
        <f>IF('Hyd Sum'!W4="","",'Hyd Sum'!W4)</f>
      </c>
      <c r="H4" s="519"/>
      <c r="I4" s="519"/>
      <c r="J4" s="519"/>
      <c r="K4" s="519"/>
    </row>
    <row r="5" spans="2:11" ht="12.75">
      <c r="B5" s="20" t="s">
        <v>180</v>
      </c>
      <c r="C5" s="23">
        <f>IF('Hyd Sum'!G6="","",'Hyd Sum'!G6)</f>
      </c>
      <c r="E5" s="441" t="s">
        <v>129</v>
      </c>
      <c r="F5" s="511"/>
      <c r="G5" s="518">
        <f>IF('Hyd Sum'!W6="","",'Hyd Sum'!W6)</f>
      </c>
      <c r="H5" s="519"/>
      <c r="I5" s="519"/>
      <c r="J5" s="519"/>
      <c r="K5" s="519"/>
    </row>
    <row r="6" spans="2:11" ht="12.75">
      <c r="B6" s="20" t="s">
        <v>131</v>
      </c>
      <c r="C6" s="120">
        <f>IF('Hyd Sum'!G8="","",'Hyd Sum'!G8)</f>
      </c>
      <c r="E6" s="440" t="s">
        <v>130</v>
      </c>
      <c r="F6" s="440"/>
      <c r="G6" s="446">
        <f>IF('Hyd Sum'!W8="","",'Hyd Sum'!W8)</f>
      </c>
      <c r="H6" s="447"/>
      <c r="I6" s="447"/>
      <c r="J6" s="447"/>
      <c r="K6" s="447"/>
    </row>
    <row r="7" spans="2:11" ht="12.75">
      <c r="B7" s="20" t="s">
        <v>133</v>
      </c>
      <c r="C7" s="121">
        <f>IF('Hyd Sum'!G10="","",'Hyd Sum'!G10)</f>
      </c>
      <c r="E7" s="440" t="s">
        <v>130</v>
      </c>
      <c r="F7" s="510"/>
      <c r="G7" s="446">
        <f>IF('Hyd Sum'!W10="","",'Hyd Sum'!W10)</f>
      </c>
      <c r="H7" s="447"/>
      <c r="I7" s="447"/>
      <c r="J7" s="447"/>
      <c r="K7" s="447"/>
    </row>
    <row r="8" spans="2:11" ht="12.75" customHeight="1">
      <c r="B8" s="20"/>
      <c r="C8" s="123"/>
      <c r="D8" s="20"/>
      <c r="E8" s="122"/>
      <c r="F8" s="25"/>
      <c r="G8" s="40"/>
      <c r="H8" s="40"/>
      <c r="I8" s="40"/>
      <c r="J8" s="40"/>
      <c r="K8" s="40"/>
    </row>
    <row r="9" spans="3:11" ht="12.75" customHeight="1">
      <c r="C9" s="437" t="s">
        <v>326</v>
      </c>
      <c r="D9" s="437"/>
      <c r="E9" s="437"/>
      <c r="F9" s="437"/>
      <c r="G9" s="437"/>
      <c r="H9" s="414">
        <f>CONCATENATE('Hyd Sum'!H15,'Hyd Sum'!M15)</f>
      </c>
      <c r="I9" s="40"/>
      <c r="J9" s="20"/>
      <c r="K9" s="40"/>
    </row>
    <row r="10" spans="2:11" ht="12.75" customHeight="1" thickBot="1">
      <c r="B10" s="342">
        <f>'Design (1)'!C37</f>
      </c>
      <c r="C10" s="123"/>
      <c r="D10" s="20"/>
      <c r="E10" s="122"/>
      <c r="F10" s="25"/>
      <c r="G10" s="40"/>
      <c r="H10" s="40"/>
      <c r="I10" s="40"/>
      <c r="J10" s="40"/>
      <c r="K10" s="40"/>
    </row>
    <row r="11" spans="2:11" ht="12.75" customHeight="1">
      <c r="B11" s="373" t="s">
        <v>279</v>
      </c>
      <c r="C11" s="415" t="s">
        <v>346</v>
      </c>
      <c r="D11" s="448" t="s">
        <v>33</v>
      </c>
      <c r="E11" s="435"/>
      <c r="F11" s="435"/>
      <c r="G11" s="435"/>
      <c r="H11" s="435"/>
      <c r="I11" s="435"/>
      <c r="J11" s="435"/>
      <c r="K11" s="436"/>
    </row>
    <row r="12" spans="2:11" ht="12.75" customHeight="1" thickBot="1">
      <c r="B12" s="374" t="s">
        <v>280</v>
      </c>
      <c r="C12" s="368" t="s">
        <v>347</v>
      </c>
      <c r="D12" s="438" t="s">
        <v>34</v>
      </c>
      <c r="E12" s="439"/>
      <c r="F12" s="438" t="s">
        <v>35</v>
      </c>
      <c r="G12" s="439"/>
      <c r="H12" s="438" t="s">
        <v>36</v>
      </c>
      <c r="I12" s="439"/>
      <c r="J12" s="438" t="s">
        <v>37</v>
      </c>
      <c r="K12" s="439"/>
    </row>
    <row r="13" spans="2:11" ht="12.75">
      <c r="B13" s="124"/>
      <c r="C13" s="13"/>
      <c r="D13" s="125" t="s">
        <v>39</v>
      </c>
      <c r="E13" s="17" t="s">
        <v>124</v>
      </c>
      <c r="F13" s="125" t="s">
        <v>39</v>
      </c>
      <c r="G13" s="17" t="s">
        <v>124</v>
      </c>
      <c r="H13" s="125" t="s">
        <v>39</v>
      </c>
      <c r="I13" s="17" t="s">
        <v>124</v>
      </c>
      <c r="J13" s="125" t="s">
        <v>39</v>
      </c>
      <c r="K13" s="14" t="s">
        <v>124</v>
      </c>
    </row>
    <row r="14" spans="2:17" ht="12.75">
      <c r="B14" s="126" t="s">
        <v>38</v>
      </c>
      <c r="C14" s="127" t="s">
        <v>267</v>
      </c>
      <c r="D14" s="162"/>
      <c r="E14" s="128">
        <v>75</v>
      </c>
      <c r="F14" s="162"/>
      <c r="G14" s="128">
        <v>84</v>
      </c>
      <c r="H14" s="162"/>
      <c r="I14" s="128">
        <v>89</v>
      </c>
      <c r="J14" s="162"/>
      <c r="K14" s="129">
        <v>92</v>
      </c>
      <c r="N14">
        <f aca="true" t="shared" si="0" ref="N14:N28">D14*E14</f>
        <v>0</v>
      </c>
      <c r="O14">
        <f aca="true" t="shared" si="1" ref="O14:O28">F14*G14</f>
        <v>0</v>
      </c>
      <c r="P14">
        <f aca="true" t="shared" si="2" ref="P14:P28">H14*I14</f>
        <v>0</v>
      </c>
      <c r="Q14">
        <f aca="true" t="shared" si="3" ref="Q14:Q28">J14*K14</f>
        <v>0</v>
      </c>
    </row>
    <row r="15" spans="2:17" ht="12.75">
      <c r="B15" s="126" t="s">
        <v>38</v>
      </c>
      <c r="C15" s="127" t="s">
        <v>250</v>
      </c>
      <c r="D15" s="162"/>
      <c r="E15" s="128">
        <v>70</v>
      </c>
      <c r="F15" s="162"/>
      <c r="G15" s="128">
        <v>79</v>
      </c>
      <c r="H15" s="162"/>
      <c r="I15" s="128">
        <v>85</v>
      </c>
      <c r="J15" s="162"/>
      <c r="K15" s="129">
        <v>88</v>
      </c>
      <c r="N15">
        <f t="shared" si="0"/>
        <v>0</v>
      </c>
      <c r="O15">
        <f t="shared" si="1"/>
        <v>0</v>
      </c>
      <c r="P15">
        <f t="shared" si="2"/>
        <v>0</v>
      </c>
      <c r="Q15">
        <f t="shared" si="3"/>
        <v>0</v>
      </c>
    </row>
    <row r="16" spans="2:17" ht="12.75">
      <c r="B16" s="126" t="s">
        <v>38</v>
      </c>
      <c r="C16" s="127" t="s">
        <v>254</v>
      </c>
      <c r="D16" s="162"/>
      <c r="E16" s="128">
        <v>69</v>
      </c>
      <c r="F16" s="162"/>
      <c r="G16" s="128">
        <v>78</v>
      </c>
      <c r="H16" s="162"/>
      <c r="I16" s="128">
        <v>85</v>
      </c>
      <c r="J16" s="162"/>
      <c r="K16" s="129">
        <v>88</v>
      </c>
      <c r="N16">
        <f t="shared" si="0"/>
        <v>0</v>
      </c>
      <c r="O16">
        <f t="shared" si="1"/>
        <v>0</v>
      </c>
      <c r="P16">
        <f t="shared" si="2"/>
        <v>0</v>
      </c>
      <c r="Q16">
        <f t="shared" si="3"/>
        <v>0</v>
      </c>
    </row>
    <row r="17" spans="2:17" ht="12.75">
      <c r="B17" s="126" t="s">
        <v>38</v>
      </c>
      <c r="C17" s="127" t="s">
        <v>255</v>
      </c>
      <c r="D17" s="162"/>
      <c r="E17" s="128">
        <v>67</v>
      </c>
      <c r="F17" s="162"/>
      <c r="G17" s="128">
        <v>77</v>
      </c>
      <c r="H17" s="162"/>
      <c r="I17" s="128">
        <v>82</v>
      </c>
      <c r="J17" s="162"/>
      <c r="K17" s="129">
        <v>86</v>
      </c>
      <c r="N17">
        <f t="shared" si="0"/>
        <v>0</v>
      </c>
      <c r="O17">
        <f t="shared" si="1"/>
        <v>0</v>
      </c>
      <c r="P17">
        <f t="shared" si="2"/>
        <v>0</v>
      </c>
      <c r="Q17">
        <f t="shared" si="3"/>
        <v>0</v>
      </c>
    </row>
    <row r="18" spans="2:17" ht="12.75">
      <c r="B18" s="126" t="s">
        <v>38</v>
      </c>
      <c r="C18" s="127" t="s">
        <v>256</v>
      </c>
      <c r="D18" s="162"/>
      <c r="E18" s="128">
        <v>64</v>
      </c>
      <c r="F18" s="162"/>
      <c r="G18" s="128">
        <v>72</v>
      </c>
      <c r="H18" s="162"/>
      <c r="I18" s="128">
        <v>78</v>
      </c>
      <c r="J18" s="162"/>
      <c r="K18" s="129">
        <v>81</v>
      </c>
      <c r="N18">
        <f t="shared" si="0"/>
        <v>0</v>
      </c>
      <c r="O18">
        <f t="shared" si="1"/>
        <v>0</v>
      </c>
      <c r="P18">
        <f t="shared" si="2"/>
        <v>0</v>
      </c>
      <c r="Q18">
        <f t="shared" si="3"/>
        <v>0</v>
      </c>
    </row>
    <row r="19" spans="2:17" ht="12.75">
      <c r="B19" s="126" t="s">
        <v>38</v>
      </c>
      <c r="C19" s="127" t="s">
        <v>257</v>
      </c>
      <c r="D19" s="162"/>
      <c r="E19" s="128">
        <v>63</v>
      </c>
      <c r="F19" s="162"/>
      <c r="G19" s="128">
        <v>74</v>
      </c>
      <c r="H19" s="162"/>
      <c r="I19" s="128">
        <v>82</v>
      </c>
      <c r="J19" s="162"/>
      <c r="K19" s="129">
        <v>85</v>
      </c>
      <c r="N19">
        <f t="shared" si="0"/>
        <v>0</v>
      </c>
      <c r="O19">
        <f t="shared" si="1"/>
        <v>0</v>
      </c>
      <c r="P19">
        <f t="shared" si="2"/>
        <v>0</v>
      </c>
      <c r="Q19">
        <f t="shared" si="3"/>
        <v>0</v>
      </c>
    </row>
    <row r="20" spans="2:17" ht="12.75">
      <c r="B20" s="126" t="s">
        <v>38</v>
      </c>
      <c r="C20" s="127" t="s">
        <v>258</v>
      </c>
      <c r="D20" s="162"/>
      <c r="E20" s="128">
        <v>61</v>
      </c>
      <c r="F20" s="162"/>
      <c r="G20" s="128">
        <v>73</v>
      </c>
      <c r="H20" s="162"/>
      <c r="I20" s="128">
        <v>81</v>
      </c>
      <c r="J20" s="162"/>
      <c r="K20" s="129">
        <v>84</v>
      </c>
      <c r="N20">
        <f t="shared" si="0"/>
        <v>0</v>
      </c>
      <c r="O20">
        <f t="shared" si="1"/>
        <v>0</v>
      </c>
      <c r="P20">
        <f t="shared" si="2"/>
        <v>0</v>
      </c>
      <c r="Q20">
        <f t="shared" si="3"/>
        <v>0</v>
      </c>
    </row>
    <row r="21" spans="2:17" ht="12.75">
      <c r="B21" s="126" t="s">
        <v>38</v>
      </c>
      <c r="C21" s="127" t="s">
        <v>268</v>
      </c>
      <c r="D21" s="162"/>
      <c r="E21" s="128">
        <v>59</v>
      </c>
      <c r="F21" s="162"/>
      <c r="G21" s="128">
        <v>70</v>
      </c>
      <c r="H21" s="162"/>
      <c r="I21" s="128">
        <v>78</v>
      </c>
      <c r="J21" s="162"/>
      <c r="K21" s="129">
        <v>81</v>
      </c>
      <c r="N21">
        <f t="shared" si="0"/>
        <v>0</v>
      </c>
      <c r="O21">
        <f t="shared" si="1"/>
        <v>0</v>
      </c>
      <c r="P21">
        <f t="shared" si="2"/>
        <v>0</v>
      </c>
      <c r="Q21">
        <f t="shared" si="3"/>
        <v>0</v>
      </c>
    </row>
    <row r="22" spans="2:17" ht="12.75">
      <c r="B22" s="126" t="s">
        <v>38</v>
      </c>
      <c r="C22" s="127" t="s">
        <v>321</v>
      </c>
      <c r="D22" s="162"/>
      <c r="E22" s="128">
        <v>50</v>
      </c>
      <c r="F22" s="162"/>
      <c r="G22" s="128">
        <v>60</v>
      </c>
      <c r="H22" s="162"/>
      <c r="I22" s="128">
        <v>67</v>
      </c>
      <c r="J22" s="162"/>
      <c r="K22" s="129">
        <v>70</v>
      </c>
      <c r="N22">
        <f t="shared" si="0"/>
        <v>0</v>
      </c>
      <c r="O22">
        <f t="shared" si="1"/>
        <v>0</v>
      </c>
      <c r="P22">
        <f t="shared" si="2"/>
        <v>0</v>
      </c>
      <c r="Q22">
        <f t="shared" si="3"/>
        <v>0</v>
      </c>
    </row>
    <row r="23" spans="2:17" ht="12.75">
      <c r="B23" s="126" t="s">
        <v>38</v>
      </c>
      <c r="C23" s="127" t="s">
        <v>322</v>
      </c>
      <c r="D23" s="162"/>
      <c r="E23" s="128">
        <v>68</v>
      </c>
      <c r="F23" s="162"/>
      <c r="G23" s="128">
        <v>79</v>
      </c>
      <c r="H23" s="162"/>
      <c r="I23" s="128">
        <v>86</v>
      </c>
      <c r="J23" s="162"/>
      <c r="K23" s="129">
        <v>89</v>
      </c>
      <c r="N23">
        <f t="shared" si="0"/>
        <v>0</v>
      </c>
      <c r="O23">
        <f t="shared" si="1"/>
        <v>0</v>
      </c>
      <c r="P23">
        <f t="shared" si="2"/>
        <v>0</v>
      </c>
      <c r="Q23">
        <f t="shared" si="3"/>
        <v>0</v>
      </c>
    </row>
    <row r="24" spans="2:17" ht="12.75">
      <c r="B24" s="126" t="s">
        <v>38</v>
      </c>
      <c r="C24" s="127" t="s">
        <v>323</v>
      </c>
      <c r="D24" s="162"/>
      <c r="E24" s="128">
        <v>50</v>
      </c>
      <c r="F24" s="162"/>
      <c r="G24" s="128">
        <v>69</v>
      </c>
      <c r="H24" s="162"/>
      <c r="I24" s="128">
        <v>79</v>
      </c>
      <c r="J24" s="162"/>
      <c r="K24" s="129">
        <v>84</v>
      </c>
      <c r="N24">
        <f t="shared" si="0"/>
        <v>0</v>
      </c>
      <c r="O24">
        <f t="shared" si="1"/>
        <v>0</v>
      </c>
      <c r="P24">
        <f t="shared" si="2"/>
        <v>0</v>
      </c>
      <c r="Q24">
        <f t="shared" si="3"/>
        <v>0</v>
      </c>
    </row>
    <row r="25" spans="2:27" ht="12.75">
      <c r="B25" s="126" t="s">
        <v>38</v>
      </c>
      <c r="C25" s="127" t="s">
        <v>324</v>
      </c>
      <c r="D25" s="162"/>
      <c r="E25" s="128">
        <v>50</v>
      </c>
      <c r="F25" s="162"/>
      <c r="G25" s="128">
        <v>61</v>
      </c>
      <c r="H25" s="162"/>
      <c r="I25" s="128">
        <v>74</v>
      </c>
      <c r="J25" s="162"/>
      <c r="K25" s="129">
        <v>80</v>
      </c>
      <c r="N25">
        <f t="shared" si="0"/>
        <v>0</v>
      </c>
      <c r="O25">
        <f t="shared" si="1"/>
        <v>0</v>
      </c>
      <c r="P25">
        <f t="shared" si="2"/>
        <v>0</v>
      </c>
      <c r="Q25">
        <f t="shared" si="3"/>
        <v>0</v>
      </c>
      <c r="AA25">
        <v>0</v>
      </c>
    </row>
    <row r="26" spans="2:28" ht="12.75">
      <c r="B26" s="126" t="s">
        <v>38</v>
      </c>
      <c r="C26" s="127" t="s">
        <v>260</v>
      </c>
      <c r="D26" s="162"/>
      <c r="E26" s="128">
        <v>50</v>
      </c>
      <c r="F26" s="162"/>
      <c r="G26" s="128">
        <v>66</v>
      </c>
      <c r="H26" s="162"/>
      <c r="I26" s="128">
        <v>77</v>
      </c>
      <c r="J26" s="162"/>
      <c r="K26" s="129">
        <v>83</v>
      </c>
      <c r="N26">
        <f t="shared" si="0"/>
        <v>0</v>
      </c>
      <c r="O26">
        <f t="shared" si="1"/>
        <v>0</v>
      </c>
      <c r="P26">
        <f t="shared" si="2"/>
        <v>0</v>
      </c>
      <c r="Q26">
        <f t="shared" si="3"/>
        <v>0</v>
      </c>
      <c r="AA26">
        <v>1</v>
      </c>
      <c r="AB26" t="s">
        <v>162</v>
      </c>
    </row>
    <row r="27" spans="2:28" ht="12.75">
      <c r="B27" s="126" t="s">
        <v>38</v>
      </c>
      <c r="C27" s="127" t="s">
        <v>261</v>
      </c>
      <c r="D27" s="162"/>
      <c r="E27" s="128">
        <v>50</v>
      </c>
      <c r="F27" s="162"/>
      <c r="G27" s="128">
        <v>60</v>
      </c>
      <c r="H27" s="162"/>
      <c r="I27" s="128">
        <v>73</v>
      </c>
      <c r="J27" s="162"/>
      <c r="K27" s="129">
        <v>79</v>
      </c>
      <c r="N27">
        <f t="shared" si="0"/>
        <v>0</v>
      </c>
      <c r="O27">
        <f t="shared" si="1"/>
        <v>0</v>
      </c>
      <c r="P27">
        <f t="shared" si="2"/>
        <v>0</v>
      </c>
      <c r="Q27">
        <f t="shared" si="3"/>
        <v>0</v>
      </c>
      <c r="AA27">
        <v>10</v>
      </c>
      <c r="AB27" t="s">
        <v>161</v>
      </c>
    </row>
    <row r="28" spans="2:28" ht="12.75">
      <c r="B28" s="126" t="s">
        <v>38</v>
      </c>
      <c r="C28" s="127" t="s">
        <v>259</v>
      </c>
      <c r="D28" s="162"/>
      <c r="E28" s="128">
        <v>72</v>
      </c>
      <c r="F28" s="162"/>
      <c r="G28" s="128">
        <v>82</v>
      </c>
      <c r="H28" s="162"/>
      <c r="I28" s="128">
        <v>87</v>
      </c>
      <c r="J28" s="162"/>
      <c r="K28" s="129">
        <v>89</v>
      </c>
      <c r="N28">
        <f t="shared" si="0"/>
        <v>0</v>
      </c>
      <c r="O28">
        <f t="shared" si="1"/>
        <v>0</v>
      </c>
      <c r="P28">
        <f t="shared" si="2"/>
        <v>0</v>
      </c>
      <c r="Q28">
        <f t="shared" si="3"/>
        <v>0</v>
      </c>
      <c r="AA28">
        <v>11</v>
      </c>
      <c r="AB28" t="s">
        <v>169</v>
      </c>
    </row>
    <row r="29" spans="2:28" ht="12.75">
      <c r="B29" s="130">
        <f>IF('Hyd Sum'!$AZ$10=2,RCNTables!$B$19,IF('Hyd Sum'!$AZ$10=3,RCNTables!$B$34,IF('Hyd Sum'!$AZ$10=4,RCNTables!$B$49,IF('Hyd Sum'!$AZ$10=5,RCNTables!$B$64,""))))</f>
      </c>
      <c r="C29" s="131">
        <f>IF('Hyd Sum'!$AZ$10=2,RCNTables!$C$19,IF('Hyd Sum'!$AZ$10=3,RCNTables!$C$34,IF('Hyd Sum'!$AZ$10=4,RCNTables!$C$49,IF('Hyd Sum'!$AZ$10=5,RCNTables!$C$64,""))))</f>
      </c>
      <c r="D29" s="162"/>
      <c r="E29" s="132">
        <f>IF('Hyd Sum'!$AZ$10=2,RCNTables!$D$19,IF('Hyd Sum'!$AZ$10=3,RCNTables!$D$34,IF('Hyd Sum'!$AZ$10=4,RCNTables!$D$49,IF('Hyd Sum'!$AZ$10=5,RCNTables!$D$64,""))))</f>
      </c>
      <c r="F29" s="162"/>
      <c r="G29" s="132">
        <f>IF('Hyd Sum'!$AZ$10=2,RCNTables!$F$19,IF('Hyd Sum'!$AZ$10=3,RCNTables!$F$34,IF('Hyd Sum'!$AZ$10=4,RCNTables!$F$49,IF('Hyd Sum'!$AZ$10=5,RCNTables!$F$64,""))))</f>
      </c>
      <c r="H29" s="162"/>
      <c r="I29" s="132">
        <f>IF('Hyd Sum'!$AZ$10=2,RCNTables!$H$19,IF('Hyd Sum'!$AZ$10=3,RCNTables!$H$34,IF('Hyd Sum'!$AZ$10=4,RCNTables!$H$49,IF('Hyd Sum'!$AZ$10=5,RCNTables!$H$64,""))))</f>
      </c>
      <c r="J29" s="162"/>
      <c r="K29" s="133">
        <f>IF('Hyd Sum'!$AZ$10=2,RCNTables!$J$19,IF('Hyd Sum'!$AZ$10=3,RCNTables!$J$34,IF('Hyd Sum'!$AZ$10=4,RCNTables!$J$49,IF('Hyd Sum'!$AZ$10=5,RCNTables!$J$64,""))))</f>
      </c>
      <c r="N29">
        <f>IF('Hyd Sum'!$AZ$10=1,0,D29*E29)</f>
        <v>0</v>
      </c>
      <c r="O29">
        <f>IF('Hyd Sum'!$AZ$10=1,0,F29*G29)</f>
        <v>0</v>
      </c>
      <c r="P29">
        <f>IF('Hyd Sum'!$AZ$10=1,0,H29*I29)</f>
        <v>0</v>
      </c>
      <c r="Q29">
        <f>IF('Hyd Sum'!$AZ$10=1,0,J29*K29)</f>
        <v>0</v>
      </c>
      <c r="AA29">
        <v>100</v>
      </c>
      <c r="AB29" t="s">
        <v>160</v>
      </c>
    </row>
    <row r="30" spans="2:28" ht="12.75">
      <c r="B30" s="130">
        <f>IF('Hyd Sum'!$AZ$10=2,RCNTables!$B$20,IF('Hyd Sum'!$AZ$10=3,RCNTables!$B$35,IF('Hyd Sum'!$AZ$10=4,RCNTables!$B$50,IF('Hyd Sum'!$AZ$10=5,RCNTables!$B$65,""))))</f>
      </c>
      <c r="C30" s="131">
        <f>IF('Hyd Sum'!$AZ$10=2,RCNTables!$C$20,IF('Hyd Sum'!$AZ$10=3,RCNTables!$C$35,IF('Hyd Sum'!$AZ$10=4,RCNTables!$C$50,IF('Hyd Sum'!$AZ$10=5,RCNTables!$C$65,""))))</f>
      </c>
      <c r="D30" s="162"/>
      <c r="E30" s="132">
        <f>IF('Hyd Sum'!$AZ$10=2,RCNTables!$D$20,IF('Hyd Sum'!$AZ$10=3,RCNTables!$D$35,IF('Hyd Sum'!$AZ$10=4,RCNTables!$D$50,IF('Hyd Sum'!$AZ$10=5,RCNTables!$D$65,""))))</f>
      </c>
      <c r="F30" s="162"/>
      <c r="G30" s="132">
        <f>IF('Hyd Sum'!$AZ$10=2,RCNTables!$F$20,IF('Hyd Sum'!$AZ$10=3,RCNTables!$F$35,IF('Hyd Sum'!$AZ$10=4,RCNTables!$F$50,IF('Hyd Sum'!$AZ$10=5,RCNTables!$F$65,""))))</f>
      </c>
      <c r="H30" s="162"/>
      <c r="I30" s="132">
        <f>IF('Hyd Sum'!$AZ$10=2,RCNTables!$H$20,IF('Hyd Sum'!$AZ$10=3,RCNTables!$H$35,IF('Hyd Sum'!$AZ$10=4,RCNTables!$H$50,IF('Hyd Sum'!$AZ$10=5,RCNTables!$H$65,""))))</f>
      </c>
      <c r="J30" s="162"/>
      <c r="K30" s="133">
        <f>IF('Hyd Sum'!$AZ$10=2,RCNTables!$J$20,IF('Hyd Sum'!$AZ$10=3,RCNTables!$J$35,IF('Hyd Sum'!$AZ$10=4,RCNTables!$J$50,IF('Hyd Sum'!$AZ$10=5,RCNTables!$J$65,""))))</f>
      </c>
      <c r="N30">
        <f>IF('Hyd Sum'!$AZ$10=1,0,D30*E30)</f>
        <v>0</v>
      </c>
      <c r="O30">
        <f>IF('Hyd Sum'!$AZ$10=1,0,F30*G30)</f>
        <v>0</v>
      </c>
      <c r="P30">
        <f>IF('Hyd Sum'!$AZ$10=1,0,H30*I30)</f>
        <v>0</v>
      </c>
      <c r="Q30">
        <f>IF('Hyd Sum'!$AZ$10=1,0,J30*K30)</f>
        <v>0</v>
      </c>
      <c r="AA30">
        <v>101</v>
      </c>
      <c r="AB30" t="s">
        <v>170</v>
      </c>
    </row>
    <row r="31" spans="2:28" ht="12.75">
      <c r="B31" s="130">
        <f>IF('Hyd Sum'!$AZ$10=2,RCNTables!$B$21,IF('Hyd Sum'!$AZ$10=3,RCNTables!$B$36,IF('Hyd Sum'!$AZ$10=4,RCNTables!$B$51,IF('Hyd Sum'!$AZ$10=5,RCNTables!$B$66,""))))</f>
      </c>
      <c r="C31" s="131">
        <f>IF('Hyd Sum'!$AZ$10=2,RCNTables!$C$21,IF('Hyd Sum'!$AZ$10=3,RCNTables!$C$36,IF('Hyd Sum'!$AZ$10=4,RCNTables!$C$51,IF('Hyd Sum'!$AZ$10=5,RCNTables!$C$66,""))))</f>
      </c>
      <c r="D31" s="162"/>
      <c r="E31" s="132">
        <f>IF('Hyd Sum'!$AZ$10=2,RCNTables!$D$21,IF('Hyd Sum'!$AZ$10=3,RCNTables!$D$36,IF('Hyd Sum'!$AZ$10=4,RCNTables!$D$51,IF('Hyd Sum'!$AZ$10=5,RCNTables!$D$66,""))))</f>
      </c>
      <c r="F31" s="162"/>
      <c r="G31" s="132">
        <f>IF('Hyd Sum'!$AZ$10=2,RCNTables!$F$21,IF('Hyd Sum'!$AZ$10=3,RCNTables!$F$36,IF('Hyd Sum'!$AZ$10=4,RCNTables!$F$51,IF('Hyd Sum'!$AZ$10=5,RCNTables!$F$66,""))))</f>
      </c>
      <c r="H31" s="162"/>
      <c r="I31" s="132">
        <f>IF('Hyd Sum'!$AZ$10=2,RCNTables!$H$21,IF('Hyd Sum'!$AZ$10=3,RCNTables!$H$36,IF('Hyd Sum'!$AZ$10=4,RCNTables!$H$51,IF('Hyd Sum'!$AZ$10=5,RCNTables!$H$66,""))))</f>
      </c>
      <c r="J31" s="162"/>
      <c r="K31" s="133">
        <f>IF('Hyd Sum'!$AZ$10=2,RCNTables!$J$21,IF('Hyd Sum'!$AZ$10=3,RCNTables!$J$36,IF('Hyd Sum'!$AZ$10=4,RCNTables!$J$51,IF('Hyd Sum'!$AZ$10=5,RCNTables!$J$66,""))))</f>
      </c>
      <c r="N31">
        <f>IF('Hyd Sum'!$AZ$10=1,0,D31*E31)</f>
        <v>0</v>
      </c>
      <c r="O31">
        <f>IF('Hyd Sum'!$AZ$10=1,0,F31*G31)</f>
        <v>0</v>
      </c>
      <c r="P31">
        <f>IF('Hyd Sum'!$AZ$10=1,0,H31*I31)</f>
        <v>0</v>
      </c>
      <c r="Q31">
        <f>IF('Hyd Sum'!$AZ$10=1,0,J31*K31)</f>
        <v>0</v>
      </c>
      <c r="AA31">
        <v>110</v>
      </c>
      <c r="AB31" t="s">
        <v>171</v>
      </c>
    </row>
    <row r="32" spans="2:28" ht="12.75">
      <c r="B32" s="130">
        <f>IF('Hyd Sum'!$AZ$10=2,RCNTables!$B$22,IF('Hyd Sum'!$AZ$10=3,RCNTables!$B$37,IF('Hyd Sum'!$AZ$10=4,RCNTables!$B$52,IF('Hyd Sum'!$AZ$10=5,RCNTables!$B$67,""))))</f>
      </c>
      <c r="C32" s="131">
        <f>IF('Hyd Sum'!$AZ$10=2,RCNTables!$C$22,IF('Hyd Sum'!$AZ$10=3,RCNTables!$C$37,IF('Hyd Sum'!$AZ$10=4,RCNTables!$C$52,IF('Hyd Sum'!$AZ$10=5,RCNTables!$C$67,""))))</f>
      </c>
      <c r="D32" s="162"/>
      <c r="E32" s="132">
        <f>IF('Hyd Sum'!$AZ$10=2,RCNTables!$D$22,IF('Hyd Sum'!$AZ$10=3,RCNTables!$D$37,IF('Hyd Sum'!$AZ$10=4,RCNTables!$D$52,IF('Hyd Sum'!$AZ$10=5,RCNTables!$D$67,""))))</f>
      </c>
      <c r="F32" s="162"/>
      <c r="G32" s="132">
        <f>IF('Hyd Sum'!$AZ$10=2,RCNTables!$F$22,IF('Hyd Sum'!$AZ$10=3,RCNTables!$F$37,IF('Hyd Sum'!$AZ$10=4,RCNTables!$F$52,IF('Hyd Sum'!$AZ$10=5,RCNTables!$F$67,""))))</f>
      </c>
      <c r="H32" s="162"/>
      <c r="I32" s="132">
        <f>IF('Hyd Sum'!$AZ$10=2,RCNTables!$H$22,IF('Hyd Sum'!$AZ$10=3,RCNTables!$H$37,IF('Hyd Sum'!$AZ$10=4,RCNTables!$H$52,IF('Hyd Sum'!$AZ$10=5,RCNTables!$H$67,""))))</f>
      </c>
      <c r="J32" s="162"/>
      <c r="K32" s="133">
        <f>IF('Hyd Sum'!$AZ$10=2,RCNTables!$J$22,IF('Hyd Sum'!$AZ$10=3,RCNTables!$J$37,IF('Hyd Sum'!$AZ$10=4,RCNTables!$J$52,IF('Hyd Sum'!$AZ$10=5,RCNTables!$J$67,""))))</f>
      </c>
      <c r="N32">
        <f>IF('Hyd Sum'!$AZ$10=1,0,D32*E32)</f>
        <v>0</v>
      </c>
      <c r="O32">
        <f>IF('Hyd Sum'!$AZ$10=1,0,F32*G32)</f>
        <v>0</v>
      </c>
      <c r="P32">
        <f>IF('Hyd Sum'!$AZ$10=1,0,H32*I32)</f>
        <v>0</v>
      </c>
      <c r="Q32">
        <f>IF('Hyd Sum'!$AZ$10=1,0,J32*K32)</f>
        <v>0</v>
      </c>
      <c r="AA32">
        <v>111</v>
      </c>
      <c r="AB32" t="s">
        <v>172</v>
      </c>
    </row>
    <row r="33" spans="2:28" ht="12.75">
      <c r="B33" s="130">
        <f>IF('Hyd Sum'!$AZ$10=2,RCNTables!$B$23,IF('Hyd Sum'!$AZ$10=3,RCNTables!$B$38,IF('Hyd Sum'!$AZ$10=4,RCNTables!$B$53,IF('Hyd Sum'!$AZ$10=5,RCNTables!$B$68,""))))</f>
      </c>
      <c r="C33" s="131">
        <f>IF('Hyd Sum'!$AZ$10=2,RCNTables!$C$23,IF('Hyd Sum'!$AZ$10=3,RCNTables!$C$38,IF('Hyd Sum'!$AZ$10=4,RCNTables!$C$53,IF('Hyd Sum'!$AZ$10=5,RCNTables!$C$68,""))))</f>
      </c>
      <c r="D33" s="162"/>
      <c r="E33" s="132">
        <f>IF('Hyd Sum'!$AZ$10=2,RCNTables!$D$23,IF('Hyd Sum'!$AZ$10=3,RCNTables!$D$38,IF('Hyd Sum'!$AZ$10=4,RCNTables!$D$53,IF('Hyd Sum'!$AZ$10=5,RCNTables!$D$68,""))))</f>
      </c>
      <c r="F33" s="162"/>
      <c r="G33" s="132">
        <f>IF('Hyd Sum'!$AZ$10=2,RCNTables!$F$23,IF('Hyd Sum'!$AZ$10=3,RCNTables!$F$38,IF('Hyd Sum'!$AZ$10=4,RCNTables!$F$53,IF('Hyd Sum'!$AZ$10=5,RCNTables!$F$68,""))))</f>
      </c>
      <c r="H33" s="162"/>
      <c r="I33" s="132">
        <f>IF('Hyd Sum'!$AZ$10=2,RCNTables!$H$23,IF('Hyd Sum'!$AZ$10=3,RCNTables!$H$38,IF('Hyd Sum'!$AZ$10=4,RCNTables!$H$53,IF('Hyd Sum'!$AZ$10=5,RCNTables!$H$68,""))))</f>
      </c>
      <c r="J33" s="162"/>
      <c r="K33" s="133">
        <f>IF('Hyd Sum'!$AZ$10=2,RCNTables!$J$23,IF('Hyd Sum'!$AZ$10=3,RCNTables!$J$38,IF('Hyd Sum'!$AZ$10=4,RCNTables!$J$53,IF('Hyd Sum'!$AZ$10=5,RCNTables!$J$68,""))))</f>
      </c>
      <c r="N33">
        <f>IF('Hyd Sum'!$AZ$10=1,0,D33*E33)</f>
        <v>0</v>
      </c>
      <c r="O33">
        <f>IF('Hyd Sum'!$AZ$10=1,0,F33*G33)</f>
        <v>0</v>
      </c>
      <c r="P33">
        <f>IF('Hyd Sum'!$AZ$10=1,0,H33*I33)</f>
        <v>0</v>
      </c>
      <c r="Q33">
        <f>IF('Hyd Sum'!$AZ$10=1,0,J33*K33)</f>
        <v>0</v>
      </c>
      <c r="AA33">
        <v>1000</v>
      </c>
      <c r="AB33" t="s">
        <v>154</v>
      </c>
    </row>
    <row r="34" spans="2:28" ht="12.75">
      <c r="B34" s="130">
        <f>IF('Hyd Sum'!$AZ$10=2,RCNTables!$B$24,IF('Hyd Sum'!$AZ$10=3,RCNTables!$B$39,IF('Hyd Sum'!$AZ$10=4,RCNTables!$B$54,IF('Hyd Sum'!$AZ$10=5,RCNTables!$B$69,""))))</f>
      </c>
      <c r="C34" s="131">
        <f>IF('Hyd Sum'!$AZ$10=2,RCNTables!$C$24,IF('Hyd Sum'!$AZ$10=3,RCNTables!$C$39,IF('Hyd Sum'!$AZ$10=4,RCNTables!$C$54,IF('Hyd Sum'!$AZ$10=5,RCNTables!$C$69,""))))</f>
      </c>
      <c r="D34" s="162"/>
      <c r="E34" s="132">
        <f>IF('Hyd Sum'!$AZ$10=2,RCNTables!$D$24,IF('Hyd Sum'!$AZ$10=3,RCNTables!$D$39,IF('Hyd Sum'!$AZ$10=4,RCNTables!$D$54,IF('Hyd Sum'!$AZ$10=5,RCNTables!$D$69,""))))</f>
      </c>
      <c r="F34" s="162"/>
      <c r="G34" s="132">
        <f>IF('Hyd Sum'!$AZ$10=2,RCNTables!$F$24,IF('Hyd Sum'!$AZ$10=3,RCNTables!$F$39,IF('Hyd Sum'!$AZ$10=4,RCNTables!$F$54,IF('Hyd Sum'!$AZ$10=5,RCNTables!$F$69,""))))</f>
      </c>
      <c r="H34" s="162"/>
      <c r="I34" s="132">
        <f>IF('Hyd Sum'!$AZ$10=2,RCNTables!$H$24,IF('Hyd Sum'!$AZ$10=3,RCNTables!$H$39,IF('Hyd Sum'!$AZ$10=4,RCNTables!$H$54,IF('Hyd Sum'!$AZ$10=5,RCNTables!$H$69,""))))</f>
      </c>
      <c r="J34" s="162"/>
      <c r="K34" s="133">
        <f>IF('Hyd Sum'!$AZ$10=2,RCNTables!$J$24,IF('Hyd Sum'!$AZ$10=3,RCNTables!$J$39,IF('Hyd Sum'!$AZ$10=4,RCNTables!J$54,IF('Hyd Sum'!$AZ$10=5,RCNTables!$J$69,""))))</f>
      </c>
      <c r="N34">
        <f>IF('Hyd Sum'!$AZ$10=1,0,D34*E34)</f>
        <v>0</v>
      </c>
      <c r="O34">
        <f>IF('Hyd Sum'!$AZ$10=1,0,F34*G34)</f>
        <v>0</v>
      </c>
      <c r="P34">
        <f>IF('Hyd Sum'!$AZ$10=1,0,H34*I34)</f>
        <v>0</v>
      </c>
      <c r="Q34">
        <f>IF('Hyd Sum'!$AZ$10=1,0,J34*K34)</f>
        <v>0</v>
      </c>
      <c r="AA34">
        <v>1001</v>
      </c>
      <c r="AB34" t="s">
        <v>173</v>
      </c>
    </row>
    <row r="35" spans="2:28" ht="12.75">
      <c r="B35" s="130">
        <f>IF('Hyd Sum'!$AZ$10=2,RCNTables!$B$25,IF('Hyd Sum'!$AZ$10=3,RCNTables!$B$40,IF('Hyd Sum'!$AZ$10=4,RCNTables!$B$55,IF('Hyd Sum'!$AZ$10=5,RCNTables!$B$70,""))))</f>
      </c>
      <c r="C35" s="131">
        <f>IF('Hyd Sum'!$AZ$10=2,RCNTables!$C$25,IF('Hyd Sum'!$AZ$10=3,RCNTables!$C$40,IF('Hyd Sum'!$AZ$10=4,RCNTables!$C$55,IF('Hyd Sum'!$AZ$10=5,RCNTables!$C$70,""))))</f>
      </c>
      <c r="D35" s="162"/>
      <c r="E35" s="132">
        <f>IF('Hyd Sum'!$AZ$10=2,RCNTables!$D$25,IF('Hyd Sum'!$AZ$10=3,RCNTables!$D$40,IF('Hyd Sum'!$AZ$10=4,RCNTables!$D$55,IF('Hyd Sum'!$AZ$10=5,RCNTables!$D$70,""))))</f>
      </c>
      <c r="F35" s="162"/>
      <c r="G35" s="132">
        <f>IF('Hyd Sum'!$AZ$10=2,RCNTables!$F$25,IF('Hyd Sum'!$AZ$10=3,RCNTables!$F$40,IF('Hyd Sum'!$AZ$10=4,RCNTables!$F$55,IF('Hyd Sum'!$AZ$10=5,RCNTables!$F$70,""))))</f>
      </c>
      <c r="H35" s="162"/>
      <c r="I35" s="132">
        <f>IF('Hyd Sum'!$AZ$10=2,RCNTables!$H$25,IF('Hyd Sum'!$AZ$10=3,RCNTables!$H$40,IF('Hyd Sum'!$AZ$10=4,RCNTables!$H$55,IF('Hyd Sum'!$AZ$10=5,RCNTables!$H$70,""))))</f>
      </c>
      <c r="J35" s="162"/>
      <c r="K35" s="133">
        <f>IF('Hyd Sum'!$AZ$10=2,RCNTables!$J$25,IF('Hyd Sum'!$AZ$10=3,RCNTables!$J$40,IF('Hyd Sum'!$AZ$10=4,RCNTables!$J$55,IF('Hyd Sum'!$AZ$10=5,RCNTables!$J$70,""))))</f>
      </c>
      <c r="N35">
        <f>IF('Hyd Sum'!$AZ$10=1,0,D35*E35)</f>
        <v>0</v>
      </c>
      <c r="O35">
        <f>IF('Hyd Sum'!$AZ$10=1,0,F35*G35)</f>
        <v>0</v>
      </c>
      <c r="P35">
        <f>IF('Hyd Sum'!$AZ$10=1,0,H35*I35)</f>
        <v>0</v>
      </c>
      <c r="Q35">
        <f>IF('Hyd Sum'!$AZ$10=1,0,J35*K35)</f>
        <v>0</v>
      </c>
      <c r="AA35">
        <v>1010</v>
      </c>
      <c r="AB35" t="s">
        <v>174</v>
      </c>
    </row>
    <row r="36" spans="2:28" ht="12.75">
      <c r="B36" s="130">
        <f>IF('Hyd Sum'!$AZ$10=2,RCNTables!$B$26,IF('Hyd Sum'!$AZ$10=3,RCNTables!$B$41,IF('Hyd Sum'!$AZ$10=4,RCNTables!$B$56,IF('Hyd Sum'!$AZ$10=5,RCNTables!$B$71,""))))</f>
      </c>
      <c r="C36" s="131">
        <f>IF('Hyd Sum'!$AZ$10=2,RCNTables!$C$26,IF('Hyd Sum'!$AZ$10=3,RCNTables!$C$41,IF('Hyd Sum'!$AZ$10=4,RCNTables!$C$56,IF('Hyd Sum'!$AZ$10=5,RCNTables!$C$71,""))))</f>
      </c>
      <c r="D36" s="162"/>
      <c r="E36" s="132">
        <f>IF('Hyd Sum'!$AZ$10=2,RCNTables!$D$26,IF('Hyd Sum'!$AZ$10=3,RCNTables!$D$41,IF('Hyd Sum'!$AZ$10=4,RCNTables!$D$56,IF('Hyd Sum'!$AZ$10=5,RCNTables!$D$71,""))))</f>
      </c>
      <c r="F36" s="162"/>
      <c r="G36" s="132">
        <f>IF('Hyd Sum'!$AZ$10=2,RCNTables!$F$26,IF('Hyd Sum'!$AZ$10=3,RCNTables!$F$41,IF('Hyd Sum'!$AZ$10=4,RCNTables!$F$56,IF('Hyd Sum'!$AZ$10=5,RCNTables!$F$71,""))))</f>
      </c>
      <c r="H36" s="162"/>
      <c r="I36" s="132">
        <f>IF('Hyd Sum'!$AZ$10=2,RCNTables!$H$26,IF('Hyd Sum'!$AZ$10=3,RCNTables!$H$41,IF('Hyd Sum'!$AZ$10=4,RCNTables!$H$56,IF('Hyd Sum'!$AZ$10=5,RCNTables!$H$71,""))))</f>
      </c>
      <c r="J36" s="162"/>
      <c r="K36" s="133">
        <f>IF('Hyd Sum'!$AZ$10=2,RCNTables!$J$26,IF('Hyd Sum'!$AZ$10=3,RCNTables!$J$41,IF('Hyd Sum'!$AZ$10=4,RCNTables!$J$56,IF('Hyd Sum'!$AZ$10=5,RCNTables!$J$71,""))))</f>
      </c>
      <c r="N36">
        <f>IF('Hyd Sum'!$AZ$10=1,0,D36*E36)</f>
        <v>0</v>
      </c>
      <c r="O36">
        <f>IF('Hyd Sum'!$AZ$10=1,0,F36*G36)</f>
        <v>0</v>
      </c>
      <c r="P36">
        <f>IF('Hyd Sum'!$AZ$10=1,0,H36*I36)</f>
        <v>0</v>
      </c>
      <c r="Q36">
        <f>IF('Hyd Sum'!$AZ$10=1,0,J36*K36)</f>
        <v>0</v>
      </c>
      <c r="AA36">
        <v>1011</v>
      </c>
      <c r="AB36" t="s">
        <v>175</v>
      </c>
    </row>
    <row r="37" spans="2:28" ht="12.75">
      <c r="B37" s="130">
        <f>IF('Hyd Sum'!$AZ$10=2,RCNTables!$B$27,IF('Hyd Sum'!$AZ$10=3,RCNTables!$B$42,IF('Hyd Sum'!$AZ$10=4,RCNTables!$B$57,IF('Hyd Sum'!$AZ$10=5,RCNTables!$B$72,""))))</f>
      </c>
      <c r="C37" s="131">
        <f>IF('Hyd Sum'!$AZ$10=2,RCNTables!$C$27,IF('Hyd Sum'!$AZ$10=3,RCNTables!$C$42,IF('Hyd Sum'!$AZ$10=4,RCNTables!$C$57,IF('Hyd Sum'!$AZ$10=5,RCNTables!$C$72,""))))</f>
      </c>
      <c r="D37" s="162"/>
      <c r="E37" s="132">
        <f>IF('Hyd Sum'!$AZ$10=2,RCNTables!$D$27,IF('Hyd Sum'!$AZ$10=3,RCNTables!$D$42,IF('Hyd Sum'!$AZ$10=4,RCNTables!$D$57,IF('Hyd Sum'!$AZ$10=5,RCNTables!$D$72,""))))</f>
      </c>
      <c r="F37" s="162"/>
      <c r="G37" s="132">
        <f>IF('Hyd Sum'!$AZ$10=2,RCNTables!$F$27,IF('Hyd Sum'!$AZ$10=3,RCNTables!$F$42,IF('Hyd Sum'!$AZ$10=4,RCNTables!$F$57,IF('Hyd Sum'!$AZ$10=5,RCNTables!$F$72,""))))</f>
      </c>
      <c r="H37" s="162"/>
      <c r="I37" s="132">
        <f>IF('Hyd Sum'!$AZ$10=2,RCNTables!$H$27,IF('Hyd Sum'!$AZ$10=3,RCNTables!$H$42,IF('Hyd Sum'!$AZ$10=4,RCNTables!$H$57,IF('Hyd Sum'!$AZ$10=5,RCNTables!$H$72,""))))</f>
      </c>
      <c r="J37" s="162"/>
      <c r="K37" s="133">
        <f>IF('Hyd Sum'!$AZ$10=2,RCNTables!$J$27,IF('Hyd Sum'!$AZ$10=3,RCNTables!$J$42,IF('Hyd Sum'!$AZ$10=4,RCNTables!$J$57,IF('Hyd Sum'!$AZ$10=5,RCNTables!$J$72,""))))</f>
      </c>
      <c r="N37">
        <f>IF('Hyd Sum'!$AZ$10=1,0,D37*E37)</f>
        <v>0</v>
      </c>
      <c r="O37">
        <f>IF('Hyd Sum'!$AZ$10=1,0,F37*G37)</f>
        <v>0</v>
      </c>
      <c r="P37">
        <f>IF('Hyd Sum'!$AZ$10=1,0,H37*I37)</f>
        <v>0</v>
      </c>
      <c r="Q37">
        <f>IF('Hyd Sum'!$AZ$10=1,0,J37*K37)</f>
        <v>0</v>
      </c>
      <c r="AA37">
        <v>1100</v>
      </c>
      <c r="AB37" t="s">
        <v>176</v>
      </c>
    </row>
    <row r="38" spans="2:28" ht="12.75">
      <c r="B38" s="130">
        <f>IF('Hyd Sum'!$AZ$10=2,RCNTables!$B$28,IF('Hyd Sum'!$AZ$10=3,RCNTables!$B$43,IF('Hyd Sum'!$AZ$10=4,RCNTables!$B$58,IF('Hyd Sum'!$AZ$10=5,RCNTables!$B$73,""))))</f>
      </c>
      <c r="C38" s="131">
        <f>IF('Hyd Sum'!$AZ$10=2,RCNTables!$C$28,IF('Hyd Sum'!$AZ$10=3,RCNTables!$C$43,IF('Hyd Sum'!$AZ$10=4,RCNTables!$C$58,IF('Hyd Sum'!$AZ$10=5,RCNTables!$C$73,""))))</f>
      </c>
      <c r="D38" s="162"/>
      <c r="E38" s="132">
        <f>IF('Hyd Sum'!$AZ$10=2,RCNTables!$D$28,IF('Hyd Sum'!$AZ$10=3,RCNTables!$D$43,IF('Hyd Sum'!$AZ$10=4,RCNTables!$D$58,IF('Hyd Sum'!$AZ$10=5,RCNTables!$D$73,""))))</f>
      </c>
      <c r="F38" s="162"/>
      <c r="G38" s="132">
        <f>IF('Hyd Sum'!$AZ$10=2,RCNTables!$F$28,IF('Hyd Sum'!$AZ$10=3,RCNTables!$F$43,IF('Hyd Sum'!$AZ$10=4,RCNTables!$F$58,IF('Hyd Sum'!$AZ$10=5,RCNTables!$F$73,""))))</f>
      </c>
      <c r="H38" s="162"/>
      <c r="I38" s="132">
        <f>IF('Hyd Sum'!$AZ$10=2,RCNTables!$H$28,IF('Hyd Sum'!$AZ$10=3,RCNTables!$H$43,IF('Hyd Sum'!$AZ$10=4,RCNTables!$H$58,IF('Hyd Sum'!$AZ$10=5,RCNTables!$H$73,""))))</f>
      </c>
      <c r="J38" s="162"/>
      <c r="K38" s="133">
        <f>IF('Hyd Sum'!$AZ$10=2,RCNTables!$J$28,IF('Hyd Sum'!$AZ$10=3,RCNTables!$J$43,IF('Hyd Sum'!$AZ$10=4,RCNTables!$J$58,IF('Hyd Sum'!$AZ$10=5,RCNTables!$J$73,""))))</f>
      </c>
      <c r="N38">
        <f>IF('Hyd Sum'!$AZ$10=1,0,D38*E38)</f>
        <v>0</v>
      </c>
      <c r="O38">
        <f>IF('Hyd Sum'!$AZ$10=1,0,F38*G38)</f>
        <v>0</v>
      </c>
      <c r="P38">
        <f>IF('Hyd Sum'!$AZ$10=1,0,H38*I38)</f>
        <v>0</v>
      </c>
      <c r="Q38">
        <f>IF('Hyd Sum'!$AZ$10=1,0,J38*K38)</f>
        <v>0</v>
      </c>
      <c r="AA38">
        <v>1101</v>
      </c>
      <c r="AB38" t="s">
        <v>177</v>
      </c>
    </row>
    <row r="39" spans="2:28" ht="12.75">
      <c r="B39" s="130">
        <f>IF('Hyd Sum'!$AZ$10=2,RCNTables!$B$29,IF('Hyd Sum'!$AZ$10=3,RCNTables!$B$44,IF('Hyd Sum'!$AZ$10=4,RCNTables!$B$59,IF('Hyd Sum'!$AZ$10=5,RCNTables!$B$74,""))))</f>
      </c>
      <c r="C39" s="131">
        <f>IF('Hyd Sum'!$AZ$10=2,RCNTables!$C$29,IF('Hyd Sum'!$AZ$10=3,RCNTables!$C$44,IF('Hyd Sum'!$AZ$10=4,RCNTables!$C$59,IF('Hyd Sum'!$AZ$10=5,RCNTables!$C$74,""))))</f>
      </c>
      <c r="D39" s="162"/>
      <c r="E39" s="132">
        <f>IF('Hyd Sum'!$AZ$10=2,RCNTables!$D$29,IF('Hyd Sum'!$AZ$10=3,RCNTables!$D$44,IF('Hyd Sum'!$AZ$10=4,RCNTables!$D$59,IF('Hyd Sum'!$AZ$10=5,RCNTables!$D$74,""))))</f>
      </c>
      <c r="F39" s="162"/>
      <c r="G39" s="132">
        <f>IF('Hyd Sum'!$AZ$10=2,RCNTables!$F$29,IF('Hyd Sum'!$AZ$10=3,RCNTables!$F$44,IF('Hyd Sum'!$AZ$10=4,RCNTables!$F$59,IF('Hyd Sum'!$AZ$10=5,RCNTables!$F$74,""))))</f>
      </c>
      <c r="H39" s="162"/>
      <c r="I39" s="132">
        <f>IF('Hyd Sum'!$AZ$10=2,RCNTables!$H$29,IF('Hyd Sum'!$AZ$10=3,RCNTables!$H$44,IF('Hyd Sum'!$AZ$10=4,RCNTables!$H$59,IF('Hyd Sum'!$AZ$10=5,RCNTables!$H$74,""))))</f>
      </c>
      <c r="J39" s="162"/>
      <c r="K39" s="133">
        <f>IF('Hyd Sum'!$AZ$10=2,RCNTables!$J$29,IF('Hyd Sum'!$AZ$10=3,RCNTables!$J$44,IF('Hyd Sum'!$AZ$10=4,RCNTables!$J$59,IF('Hyd Sum'!$AZ$10=5,RCNTables!$J$74,""))))</f>
      </c>
      <c r="N39">
        <f>IF('Hyd Sum'!$AZ$10=1,0,D39*E39)</f>
        <v>0</v>
      </c>
      <c r="O39">
        <f>IF('Hyd Sum'!$AZ$10=1,0,F39*G39)</f>
        <v>0</v>
      </c>
      <c r="P39">
        <f>IF('Hyd Sum'!$AZ$10=1,0,H39*I39)</f>
        <v>0</v>
      </c>
      <c r="Q39">
        <f>IF('Hyd Sum'!$AZ$10=1,0,J39*K39)</f>
        <v>0</v>
      </c>
      <c r="AA39">
        <v>1110</v>
      </c>
      <c r="AB39" t="s">
        <v>178</v>
      </c>
    </row>
    <row r="40" spans="2:28" ht="12.75">
      <c r="B40" s="130">
        <f>IF('Hyd Sum'!$AZ$10=2,RCNTables!$B$30,IF('Hyd Sum'!$AZ$10=3,RCNTables!$B$45,IF('Hyd Sum'!$AZ$10=4,RCNTables!$B$60,IF('Hyd Sum'!$AZ$10=5,RCNTables!$B$75,""))))</f>
      </c>
      <c r="C40" s="131">
        <f>IF('Hyd Sum'!$AZ$10=2,RCNTables!$C$30,IF('Hyd Sum'!$AZ$10=3,RCNTables!$C$45,IF('Hyd Sum'!$AZ$10=4,RCNTables!$C$60,IF('Hyd Sum'!$AZ$10=5,RCNTables!$C$75,""))))</f>
      </c>
      <c r="D40" s="162"/>
      <c r="E40" s="132">
        <f>IF('Hyd Sum'!$AZ$10=2,RCNTables!$D$30,IF('Hyd Sum'!$AZ$10=3,RCNTables!$D$45,IF('Hyd Sum'!$AZ$10=4,RCNTables!$D$60,IF('Hyd Sum'!$AZ$10=5,RCNTables!$D$75,""))))</f>
      </c>
      <c r="F40" s="162"/>
      <c r="G40" s="132">
        <f>IF('Hyd Sum'!$AZ$10=2,RCNTables!$F$30,IF('Hyd Sum'!$AZ$10=3,RCNTables!$F$45,IF('Hyd Sum'!$AZ$10=4,RCNTables!$F$60,IF('Hyd Sum'!$AZ$10=5,RCNTables!$F$75,""))))</f>
      </c>
      <c r="H40" s="162"/>
      <c r="I40" s="132">
        <f>IF('Hyd Sum'!$AZ$10=2,RCNTables!$H$30,IF('Hyd Sum'!$AZ$10=3,RCNTables!$H$45,IF('Hyd Sum'!$AZ$10=4,RCNTables!$H$60,IF('Hyd Sum'!$AZ$10=5,RCNTables!$H$75,""))))</f>
      </c>
      <c r="J40" s="162"/>
      <c r="K40" s="133">
        <f>IF('Hyd Sum'!$AZ$10=2,RCNTables!$J$30,IF('Hyd Sum'!$AZ$10=3,RCNTables!$J$45,IF('Hyd Sum'!$AZ$10=4,RCNTables!$J$60,IF('Hyd Sum'!$AZ$10=5,RCNTables!$J$75,""))))</f>
      </c>
      <c r="N40">
        <f>IF('Hyd Sum'!$AZ$10=1,0,D40*E40)</f>
        <v>0</v>
      </c>
      <c r="O40">
        <f>IF('Hyd Sum'!$AZ$10=1,0,F40*G40)</f>
        <v>0</v>
      </c>
      <c r="P40">
        <f>IF('Hyd Sum'!$AZ$10=1,0,H40*I40)</f>
        <v>0</v>
      </c>
      <c r="Q40">
        <f>IF('Hyd Sum'!$AZ$10=1,0,J40*K40)</f>
        <v>0</v>
      </c>
      <c r="AA40">
        <v>1111</v>
      </c>
      <c r="AB40" t="s">
        <v>179</v>
      </c>
    </row>
    <row r="41" spans="2:17" ht="12.75">
      <c r="B41" s="130">
        <f>IF('Hyd Sum'!$AZ$10=2,RCNTables!$B$31,IF('Hyd Sum'!$AZ$10=3,RCNTables!$B$46,IF('Hyd Sum'!$AZ$10=4,RCNTables!$B$61,IF('Hyd Sum'!$AZ$10=5,RCNTables!$B$76,""))))</f>
      </c>
      <c r="C41" s="131">
        <f>IF('Hyd Sum'!$AZ$10=2,RCNTables!$C$31,IF('Hyd Sum'!$AZ$10=3,RCNTables!$C$46,IF('Hyd Sum'!$AZ$10=4,RCNTables!$C$61,IF('Hyd Sum'!$AZ$10=5,RCNTables!$C$76,""))))</f>
      </c>
      <c r="D41" s="162"/>
      <c r="E41" s="132">
        <f>IF('Hyd Sum'!$AZ$10=2,RCNTables!$D$31,IF('Hyd Sum'!$AZ$10=3,RCNTables!$D$46,IF('Hyd Sum'!$AZ$10=4,RCNTables!$D$61,IF('Hyd Sum'!$AZ$10=5,RCNTables!$D$76,""))))</f>
      </c>
      <c r="F41" s="162"/>
      <c r="G41" s="132">
        <f>IF('Hyd Sum'!$AZ$10=2,RCNTables!$F$31,IF('Hyd Sum'!$AZ$10=3,RCNTables!$F$46,IF('Hyd Sum'!$AZ$10=4,RCNTables!$F$61,IF('Hyd Sum'!$AZ$10=5,RCNTables!$F$76,""))))</f>
      </c>
      <c r="H41" s="162"/>
      <c r="I41" s="132">
        <f>IF('Hyd Sum'!$AZ$10=2,RCNTables!$H$31,IF('Hyd Sum'!$AZ$10=3,RCNTables!$H$46,IF('Hyd Sum'!$AZ$10=4,RCNTables!$H$61,IF('Hyd Sum'!$AZ$10=5,RCNTables!$H$76,""))))</f>
      </c>
      <c r="J41" s="162"/>
      <c r="K41" s="133">
        <f>IF('Hyd Sum'!$AZ$10=2,RCNTables!$J$31,IF('Hyd Sum'!$AZ$10=3,RCNTables!$J$46,IF('Hyd Sum'!$AZ$10=4,RCNTables!$J$61,IF('Hyd Sum'!$AZ$10=5,RCNTables!$J$76,""))))</f>
      </c>
      <c r="N41">
        <f>IF('Hyd Sum'!$AZ$10=1,0,D41*E41)</f>
        <v>0</v>
      </c>
      <c r="O41">
        <f>IF('Hyd Sum'!$AZ$10=1,0,F41*G41)</f>
        <v>0</v>
      </c>
      <c r="P41">
        <f>IF('Hyd Sum'!$AZ$10=1,0,H41*I41)</f>
        <v>0</v>
      </c>
      <c r="Q41">
        <f>IF('Hyd Sum'!$AZ$10=1,0,J41*K41)</f>
        <v>0</v>
      </c>
    </row>
    <row r="42" spans="2:17" ht="12.75">
      <c r="B42" s="130">
        <f>IF('Hyd Sum'!$AZ$10=2,RCNTables!$B$32,IF('Hyd Sum'!$AZ$10=3,RCNTables!$B$47,IF('Hyd Sum'!$AZ$10=4,RCNTables!$B$62,IF('Hyd Sum'!$AZ$10=5,RCNTables!$B$77,""))))</f>
      </c>
      <c r="C42" s="131">
        <f>IF('Hyd Sum'!$AZ$10=2,RCNTables!$C$32,IF('Hyd Sum'!$AZ$10=3,RCNTables!$C$47,IF('Hyd Sum'!$AZ$10=4,RCNTables!$C$62,IF('Hyd Sum'!$AZ$10=5,RCNTables!$C$77,""))))</f>
      </c>
      <c r="D42" s="162"/>
      <c r="E42" s="132">
        <f>IF('Hyd Sum'!$AZ$10=2,RCNTables!$D$32,IF('Hyd Sum'!$AZ$10=3,RCNTables!$D$47,IF('Hyd Sum'!$AZ$10=4,RCNTables!$D$62,IF('Hyd Sum'!$AZ$10=5,RCNTables!$D$77,""))))</f>
      </c>
      <c r="F42" s="162"/>
      <c r="G42" s="132">
        <f>IF('Hyd Sum'!$AZ$10=2,RCNTables!$F$32,IF('Hyd Sum'!$AZ$10=3,RCNTables!$F$47,IF('Hyd Sum'!$AZ$10=4,RCNTables!$F$62,IF('Hyd Sum'!$AZ$10=5,RCNTables!$F$77,""))))</f>
      </c>
      <c r="H42" s="162"/>
      <c r="I42" s="132">
        <f>IF('Hyd Sum'!$AZ$10=2,RCNTables!H32,IF('Hyd Sum'!$AZ$10=3,RCNTables!H47,IF('Hyd Sum'!$AZ$10=4,RCNTables!H62,IF('Hyd Sum'!$AZ$10=5,RCNTables!H77,""))))</f>
      </c>
      <c r="J42" s="162"/>
      <c r="K42" s="133">
        <f>IF('Hyd Sum'!$AZ$10=2,RCNTables!$J$32,IF('Hyd Sum'!$AZ$10=3,RCNTables!$J$47,IF('Hyd Sum'!$AZ$10=4,RCNTables!$J$62,IF('Hyd Sum'!$AZ$10=5,RCNTables!$J$77,""))))</f>
      </c>
      <c r="N42">
        <f>IF('Hyd Sum'!$AZ$10=1,0,D42*E42)</f>
        <v>0</v>
      </c>
      <c r="O42">
        <f>IF('Hyd Sum'!$AZ$10=1,0,F42*G42)</f>
        <v>0</v>
      </c>
      <c r="P42">
        <f>IF('Hyd Sum'!$AZ$10=1,0,H42*I42)</f>
        <v>0</v>
      </c>
      <c r="Q42">
        <f>IF('Hyd Sum'!$AZ$10=1,0,J42*K42)</f>
        <v>0</v>
      </c>
    </row>
    <row r="43" spans="2:17" ht="12.75">
      <c r="B43" s="130">
        <f>IF('Hyd Sum'!$AZ$10=2,RCNTables!$B$33,IF('Hyd Sum'!$AZ$10=3,RCNTables!$B$48,IF('Hyd Sum'!$AZ$10=4,RCNTables!$B$63,IF('Hyd Sum'!$AZ$10=5,RCNTables!$B$78,""))))</f>
      </c>
      <c r="C43" s="131">
        <f>IF('Hyd Sum'!$AZ$10=2,RCNTables!$C$33,IF('Hyd Sum'!$AZ$10=3,RCNTables!$C$48,IF('Hyd Sum'!$AZ$10=4,RCNTables!$C$63,IF('Hyd Sum'!$AZ$10=5,RCNTables!$C$78,""))))</f>
      </c>
      <c r="D43" s="163"/>
      <c r="E43" s="134">
        <f>IF('Hyd Sum'!$AZ$10=2,RCNTables!$D$33,IF('Hyd Sum'!$AZ$10=3,RCNTables!$D$48,IF('Hyd Sum'!$AZ$10=4,RCNTables!$D$63,IF('Hyd Sum'!$AZ$10=5,RCNTables!$D$78,""))))</f>
      </c>
      <c r="F43" s="163"/>
      <c r="G43" s="134">
        <f>IF('Hyd Sum'!$AZ$10=2,RCNTables!$F$33,IF('Hyd Sum'!$AZ$10=3,RCNTables!$F$48,IF('Hyd Sum'!$AZ$10=4,RCNTables!$F$63,IF('Hyd Sum'!$AZ$10=5,RCNTables!$F$78,""))))</f>
      </c>
      <c r="H43" s="163"/>
      <c r="I43" s="134">
        <f>IF('Hyd Sum'!$AZ$10=2,RCNTables!H33,IF('Hyd Sum'!$AZ$10=3,RCNTables!H48,IF('Hyd Sum'!$AZ$10=4,RCNTables!H63,IF('Hyd Sum'!$AZ$10=5,RCNTables!H78,""))))</f>
      </c>
      <c r="J43" s="163"/>
      <c r="K43" s="135">
        <f>IF('Hyd Sum'!$AZ$10=2,RCNTables!$J$33,IF('Hyd Sum'!$AZ$10=3,RCNTables!$J$48,IF('Hyd Sum'!$AZ$10=4,RCNTables!$J$63,IF('Hyd Sum'!$AZ$10=5,RCNTables!$J$78,""))))</f>
      </c>
      <c r="N43">
        <f>IF('Hyd Sum'!$AZ$10=1,0,D43*E43)</f>
        <v>0</v>
      </c>
      <c r="O43">
        <f>IF('Hyd Sum'!$AZ$10=1,0,F43*G43)</f>
        <v>0</v>
      </c>
      <c r="P43">
        <f>IF('Hyd Sum'!$AZ$10=1,0,H43*I43)</f>
        <v>0</v>
      </c>
      <c r="Q43">
        <f>IF('Hyd Sum'!$AZ$10=1,0,J43*K43)</f>
        <v>0</v>
      </c>
    </row>
    <row r="44" spans="2:11" ht="12.75">
      <c r="B44" s="136"/>
      <c r="C44" s="137"/>
      <c r="D44" s="138" t="s">
        <v>39</v>
      </c>
      <c r="E44" s="139" t="s">
        <v>34</v>
      </c>
      <c r="F44" s="138" t="s">
        <v>39</v>
      </c>
      <c r="G44" s="139" t="s">
        <v>35</v>
      </c>
      <c r="H44" s="138" t="s">
        <v>39</v>
      </c>
      <c r="I44" s="139" t="s">
        <v>36</v>
      </c>
      <c r="J44" s="138" t="s">
        <v>39</v>
      </c>
      <c r="K44" s="18" t="s">
        <v>37</v>
      </c>
    </row>
    <row r="45" spans="2:24" ht="12.75">
      <c r="B45" s="69"/>
      <c r="C45" s="140" t="s">
        <v>388</v>
      </c>
      <c r="D45" s="140">
        <f>IF(SUM(D14:D43)=0,"",SUM(D14:D43))</f>
      </c>
      <c r="E45" s="28"/>
      <c r="F45" s="140">
        <f>IF(SUM(F14:F43)=0,"",SUM(F14:F43))</f>
      </c>
      <c r="G45" s="28"/>
      <c r="H45" s="140">
        <f>IF(SUM(H14:H43)=0,"",SUM(H14:H43))</f>
      </c>
      <c r="I45" s="141"/>
      <c r="J45" s="73">
        <f>IF(SUM(J14:J43)=0,"",SUM(J14:J43))</f>
      </c>
      <c r="K45" s="142"/>
      <c r="N45">
        <f>SUM(N14:N43)</f>
        <v>0</v>
      </c>
      <c r="O45">
        <f>SUM(O14:O43)</f>
        <v>0</v>
      </c>
      <c r="P45">
        <f>SUM(P14:P43)</f>
        <v>0</v>
      </c>
      <c r="Q45">
        <f>SUM(Q14:Q43)</f>
        <v>0</v>
      </c>
      <c r="U45">
        <f>IF(D45="",0,1)</f>
        <v>0</v>
      </c>
      <c r="V45">
        <f>IF(F45="",0,1)</f>
        <v>0</v>
      </c>
      <c r="W45">
        <f>IF(H45="",0,1)</f>
        <v>0</v>
      </c>
      <c r="X45">
        <f>IF(J45="",0,1)</f>
        <v>0</v>
      </c>
    </row>
    <row r="46" spans="2:11" ht="12.75">
      <c r="B46" s="69"/>
      <c r="C46" s="143"/>
      <c r="D46" s="24"/>
      <c r="E46" s="71"/>
      <c r="F46" s="72"/>
      <c r="G46" s="71"/>
      <c r="H46" s="72"/>
      <c r="I46" s="71"/>
      <c r="J46" s="72"/>
      <c r="K46" s="76"/>
    </row>
    <row r="47" spans="2:14" ht="12.75">
      <c r="B47" s="69"/>
      <c r="C47" s="143"/>
      <c r="D47" s="24"/>
      <c r="E47" s="71"/>
      <c r="F47" s="72"/>
      <c r="G47" s="71"/>
      <c r="H47" s="72"/>
      <c r="I47" s="71"/>
      <c r="J47" s="72"/>
      <c r="K47" s="76"/>
      <c r="N47">
        <f>SUM(N45:Q45)</f>
        <v>0</v>
      </c>
    </row>
    <row r="48" spans="2:26" ht="12.75">
      <c r="B48" s="69"/>
      <c r="C48" s="73" t="s">
        <v>389</v>
      </c>
      <c r="D48" s="144">
        <f>IF(SUM(D45:J45)=0,"",SUM(D45:J45))</f>
      </c>
      <c r="E48" s="74" t="s">
        <v>181</v>
      </c>
      <c r="F48" s="2"/>
      <c r="G48" s="72"/>
      <c r="H48" s="72"/>
      <c r="I48" s="72"/>
      <c r="J48" s="72"/>
      <c r="K48" s="76"/>
      <c r="U48">
        <f>U45*1000</f>
        <v>0</v>
      </c>
      <c r="V48">
        <f>V45*100</f>
        <v>0</v>
      </c>
      <c r="W48">
        <f>W45*10</f>
        <v>0</v>
      </c>
      <c r="X48">
        <f>X45*1</f>
        <v>0</v>
      </c>
      <c r="Y48">
        <f>SUM(U48:X48)</f>
        <v>0</v>
      </c>
      <c r="Z48">
        <f>IF(D48="","",VLOOKUP(Y48,$AA$26:$AB$40,2))</f>
      </c>
    </row>
    <row r="49" spans="2:11" ht="12.75">
      <c r="B49" s="69"/>
      <c r="C49" s="73" t="s">
        <v>390</v>
      </c>
      <c r="D49" s="145">
        <f>IF(D48="","",ROUND(SUM(N45:Q45)/D48,0))</f>
      </c>
      <c r="E49" s="2"/>
      <c r="F49" s="74">
        <f>IF(D49&gt;59.99,"","60 min.")</f>
      </c>
      <c r="G49" s="13"/>
      <c r="H49" s="72"/>
      <c r="I49" s="72"/>
      <c r="J49" s="72"/>
      <c r="K49" s="76"/>
    </row>
    <row r="50" spans="2:11" ht="12.75">
      <c r="B50" s="69"/>
      <c r="C50" s="73"/>
      <c r="D50" s="74"/>
      <c r="E50" s="75"/>
      <c r="F50" s="72"/>
      <c r="G50" s="72"/>
      <c r="H50" s="72"/>
      <c r="I50" s="72"/>
      <c r="J50" s="72"/>
      <c r="K50" s="76"/>
    </row>
    <row r="51" spans="2:11" ht="12.75">
      <c r="B51" s="69" t="s">
        <v>251</v>
      </c>
      <c r="C51" s="70"/>
      <c r="D51" s="70"/>
      <c r="E51" s="70"/>
      <c r="F51" s="70"/>
      <c r="G51" s="70"/>
      <c r="H51" s="70"/>
      <c r="I51" s="70"/>
      <c r="J51" s="70"/>
      <c r="K51" s="77"/>
    </row>
    <row r="52" spans="2:11" ht="12.75">
      <c r="B52" s="69" t="s">
        <v>266</v>
      </c>
      <c r="C52" s="70"/>
      <c r="D52" s="70"/>
      <c r="E52" s="70"/>
      <c r="F52" s="70"/>
      <c r="G52" s="70"/>
      <c r="H52" s="70"/>
      <c r="I52" s="70"/>
      <c r="J52" s="70"/>
      <c r="K52" s="77"/>
    </row>
    <row r="53" spans="2:11" ht="12.75">
      <c r="B53" s="69" t="s">
        <v>409</v>
      </c>
      <c r="C53" s="70"/>
      <c r="D53" s="70"/>
      <c r="E53" s="70"/>
      <c r="F53" s="70"/>
      <c r="G53" s="70"/>
      <c r="H53" s="70"/>
      <c r="I53" s="70"/>
      <c r="J53" s="70"/>
      <c r="K53" s="77"/>
    </row>
    <row r="54" spans="2:11" ht="12.75">
      <c r="B54" s="369" t="s">
        <v>263</v>
      </c>
      <c r="C54" s="70"/>
      <c r="D54" s="70"/>
      <c r="E54" s="70"/>
      <c r="F54" s="70"/>
      <c r="G54" s="70"/>
      <c r="H54" s="70"/>
      <c r="I54" s="70"/>
      <c r="J54" s="70"/>
      <c r="K54" s="77"/>
    </row>
    <row r="55" spans="2:11" ht="12.75">
      <c r="B55" s="69" t="s">
        <v>252</v>
      </c>
      <c r="C55" s="70"/>
      <c r="D55" s="70"/>
      <c r="E55" s="70"/>
      <c r="F55" s="70"/>
      <c r="G55" s="70"/>
      <c r="H55" s="70"/>
      <c r="I55" s="70"/>
      <c r="J55" s="70"/>
      <c r="K55" s="77"/>
    </row>
    <row r="56" spans="2:11" ht="12.75">
      <c r="B56" s="369" t="s">
        <v>264</v>
      </c>
      <c r="C56" s="70"/>
      <c r="D56" s="70"/>
      <c r="E56" s="70"/>
      <c r="F56" s="70"/>
      <c r="G56" s="70"/>
      <c r="H56" s="70"/>
      <c r="I56" s="70"/>
      <c r="J56" s="70"/>
      <c r="K56" s="77"/>
    </row>
    <row r="57" spans="2:11" ht="12.75">
      <c r="B57" s="69" t="s">
        <v>253</v>
      </c>
      <c r="C57" s="70"/>
      <c r="D57" s="70"/>
      <c r="E57" s="70"/>
      <c r="F57" s="70"/>
      <c r="G57" s="70"/>
      <c r="H57" s="70"/>
      <c r="I57" s="70"/>
      <c r="J57" s="70"/>
      <c r="K57" s="77"/>
    </row>
    <row r="58" spans="2:11" ht="12.75">
      <c r="B58" s="69" t="s">
        <v>262</v>
      </c>
      <c r="C58" s="70"/>
      <c r="D58" s="70"/>
      <c r="E58" s="70"/>
      <c r="F58" s="70"/>
      <c r="G58" s="70"/>
      <c r="H58" s="70"/>
      <c r="I58" s="70"/>
      <c r="J58" s="70"/>
      <c r="K58" s="77"/>
    </row>
    <row r="59" spans="2:11" ht="13.5" thickBot="1">
      <c r="B59" s="78"/>
      <c r="C59" s="79"/>
      <c r="D59" s="79"/>
      <c r="E59" s="79"/>
      <c r="F59" s="79"/>
      <c r="G59" s="79"/>
      <c r="H59" s="79"/>
      <c r="I59" s="79"/>
      <c r="J59" s="79"/>
      <c r="K59" s="80"/>
    </row>
    <row r="60" spans="2:11" ht="12.75">
      <c r="B60" s="146"/>
      <c r="C60" s="70"/>
      <c r="D60" s="70"/>
      <c r="E60" s="70"/>
      <c r="F60" s="70"/>
      <c r="G60" s="70"/>
      <c r="H60" s="70"/>
      <c r="I60" s="70"/>
      <c r="J60" s="70"/>
      <c r="K60" s="70"/>
    </row>
    <row r="61" spans="1:11" ht="12.75">
      <c r="A61" s="16"/>
      <c r="B61" s="16"/>
      <c r="E61" s="16"/>
      <c r="F61" s="16"/>
      <c r="G61" s="16"/>
      <c r="H61" s="437"/>
      <c r="I61" s="437"/>
      <c r="J61" s="437"/>
      <c r="K61" s="437"/>
    </row>
    <row r="62" spans="1:11" ht="12.75" customHeight="1">
      <c r="A62" s="16"/>
      <c r="B62" s="20"/>
      <c r="C62" s="515" t="s">
        <v>325</v>
      </c>
      <c r="D62" s="515"/>
      <c r="E62" s="500"/>
      <c r="F62" s="500"/>
      <c r="G62" s="19"/>
      <c r="H62" s="512" t="s">
        <v>132</v>
      </c>
      <c r="I62" s="513"/>
      <c r="J62" s="513"/>
      <c r="K62" s="514"/>
    </row>
    <row r="63" spans="1:11" ht="12.75">
      <c r="A63" s="16"/>
      <c r="B63" s="20"/>
      <c r="C63" s="89"/>
      <c r="D63" s="15"/>
      <c r="E63" s="15"/>
      <c r="F63" s="19"/>
      <c r="G63" s="19"/>
      <c r="H63" s="118"/>
      <c r="I63" s="119"/>
      <c r="J63" s="119"/>
      <c r="K63" s="19"/>
    </row>
    <row r="64" spans="1:11" ht="12.75">
      <c r="A64" s="16"/>
      <c r="B64" s="20" t="s">
        <v>127</v>
      </c>
      <c r="C64" s="19">
        <f>IF('Hyd Sum'!$G$4="","",'Hyd Sum'!$G$4)</f>
      </c>
      <c r="E64" s="440" t="s">
        <v>184</v>
      </c>
      <c r="F64" s="440"/>
      <c r="G64" s="518">
        <f>IF('Hyd Sum'!$W$4="","",'Hyd Sum'!$W$4)</f>
      </c>
      <c r="H64" s="519"/>
      <c r="I64" s="519"/>
      <c r="J64" s="519"/>
      <c r="K64" s="519"/>
    </row>
    <row r="65" spans="1:11" ht="12.75">
      <c r="A65" s="16"/>
      <c r="B65" s="20" t="s">
        <v>180</v>
      </c>
      <c r="C65" s="23">
        <f>IF('Hyd Sum'!$G$6="","",'Hyd Sum'!$G$6)</f>
      </c>
      <c r="E65" s="441" t="s">
        <v>129</v>
      </c>
      <c r="F65" s="511"/>
      <c r="G65" s="522">
        <f>IF('Hyd Sum'!$W$6="","",'Hyd Sum'!$W$6)</f>
      </c>
      <c r="H65" s="447"/>
      <c r="I65" s="447"/>
      <c r="J65" s="447"/>
      <c r="K65" s="447"/>
    </row>
    <row r="66" spans="1:11" ht="12.75" customHeight="1">
      <c r="A66" s="16"/>
      <c r="B66" s="20"/>
      <c r="C66" s="19"/>
      <c r="D66" s="20"/>
      <c r="E66" s="20"/>
      <c r="F66" s="19"/>
      <c r="G66" s="40"/>
      <c r="H66" s="40"/>
      <c r="I66" s="40"/>
      <c r="J66" s="40"/>
      <c r="K66" s="40"/>
    </row>
    <row r="67" spans="1:11" ht="12.75" customHeight="1">
      <c r="A67" s="16"/>
      <c r="C67" s="437" t="s">
        <v>326</v>
      </c>
      <c r="D67" s="437"/>
      <c r="E67" s="437"/>
      <c r="F67" s="437"/>
      <c r="G67" s="437"/>
      <c r="H67" s="414">
        <f>CONCATENATE('Hyd Sum'!H28,'Hyd Sum'!M28)</f>
      </c>
      <c r="I67" s="40"/>
      <c r="J67" s="20"/>
      <c r="K67" s="40"/>
    </row>
    <row r="68" spans="1:11" ht="12.75" customHeight="1" thickBot="1">
      <c r="A68" s="16"/>
      <c r="B68" s="147"/>
      <c r="C68" s="19"/>
      <c r="D68" s="147"/>
      <c r="E68" s="147"/>
      <c r="F68" s="19"/>
      <c r="G68" s="40"/>
      <c r="H68" s="40"/>
      <c r="I68" s="40"/>
      <c r="J68" s="40"/>
      <c r="K68" s="40"/>
    </row>
    <row r="69" spans="2:11" ht="12.75" customHeight="1">
      <c r="B69" s="373" t="s">
        <v>279</v>
      </c>
      <c r="C69" s="415" t="s">
        <v>346</v>
      </c>
      <c r="D69" s="448" t="s">
        <v>33</v>
      </c>
      <c r="E69" s="435"/>
      <c r="F69" s="435"/>
      <c r="G69" s="435"/>
      <c r="H69" s="435"/>
      <c r="I69" s="435"/>
      <c r="J69" s="435"/>
      <c r="K69" s="436"/>
    </row>
    <row r="70" spans="2:11" ht="13.5" thickBot="1">
      <c r="B70" s="374" t="s">
        <v>280</v>
      </c>
      <c r="C70" s="368" t="s">
        <v>347</v>
      </c>
      <c r="D70" s="520" t="s">
        <v>34</v>
      </c>
      <c r="E70" s="521"/>
      <c r="F70" s="520" t="s">
        <v>35</v>
      </c>
      <c r="G70" s="521"/>
      <c r="H70" s="520" t="s">
        <v>36</v>
      </c>
      <c r="I70" s="521"/>
      <c r="J70" s="520" t="s">
        <v>37</v>
      </c>
      <c r="K70" s="523"/>
    </row>
    <row r="71" spans="1:11" ht="12.75">
      <c r="A71" s="16"/>
      <c r="B71" s="148"/>
      <c r="C71" s="149"/>
      <c r="D71" s="150" t="s">
        <v>39</v>
      </c>
      <c r="E71" s="151" t="s">
        <v>124</v>
      </c>
      <c r="F71" s="150" t="s">
        <v>39</v>
      </c>
      <c r="G71" s="151" t="s">
        <v>124</v>
      </c>
      <c r="H71" s="150" t="s">
        <v>39</v>
      </c>
      <c r="I71" s="151" t="s">
        <v>124</v>
      </c>
      <c r="J71" s="150" t="s">
        <v>39</v>
      </c>
      <c r="K71" s="152" t="s">
        <v>124</v>
      </c>
    </row>
    <row r="72" spans="1:17" ht="12.75">
      <c r="A72" s="16"/>
      <c r="B72" s="126" t="s">
        <v>38</v>
      </c>
      <c r="C72" s="127" t="s">
        <v>267</v>
      </c>
      <c r="D72" s="162"/>
      <c r="E72" s="139">
        <v>75</v>
      </c>
      <c r="F72" s="162"/>
      <c r="G72" s="139">
        <v>84</v>
      </c>
      <c r="H72" s="162"/>
      <c r="I72" s="139">
        <v>89</v>
      </c>
      <c r="J72" s="162"/>
      <c r="K72" s="153">
        <v>92</v>
      </c>
      <c r="N72">
        <f aca="true" t="shared" si="4" ref="N72:N86">D72*E72</f>
        <v>0</v>
      </c>
      <c r="O72">
        <f aca="true" t="shared" si="5" ref="O72:O86">F72*G72</f>
        <v>0</v>
      </c>
      <c r="P72">
        <f aca="true" t="shared" si="6" ref="P72:P86">H72*I72</f>
        <v>0</v>
      </c>
      <c r="Q72">
        <f aca="true" t="shared" si="7" ref="Q72:Q86">J72*K72</f>
        <v>0</v>
      </c>
    </row>
    <row r="73" spans="2:17" ht="12.75">
      <c r="B73" s="126" t="s">
        <v>38</v>
      </c>
      <c r="C73" s="127" t="s">
        <v>250</v>
      </c>
      <c r="D73" s="162"/>
      <c r="E73" s="128">
        <v>70</v>
      </c>
      <c r="F73" s="162"/>
      <c r="G73" s="128">
        <v>79</v>
      </c>
      <c r="H73" s="162"/>
      <c r="I73" s="128">
        <v>85</v>
      </c>
      <c r="J73" s="162"/>
      <c r="K73" s="154">
        <v>88</v>
      </c>
      <c r="N73">
        <f t="shared" si="4"/>
        <v>0</v>
      </c>
      <c r="O73">
        <f t="shared" si="5"/>
        <v>0</v>
      </c>
      <c r="P73">
        <f t="shared" si="6"/>
        <v>0</v>
      </c>
      <c r="Q73">
        <f t="shared" si="7"/>
        <v>0</v>
      </c>
    </row>
    <row r="74" spans="2:17" ht="12.75">
      <c r="B74" s="126" t="s">
        <v>38</v>
      </c>
      <c r="C74" s="127" t="s">
        <v>254</v>
      </c>
      <c r="D74" s="162"/>
      <c r="E74" s="128">
        <v>69</v>
      </c>
      <c r="F74" s="162"/>
      <c r="G74" s="128">
        <v>78</v>
      </c>
      <c r="H74" s="162"/>
      <c r="I74" s="128">
        <v>85</v>
      </c>
      <c r="J74" s="162"/>
      <c r="K74" s="154">
        <v>88</v>
      </c>
      <c r="N74">
        <f t="shared" si="4"/>
        <v>0</v>
      </c>
      <c r="O74">
        <f t="shared" si="5"/>
        <v>0</v>
      </c>
      <c r="P74">
        <f t="shared" si="6"/>
        <v>0</v>
      </c>
      <c r="Q74">
        <f t="shared" si="7"/>
        <v>0</v>
      </c>
    </row>
    <row r="75" spans="2:17" ht="12.75">
      <c r="B75" s="126" t="s">
        <v>38</v>
      </c>
      <c r="C75" s="127" t="s">
        <v>255</v>
      </c>
      <c r="D75" s="162"/>
      <c r="E75" s="128">
        <v>67</v>
      </c>
      <c r="F75" s="162"/>
      <c r="G75" s="128">
        <v>77</v>
      </c>
      <c r="H75" s="162"/>
      <c r="I75" s="128">
        <v>82</v>
      </c>
      <c r="J75" s="162"/>
      <c r="K75" s="154">
        <v>86</v>
      </c>
      <c r="N75">
        <f t="shared" si="4"/>
        <v>0</v>
      </c>
      <c r="O75">
        <f t="shared" si="5"/>
        <v>0</v>
      </c>
      <c r="P75">
        <f t="shared" si="6"/>
        <v>0</v>
      </c>
      <c r="Q75">
        <f t="shared" si="7"/>
        <v>0</v>
      </c>
    </row>
    <row r="76" spans="2:17" ht="12.75">
      <c r="B76" s="126" t="s">
        <v>38</v>
      </c>
      <c r="C76" s="127" t="s">
        <v>256</v>
      </c>
      <c r="D76" s="162"/>
      <c r="E76" s="128">
        <v>64</v>
      </c>
      <c r="F76" s="162"/>
      <c r="G76" s="128">
        <v>72</v>
      </c>
      <c r="H76" s="162"/>
      <c r="I76" s="128">
        <v>78</v>
      </c>
      <c r="J76" s="162"/>
      <c r="K76" s="154">
        <v>81</v>
      </c>
      <c r="N76">
        <f t="shared" si="4"/>
        <v>0</v>
      </c>
      <c r="O76">
        <f t="shared" si="5"/>
        <v>0</v>
      </c>
      <c r="P76">
        <f t="shared" si="6"/>
        <v>0</v>
      </c>
      <c r="Q76">
        <f t="shared" si="7"/>
        <v>0</v>
      </c>
    </row>
    <row r="77" spans="2:17" ht="12.75">
      <c r="B77" s="126" t="s">
        <v>38</v>
      </c>
      <c r="C77" s="127" t="s">
        <v>257</v>
      </c>
      <c r="D77" s="162"/>
      <c r="E77" s="128">
        <v>63</v>
      </c>
      <c r="F77" s="162"/>
      <c r="G77" s="128">
        <v>74</v>
      </c>
      <c r="H77" s="162"/>
      <c r="I77" s="128">
        <v>82</v>
      </c>
      <c r="J77" s="162"/>
      <c r="K77" s="154">
        <v>85</v>
      </c>
      <c r="N77">
        <f t="shared" si="4"/>
        <v>0</v>
      </c>
      <c r="O77">
        <f t="shared" si="5"/>
        <v>0</v>
      </c>
      <c r="P77">
        <f t="shared" si="6"/>
        <v>0</v>
      </c>
      <c r="Q77">
        <f t="shared" si="7"/>
        <v>0</v>
      </c>
    </row>
    <row r="78" spans="2:17" ht="12.75">
      <c r="B78" s="126" t="s">
        <v>38</v>
      </c>
      <c r="C78" s="127" t="s">
        <v>258</v>
      </c>
      <c r="D78" s="162"/>
      <c r="E78" s="128">
        <v>61</v>
      </c>
      <c r="F78" s="162"/>
      <c r="G78" s="128">
        <v>73</v>
      </c>
      <c r="H78" s="162"/>
      <c r="I78" s="128">
        <v>81</v>
      </c>
      <c r="J78" s="162"/>
      <c r="K78" s="154">
        <v>84</v>
      </c>
      <c r="N78">
        <f t="shared" si="4"/>
        <v>0</v>
      </c>
      <c r="O78">
        <f t="shared" si="5"/>
        <v>0</v>
      </c>
      <c r="P78">
        <f t="shared" si="6"/>
        <v>0</v>
      </c>
      <c r="Q78">
        <f t="shared" si="7"/>
        <v>0</v>
      </c>
    </row>
    <row r="79" spans="2:17" ht="12.75">
      <c r="B79" s="126" t="s">
        <v>38</v>
      </c>
      <c r="C79" s="127" t="s">
        <v>268</v>
      </c>
      <c r="D79" s="162"/>
      <c r="E79" s="128">
        <v>59</v>
      </c>
      <c r="F79" s="162"/>
      <c r="G79" s="128">
        <v>70</v>
      </c>
      <c r="H79" s="162"/>
      <c r="I79" s="128">
        <v>78</v>
      </c>
      <c r="J79" s="162"/>
      <c r="K79" s="154">
        <v>81</v>
      </c>
      <c r="N79">
        <f t="shared" si="4"/>
        <v>0</v>
      </c>
      <c r="O79">
        <f t="shared" si="5"/>
        <v>0</v>
      </c>
      <c r="P79">
        <f t="shared" si="6"/>
        <v>0</v>
      </c>
      <c r="Q79">
        <f t="shared" si="7"/>
        <v>0</v>
      </c>
    </row>
    <row r="80" spans="2:17" ht="12.75">
      <c r="B80" s="126" t="s">
        <v>38</v>
      </c>
      <c r="C80" s="127" t="s">
        <v>321</v>
      </c>
      <c r="D80" s="162"/>
      <c r="E80" s="128">
        <v>50</v>
      </c>
      <c r="F80" s="162"/>
      <c r="G80" s="128">
        <v>60</v>
      </c>
      <c r="H80" s="162"/>
      <c r="I80" s="128">
        <v>67</v>
      </c>
      <c r="J80" s="162"/>
      <c r="K80" s="154">
        <v>70</v>
      </c>
      <c r="N80">
        <f t="shared" si="4"/>
        <v>0</v>
      </c>
      <c r="O80">
        <f t="shared" si="5"/>
        <v>0</v>
      </c>
      <c r="P80">
        <f t="shared" si="6"/>
        <v>0</v>
      </c>
      <c r="Q80">
        <f t="shared" si="7"/>
        <v>0</v>
      </c>
    </row>
    <row r="81" spans="2:17" ht="12.75">
      <c r="B81" s="126" t="s">
        <v>38</v>
      </c>
      <c r="C81" s="127" t="s">
        <v>322</v>
      </c>
      <c r="D81" s="162"/>
      <c r="E81" s="128">
        <v>68</v>
      </c>
      <c r="F81" s="162"/>
      <c r="G81" s="128">
        <v>79</v>
      </c>
      <c r="H81" s="162"/>
      <c r="I81" s="128">
        <v>86</v>
      </c>
      <c r="J81" s="162"/>
      <c r="K81" s="154">
        <v>89</v>
      </c>
      <c r="N81">
        <f t="shared" si="4"/>
        <v>0</v>
      </c>
      <c r="O81">
        <f t="shared" si="5"/>
        <v>0</v>
      </c>
      <c r="P81">
        <f t="shared" si="6"/>
        <v>0</v>
      </c>
      <c r="Q81">
        <f t="shared" si="7"/>
        <v>0</v>
      </c>
    </row>
    <row r="82" spans="2:17" ht="12.75">
      <c r="B82" s="126" t="s">
        <v>38</v>
      </c>
      <c r="C82" s="127" t="s">
        <v>323</v>
      </c>
      <c r="D82" s="162"/>
      <c r="E82" s="128">
        <v>50</v>
      </c>
      <c r="F82" s="162"/>
      <c r="G82" s="128">
        <v>69</v>
      </c>
      <c r="H82" s="162"/>
      <c r="I82" s="128">
        <v>79</v>
      </c>
      <c r="J82" s="162"/>
      <c r="K82" s="154">
        <v>84</v>
      </c>
      <c r="N82">
        <f t="shared" si="4"/>
        <v>0</v>
      </c>
      <c r="O82">
        <f t="shared" si="5"/>
        <v>0</v>
      </c>
      <c r="P82">
        <f t="shared" si="6"/>
        <v>0</v>
      </c>
      <c r="Q82">
        <f t="shared" si="7"/>
        <v>0</v>
      </c>
    </row>
    <row r="83" spans="2:17" ht="12.75">
      <c r="B83" s="126" t="s">
        <v>38</v>
      </c>
      <c r="C83" s="127" t="s">
        <v>324</v>
      </c>
      <c r="D83" s="162"/>
      <c r="E83" s="128">
        <v>50</v>
      </c>
      <c r="F83" s="162"/>
      <c r="G83" s="128">
        <v>61</v>
      </c>
      <c r="H83" s="162"/>
      <c r="I83" s="128">
        <v>74</v>
      </c>
      <c r="J83" s="162"/>
      <c r="K83" s="154">
        <v>80</v>
      </c>
      <c r="N83">
        <f t="shared" si="4"/>
        <v>0</v>
      </c>
      <c r="O83">
        <f t="shared" si="5"/>
        <v>0</v>
      </c>
      <c r="P83">
        <f t="shared" si="6"/>
        <v>0</v>
      </c>
      <c r="Q83">
        <f t="shared" si="7"/>
        <v>0</v>
      </c>
    </row>
    <row r="84" spans="2:17" ht="12.75">
      <c r="B84" s="126" t="s">
        <v>38</v>
      </c>
      <c r="C84" s="127" t="s">
        <v>260</v>
      </c>
      <c r="D84" s="162"/>
      <c r="E84" s="128">
        <v>50</v>
      </c>
      <c r="F84" s="162"/>
      <c r="G84" s="128">
        <v>66</v>
      </c>
      <c r="H84" s="162"/>
      <c r="I84" s="128">
        <v>77</v>
      </c>
      <c r="J84" s="162"/>
      <c r="K84" s="154">
        <v>83</v>
      </c>
      <c r="N84">
        <f t="shared" si="4"/>
        <v>0</v>
      </c>
      <c r="O84">
        <f t="shared" si="5"/>
        <v>0</v>
      </c>
      <c r="P84">
        <f t="shared" si="6"/>
        <v>0</v>
      </c>
      <c r="Q84">
        <f t="shared" si="7"/>
        <v>0</v>
      </c>
    </row>
    <row r="85" spans="2:17" ht="12.75">
      <c r="B85" s="126" t="s">
        <v>38</v>
      </c>
      <c r="C85" s="127" t="s">
        <v>261</v>
      </c>
      <c r="D85" s="162"/>
      <c r="E85" s="128">
        <v>50</v>
      </c>
      <c r="F85" s="162"/>
      <c r="G85" s="128">
        <v>60</v>
      </c>
      <c r="H85" s="162"/>
      <c r="I85" s="128">
        <v>73</v>
      </c>
      <c r="J85" s="162"/>
      <c r="K85" s="154">
        <v>79</v>
      </c>
      <c r="N85">
        <f t="shared" si="4"/>
        <v>0</v>
      </c>
      <c r="O85">
        <f t="shared" si="5"/>
        <v>0</v>
      </c>
      <c r="P85">
        <f t="shared" si="6"/>
        <v>0</v>
      </c>
      <c r="Q85">
        <f t="shared" si="7"/>
        <v>0</v>
      </c>
    </row>
    <row r="86" spans="2:17" ht="12.75">
      <c r="B86" s="126" t="s">
        <v>38</v>
      </c>
      <c r="C86" s="127" t="s">
        <v>259</v>
      </c>
      <c r="D86" s="162"/>
      <c r="E86" s="128">
        <v>72</v>
      </c>
      <c r="F86" s="162"/>
      <c r="G86" s="128">
        <v>82</v>
      </c>
      <c r="H86" s="162"/>
      <c r="I86" s="128">
        <v>87</v>
      </c>
      <c r="J86" s="162"/>
      <c r="K86" s="154">
        <v>89</v>
      </c>
      <c r="N86">
        <f t="shared" si="4"/>
        <v>0</v>
      </c>
      <c r="O86">
        <f t="shared" si="5"/>
        <v>0</v>
      </c>
      <c r="P86">
        <f t="shared" si="6"/>
        <v>0</v>
      </c>
      <c r="Q86">
        <f t="shared" si="7"/>
        <v>0</v>
      </c>
    </row>
    <row r="87" spans="2:17" ht="12.75">
      <c r="B87" s="130">
        <f>IF('Hyd Sum'!$AZ$10=2,RCNTables!$B$19,IF('Hyd Sum'!$AZ$10=3,RCNTables!$B$34,IF('Hyd Sum'!$AZ$10=4,RCNTables!$B$49,IF('Hyd Sum'!$AZ$10=5,RCNTables!$B$64,""))))</f>
      </c>
      <c r="C87" s="131">
        <f>IF('Hyd Sum'!$AZ$10=2,RCNTables!$C$19,IF('Hyd Sum'!$AZ$10=3,RCNTables!$C$34,IF('Hyd Sum'!$AZ$10=4,RCNTables!$C$49,IF('Hyd Sum'!$AZ$10=5,RCNTables!$C$64,""))))</f>
      </c>
      <c r="D87" s="162"/>
      <c r="E87" s="132">
        <f>IF('Hyd Sum'!$AZ$10=2,RCNTables!$D$19,IF('Hyd Sum'!$AZ$10=3,RCNTables!$D$34,IF('Hyd Sum'!$AZ$10=4,RCNTables!$D$49,IF('Hyd Sum'!$AZ$10=5,RCNTables!$D$64,""))))</f>
      </c>
      <c r="F87" s="162"/>
      <c r="G87" s="132">
        <f>IF('Hyd Sum'!$AZ$10=2,RCNTables!$F$19,IF('Hyd Sum'!$AZ$10=3,RCNTables!$F$34,IF('Hyd Sum'!$AZ$10=4,RCNTables!$F$49,IF('Hyd Sum'!$AZ$10=5,RCNTables!$F$64,""))))</f>
      </c>
      <c r="H87" s="162"/>
      <c r="I87" s="132">
        <f>IF('Hyd Sum'!$AZ$10=2,RCNTables!$H$19,IF('Hyd Sum'!$AZ$10=3,RCNTables!$H$34,IF('Hyd Sum'!$AZ$10=4,RCNTables!$H$49,IF('Hyd Sum'!$AZ$10=5,RCNTables!$H$64,""))))</f>
      </c>
      <c r="J87" s="162"/>
      <c r="K87" s="155">
        <f>IF('Hyd Sum'!$AZ$10=2,RCNTables!$J$19,IF('Hyd Sum'!$AZ$10=3,RCNTables!$J$34,IF('Hyd Sum'!$AZ$10=4,RCNTables!$J$49,IF('Hyd Sum'!$AZ$10=5,RCNTables!$J$64,""))))</f>
      </c>
      <c r="N87">
        <f>IF('Hyd Sum'!$AZ$10=1,0,D87*E87)</f>
        <v>0</v>
      </c>
      <c r="O87">
        <f>IF('Hyd Sum'!$AZ$10=1,0,F87*G87)</f>
        <v>0</v>
      </c>
      <c r="P87">
        <f>IF('Hyd Sum'!$AZ$10=1,0,H87*I87)</f>
        <v>0</v>
      </c>
      <c r="Q87">
        <f>IF('Hyd Sum'!$AZ$10=1,0,J87*K87)</f>
        <v>0</v>
      </c>
    </row>
    <row r="88" spans="2:17" ht="12.75">
      <c r="B88" s="130">
        <f>IF('Hyd Sum'!$AZ$10=2,RCNTables!$B$20,IF('Hyd Sum'!$AZ$10=3,RCNTables!$B$35,IF('Hyd Sum'!$AZ$10=4,RCNTables!$B$50,IF('Hyd Sum'!$AZ$10=5,RCNTables!$B$65,""))))</f>
      </c>
      <c r="C88" s="131">
        <f>IF('Hyd Sum'!$AZ$10=2,RCNTables!$C$20,IF('Hyd Sum'!$AZ$10=3,RCNTables!$C$35,IF('Hyd Sum'!$AZ$10=4,RCNTables!$C$50,IF('Hyd Sum'!$AZ$10=5,RCNTables!$C$65,""))))</f>
      </c>
      <c r="D88" s="162"/>
      <c r="E88" s="132">
        <f>IF('Hyd Sum'!$AZ$10=2,RCNTables!$D$20,IF('Hyd Sum'!$AZ$10=3,RCNTables!$D$35,IF('Hyd Sum'!$AZ$10=4,RCNTables!$D$50,IF('Hyd Sum'!$AZ$10=5,RCNTables!$D$65,""))))</f>
      </c>
      <c r="F88" s="162"/>
      <c r="G88" s="132">
        <f>IF('Hyd Sum'!$AZ$10=2,RCNTables!$F$20,IF('Hyd Sum'!$AZ$10=3,RCNTables!$F$35,IF('Hyd Sum'!$AZ$10=4,RCNTables!$F$50,IF('Hyd Sum'!$AZ$10=5,RCNTables!$F$65,""))))</f>
      </c>
      <c r="H88" s="162"/>
      <c r="I88" s="132">
        <f>IF('Hyd Sum'!$AZ$10=2,RCNTables!$H$20,IF('Hyd Sum'!$AZ$10=3,RCNTables!$H$35,IF('Hyd Sum'!$AZ$10=4,RCNTables!$H$50,IF('Hyd Sum'!$AZ$10=5,RCNTables!$H$65,""))))</f>
      </c>
      <c r="J88" s="162"/>
      <c r="K88" s="155">
        <f>IF('Hyd Sum'!$AZ$10=2,RCNTables!$J$20,IF('Hyd Sum'!$AZ$10=3,RCNTables!$J$35,IF('Hyd Sum'!$AZ$10=4,RCNTables!$J$50,IF('Hyd Sum'!$AZ$10=5,RCNTables!$J$65,""))))</f>
      </c>
      <c r="N88">
        <f>IF('Hyd Sum'!$AZ$10=1,0,D88*E88)</f>
        <v>0</v>
      </c>
      <c r="O88">
        <f>IF('Hyd Sum'!$AZ$10=1,0,F88*G88)</f>
        <v>0</v>
      </c>
      <c r="P88">
        <f>IF('Hyd Sum'!$AZ$10=1,0,H88*I88)</f>
        <v>0</v>
      </c>
      <c r="Q88">
        <f>IF('Hyd Sum'!$AZ$10=1,0,J88*K88)</f>
        <v>0</v>
      </c>
    </row>
    <row r="89" spans="2:17" ht="12.75">
      <c r="B89" s="130">
        <f>IF('Hyd Sum'!$AZ$10=2,RCNTables!$B$21,IF('Hyd Sum'!$AZ$10=3,RCNTables!$B$36,IF('Hyd Sum'!$AZ$10=4,RCNTables!$B$51,IF('Hyd Sum'!$AZ$10=5,RCNTables!$B$66,""))))</f>
      </c>
      <c r="C89" s="131">
        <f>IF('Hyd Sum'!$AZ$10=2,RCNTables!$C$21,IF('Hyd Sum'!$AZ$10=3,RCNTables!$C$36,IF('Hyd Sum'!$AZ$10=4,RCNTables!$C$51,IF('Hyd Sum'!$AZ$10=5,RCNTables!$C$66,""))))</f>
      </c>
      <c r="D89" s="162"/>
      <c r="E89" s="132">
        <f>IF('Hyd Sum'!$AZ$10=2,RCNTables!$D$21,IF('Hyd Sum'!$AZ$10=3,RCNTables!$D$36,IF('Hyd Sum'!$AZ$10=4,RCNTables!$D$51,IF('Hyd Sum'!$AZ$10=5,RCNTables!$D$66,""))))</f>
      </c>
      <c r="F89" s="162"/>
      <c r="G89" s="132">
        <f>IF('Hyd Sum'!$AZ$10=2,RCNTables!$F$21,IF('Hyd Sum'!$AZ$10=3,RCNTables!$F$36,IF('Hyd Sum'!$AZ$10=4,RCNTables!$F$51,IF('Hyd Sum'!$AZ$10=5,RCNTables!$F$66,""))))</f>
      </c>
      <c r="H89" s="162"/>
      <c r="I89" s="132">
        <f>IF('Hyd Sum'!$AZ$10=2,RCNTables!$H$21,IF('Hyd Sum'!$AZ$10=3,RCNTables!$H$36,IF('Hyd Sum'!$AZ$10=4,RCNTables!$H$51,IF('Hyd Sum'!$AZ$10=5,RCNTables!$H$66,""))))</f>
      </c>
      <c r="J89" s="162"/>
      <c r="K89" s="155">
        <f>IF('Hyd Sum'!$AZ$10=2,RCNTables!$J$21,IF('Hyd Sum'!$AZ$10=3,RCNTables!$J$36,IF('Hyd Sum'!$AZ$10=4,RCNTables!$J$51,IF('Hyd Sum'!$AZ$10=5,RCNTables!$J$66,""))))</f>
      </c>
      <c r="N89">
        <f>IF('Hyd Sum'!$AZ$10=1,0,D89*E89)</f>
        <v>0</v>
      </c>
      <c r="O89">
        <f>IF('Hyd Sum'!$AZ$10=1,0,F89*G89)</f>
        <v>0</v>
      </c>
      <c r="P89">
        <f>IF('Hyd Sum'!$AZ$10=1,0,H89*I89)</f>
        <v>0</v>
      </c>
      <c r="Q89">
        <f>IF('Hyd Sum'!$AZ$10=1,0,J89*K89)</f>
        <v>0</v>
      </c>
    </row>
    <row r="90" spans="2:17" ht="12.75">
      <c r="B90" s="130">
        <f>IF('Hyd Sum'!$AZ$10=2,RCNTables!$B$22,IF('Hyd Sum'!$AZ$10=3,RCNTables!$B$37,IF('Hyd Sum'!$AZ$10=4,RCNTables!$B$52,IF('Hyd Sum'!$AZ$10=5,RCNTables!$B$67,""))))</f>
      </c>
      <c r="C90" s="131">
        <f>IF('Hyd Sum'!$AZ$10=2,RCNTables!$C$22,IF('Hyd Sum'!$AZ$10=3,RCNTables!$C$37,IF('Hyd Sum'!$AZ$10=4,RCNTables!$C$52,IF('Hyd Sum'!$AZ$10=5,RCNTables!$C$67,""))))</f>
      </c>
      <c r="D90" s="162"/>
      <c r="E90" s="132">
        <f>IF('Hyd Sum'!$AZ$10=2,RCNTables!$D$22,IF('Hyd Sum'!$AZ$10=3,RCNTables!$D$37,IF('Hyd Sum'!$AZ$10=4,RCNTables!$D$52,IF('Hyd Sum'!$AZ$10=5,RCNTables!$D$67,""))))</f>
      </c>
      <c r="F90" s="162"/>
      <c r="G90" s="132">
        <f>IF('Hyd Sum'!$AZ$10=2,RCNTables!$F$22,IF('Hyd Sum'!$AZ$10=3,RCNTables!$F$37,IF('Hyd Sum'!$AZ$10=4,RCNTables!$F$52,IF('Hyd Sum'!$AZ$10=5,RCNTables!$F$67,""))))</f>
      </c>
      <c r="H90" s="162"/>
      <c r="I90" s="132">
        <f>IF('Hyd Sum'!$AZ$10=2,RCNTables!$H$22,IF('Hyd Sum'!$AZ$10=3,RCNTables!$H$37,IF('Hyd Sum'!$AZ$10=4,RCNTables!$H$52,IF('Hyd Sum'!$AZ$10=5,RCNTables!$H$67,""))))</f>
      </c>
      <c r="J90" s="162"/>
      <c r="K90" s="155">
        <f>IF('Hyd Sum'!$AZ$10=2,RCNTables!$J$22,IF('Hyd Sum'!$AZ$10=3,RCNTables!$J$37,IF('Hyd Sum'!$AZ$10=4,RCNTables!$J$52,IF('Hyd Sum'!$AZ$10=5,RCNTables!$J$67,""))))</f>
      </c>
      <c r="N90">
        <f>IF('Hyd Sum'!$AZ$10=1,0,D90*E90)</f>
        <v>0</v>
      </c>
      <c r="O90">
        <f>IF('Hyd Sum'!$AZ$10=1,0,F90*G90)</f>
        <v>0</v>
      </c>
      <c r="P90">
        <f>IF('Hyd Sum'!$AZ$10=1,0,H90*I90)</f>
        <v>0</v>
      </c>
      <c r="Q90">
        <f>IF('Hyd Sum'!$AZ$10=1,0,J90*K90)</f>
        <v>0</v>
      </c>
    </row>
    <row r="91" spans="2:17" ht="12.75">
      <c r="B91" s="130">
        <f>IF('Hyd Sum'!$AZ$10=2,RCNTables!$B$23,IF('Hyd Sum'!$AZ$10=3,RCNTables!$B$38,IF('Hyd Sum'!$AZ$10=4,RCNTables!$B$53,IF('Hyd Sum'!$AZ$10=5,RCNTables!$B$68,""))))</f>
      </c>
      <c r="C91" s="131">
        <f>IF('Hyd Sum'!$AZ$10=2,RCNTables!$C$23,IF('Hyd Sum'!$AZ$10=3,RCNTables!$C$38,IF('Hyd Sum'!$AZ$10=4,RCNTables!$C$53,IF('Hyd Sum'!$AZ$10=5,RCNTables!$C$68,""))))</f>
      </c>
      <c r="D91" s="162"/>
      <c r="E91" s="132">
        <f>IF('Hyd Sum'!$AZ$10=2,RCNTables!$D$23,IF('Hyd Sum'!$AZ$10=3,RCNTables!$D$38,IF('Hyd Sum'!$AZ$10=4,RCNTables!$D$53,IF('Hyd Sum'!$AZ$10=5,RCNTables!$D$68,""))))</f>
      </c>
      <c r="F91" s="162"/>
      <c r="G91" s="132">
        <f>IF('Hyd Sum'!$AZ$10=2,RCNTables!$F$23,IF('Hyd Sum'!$AZ$10=3,RCNTables!$F$38,IF('Hyd Sum'!$AZ$10=4,RCNTables!$F$53,IF('Hyd Sum'!$AZ$10=5,RCNTables!$F$68,""))))</f>
      </c>
      <c r="H91" s="162"/>
      <c r="I91" s="132">
        <f>IF('Hyd Sum'!$AZ$10=2,RCNTables!$H$23,IF('Hyd Sum'!$AZ$10=3,RCNTables!$H$38,IF('Hyd Sum'!$AZ$10=4,RCNTables!$H$53,IF('Hyd Sum'!$AZ$10=5,RCNTables!$H$68,""))))</f>
      </c>
      <c r="J91" s="162"/>
      <c r="K91" s="155">
        <f>IF('Hyd Sum'!$AZ$10=2,RCNTables!$J$23,IF('Hyd Sum'!$AZ$10=3,RCNTables!$J$38,IF('Hyd Sum'!$AZ$10=4,RCNTables!$J$53,IF('Hyd Sum'!$AZ$10=5,RCNTables!$J$68,""))))</f>
      </c>
      <c r="N91">
        <f>IF('Hyd Sum'!$AZ$10=1,0,D91*E91)</f>
        <v>0</v>
      </c>
      <c r="O91">
        <f>IF('Hyd Sum'!$AZ$10=1,0,F91*G91)</f>
        <v>0</v>
      </c>
      <c r="P91">
        <f>IF('Hyd Sum'!$AZ$10=1,0,H91*I91)</f>
        <v>0</v>
      </c>
      <c r="Q91">
        <f>IF('Hyd Sum'!$AZ$10=1,0,J91*K91)</f>
        <v>0</v>
      </c>
    </row>
    <row r="92" spans="2:17" ht="12.75">
      <c r="B92" s="130">
        <f>IF('Hyd Sum'!$AZ$10=2,RCNTables!$B$24,IF('Hyd Sum'!$AZ$10=3,RCNTables!$B$39,IF('Hyd Sum'!$AZ$10=4,RCNTables!$B$54,IF('Hyd Sum'!$AZ$10=5,RCNTables!$B$69,""))))</f>
      </c>
      <c r="C92" s="131">
        <f>IF('Hyd Sum'!$AZ$10=2,RCNTables!$C$24,IF('Hyd Sum'!$AZ$10=3,RCNTables!$C$39,IF('Hyd Sum'!$AZ$10=4,RCNTables!$C$54,IF('Hyd Sum'!$AZ$10=5,RCNTables!$C$69,""))))</f>
      </c>
      <c r="D92" s="162"/>
      <c r="E92" s="132">
        <f>IF('Hyd Sum'!$AZ$10=2,RCNTables!$D$24,IF('Hyd Sum'!$AZ$10=3,RCNTables!$D$39,IF('Hyd Sum'!$AZ$10=4,RCNTables!$D$54,IF('Hyd Sum'!$AZ$10=5,RCNTables!$D$69,""))))</f>
      </c>
      <c r="F92" s="162"/>
      <c r="G92" s="132">
        <f>IF('Hyd Sum'!$AZ$10=2,RCNTables!$F$24,IF('Hyd Sum'!$AZ$10=3,RCNTables!$F$39,IF('Hyd Sum'!$AZ$10=4,RCNTables!$F$54,IF('Hyd Sum'!$AZ$10=5,RCNTables!$F$69,""))))</f>
      </c>
      <c r="H92" s="162"/>
      <c r="I92" s="132">
        <f>IF('Hyd Sum'!$AZ$10=2,RCNTables!$H$24,IF('Hyd Sum'!$AZ$10=3,RCNTables!$H$39,IF('Hyd Sum'!$AZ$10=4,RCNTables!$H$54,IF('Hyd Sum'!$AZ$10=5,RCNTables!$H$69,""))))</f>
      </c>
      <c r="J92" s="162"/>
      <c r="K92" s="155">
        <f>IF('Hyd Sum'!$AZ$10=2,RCNTables!$J$24,IF('Hyd Sum'!$AZ$10=3,RCNTables!$J$39,IF('Hyd Sum'!$AZ$10=4,RCNTables!J$54,IF('Hyd Sum'!$AZ$10=5,RCNTables!$J$69,""))))</f>
      </c>
      <c r="N92">
        <f>IF('Hyd Sum'!$AZ$10=1,0,D92*E92)</f>
        <v>0</v>
      </c>
      <c r="O92">
        <f>IF('Hyd Sum'!$AZ$10=1,0,F92*G92)</f>
        <v>0</v>
      </c>
      <c r="P92">
        <f>IF('Hyd Sum'!$AZ$10=1,0,H92*I92)</f>
        <v>0</v>
      </c>
      <c r="Q92">
        <f>IF('Hyd Sum'!$AZ$10=1,0,J92*K92)</f>
        <v>0</v>
      </c>
    </row>
    <row r="93" spans="2:17" ht="12.75">
      <c r="B93" s="130">
        <f>IF('Hyd Sum'!$AZ$10=2,RCNTables!$B$25,IF('Hyd Sum'!$AZ$10=3,RCNTables!$B$40,IF('Hyd Sum'!$AZ$10=4,RCNTables!$B$55,IF('Hyd Sum'!$AZ$10=5,RCNTables!$B$70,""))))</f>
      </c>
      <c r="C93" s="131">
        <f>IF('Hyd Sum'!$AZ$10=2,RCNTables!$C$25,IF('Hyd Sum'!$AZ$10=3,RCNTables!$C$40,IF('Hyd Sum'!$AZ$10=4,RCNTables!$C$55,IF('Hyd Sum'!$AZ$10=5,RCNTables!$C$70,""))))</f>
      </c>
      <c r="D93" s="162"/>
      <c r="E93" s="132">
        <f>IF('Hyd Sum'!$AZ$10=2,RCNTables!$D$25,IF('Hyd Sum'!$AZ$10=3,RCNTables!$D$40,IF('Hyd Sum'!$AZ$10=4,RCNTables!$D$55,IF('Hyd Sum'!$AZ$10=5,RCNTables!$D$70,""))))</f>
      </c>
      <c r="F93" s="162"/>
      <c r="G93" s="132">
        <f>IF('Hyd Sum'!$AZ$10=2,RCNTables!$F$25,IF('Hyd Sum'!$AZ$10=3,RCNTables!$F$40,IF('Hyd Sum'!$AZ$10=4,RCNTables!$F$55,IF('Hyd Sum'!$AZ$10=5,RCNTables!$F$70,""))))</f>
      </c>
      <c r="H93" s="162"/>
      <c r="I93" s="132">
        <f>IF('Hyd Sum'!$AZ$10=2,RCNTables!$H$25,IF('Hyd Sum'!$AZ$10=3,RCNTables!$H$40,IF('Hyd Sum'!$AZ$10=4,RCNTables!$H$55,IF('Hyd Sum'!$AZ$10=5,RCNTables!$H$70,""))))</f>
      </c>
      <c r="J93" s="162"/>
      <c r="K93" s="155">
        <f>IF('Hyd Sum'!$AZ$10=2,RCNTables!$J$25,IF('Hyd Sum'!$AZ$10=3,RCNTables!$J$40,IF('Hyd Sum'!$AZ$10=4,RCNTables!$J$55,IF('Hyd Sum'!$AZ$10=5,RCNTables!$J$70,""))))</f>
      </c>
      <c r="N93">
        <f>IF('Hyd Sum'!$AZ$10=1,0,D93*E93)</f>
        <v>0</v>
      </c>
      <c r="O93">
        <f>IF('Hyd Sum'!$AZ$10=1,0,F93*G93)</f>
        <v>0</v>
      </c>
      <c r="P93">
        <f>IF('Hyd Sum'!$AZ$10=1,0,H93*I93)</f>
        <v>0</v>
      </c>
      <c r="Q93">
        <f>IF('Hyd Sum'!$AZ$10=1,0,J93*K93)</f>
        <v>0</v>
      </c>
    </row>
    <row r="94" spans="2:17" ht="12.75">
      <c r="B94" s="130">
        <f>IF('Hyd Sum'!$AZ$10=2,RCNTables!$B$26,IF('Hyd Sum'!$AZ$10=3,RCNTables!$B$41,IF('Hyd Sum'!$AZ$10=4,RCNTables!$B$56,IF('Hyd Sum'!$AZ$10=5,RCNTables!$B$71,""))))</f>
      </c>
      <c r="C94" s="131">
        <f>IF('Hyd Sum'!$AZ$10=2,RCNTables!$C$26,IF('Hyd Sum'!$AZ$10=3,RCNTables!$C$41,IF('Hyd Sum'!$AZ$10=4,RCNTables!$C$56,IF('Hyd Sum'!$AZ$10=5,RCNTables!$C$71,""))))</f>
      </c>
      <c r="D94" s="162"/>
      <c r="E94" s="132">
        <f>IF('Hyd Sum'!$AZ$10=2,RCNTables!$D$26,IF('Hyd Sum'!$AZ$10=3,RCNTables!$D$41,IF('Hyd Sum'!$AZ$10=4,RCNTables!$D$56,IF('Hyd Sum'!$AZ$10=5,RCNTables!$D$71,""))))</f>
      </c>
      <c r="F94" s="162"/>
      <c r="G94" s="132">
        <f>IF('Hyd Sum'!$AZ$10=2,RCNTables!$F$26,IF('Hyd Sum'!$AZ$10=3,RCNTables!$F$41,IF('Hyd Sum'!$AZ$10=4,RCNTables!$F$56,IF('Hyd Sum'!$AZ$10=5,RCNTables!$F$71,""))))</f>
      </c>
      <c r="H94" s="162"/>
      <c r="I94" s="132">
        <f>IF('Hyd Sum'!$AZ$10=2,RCNTables!$H$26,IF('Hyd Sum'!$AZ$10=3,RCNTables!$H$41,IF('Hyd Sum'!$AZ$10=4,RCNTables!$H$56,IF('Hyd Sum'!$AZ$10=5,RCNTables!$H$71,""))))</f>
      </c>
      <c r="J94" s="162"/>
      <c r="K94" s="155">
        <f>IF('Hyd Sum'!$AZ$10=2,RCNTables!$J$26,IF('Hyd Sum'!$AZ$10=3,RCNTables!$J$41,IF('Hyd Sum'!$AZ$10=4,RCNTables!$J$56,IF('Hyd Sum'!$AZ$10=5,RCNTables!$J$71,""))))</f>
      </c>
      <c r="N94">
        <f>IF('Hyd Sum'!$AZ$10=1,0,D94*E94)</f>
        <v>0</v>
      </c>
      <c r="O94">
        <f>IF('Hyd Sum'!$AZ$10=1,0,F94*G94)</f>
        <v>0</v>
      </c>
      <c r="P94">
        <f>IF('Hyd Sum'!$AZ$10=1,0,H94*I94)</f>
        <v>0</v>
      </c>
      <c r="Q94">
        <f>IF('Hyd Sum'!$AZ$10=1,0,J94*K94)</f>
        <v>0</v>
      </c>
    </row>
    <row r="95" spans="2:17" ht="12.75">
      <c r="B95" s="130">
        <f>IF('Hyd Sum'!$AZ$10=2,RCNTables!$B$27,IF('Hyd Sum'!$AZ$10=3,RCNTables!$B$42,IF('Hyd Sum'!$AZ$10=4,RCNTables!$B$57,IF('Hyd Sum'!$AZ$10=5,RCNTables!$B$72,""))))</f>
      </c>
      <c r="C95" s="131">
        <f>IF('Hyd Sum'!$AZ$10=2,RCNTables!$C$27,IF('Hyd Sum'!$AZ$10=3,RCNTables!$C$42,IF('Hyd Sum'!$AZ$10=4,RCNTables!$C$57,IF('Hyd Sum'!$AZ$10=5,RCNTables!$C$72,""))))</f>
      </c>
      <c r="D95" s="162"/>
      <c r="E95" s="132">
        <f>IF('Hyd Sum'!$AZ$10=2,RCNTables!$D$27,IF('Hyd Sum'!$AZ$10=3,RCNTables!$D$42,IF('Hyd Sum'!$AZ$10=4,RCNTables!$D$57,IF('Hyd Sum'!$AZ$10=5,RCNTables!$D$72,""))))</f>
      </c>
      <c r="F95" s="162"/>
      <c r="G95" s="132">
        <f>IF('Hyd Sum'!$AZ$10=2,RCNTables!$F$27,IF('Hyd Sum'!$AZ$10=3,RCNTables!$F$42,IF('Hyd Sum'!$AZ$10=4,RCNTables!$F$57,IF('Hyd Sum'!$AZ$10=5,RCNTables!$F$72,""))))</f>
      </c>
      <c r="H95" s="162"/>
      <c r="I95" s="132">
        <f>IF('Hyd Sum'!$AZ$10=2,RCNTables!$H$27,IF('Hyd Sum'!$AZ$10=3,RCNTables!$H$42,IF('Hyd Sum'!$AZ$10=4,RCNTables!$H$57,IF('Hyd Sum'!$AZ$10=5,RCNTables!$H$72,""))))</f>
      </c>
      <c r="J95" s="162"/>
      <c r="K95" s="155">
        <f>IF('Hyd Sum'!$AZ$10=2,RCNTables!$J$27,IF('Hyd Sum'!$AZ$10=3,RCNTables!$J$42,IF('Hyd Sum'!$AZ$10=4,RCNTables!$J$57,IF('Hyd Sum'!$AZ$10=5,RCNTables!$J$72,""))))</f>
      </c>
      <c r="N95">
        <f>IF('Hyd Sum'!$AZ$10=1,0,D95*E95)</f>
        <v>0</v>
      </c>
      <c r="O95">
        <f>IF('Hyd Sum'!$AZ$10=1,0,F95*G95)</f>
        <v>0</v>
      </c>
      <c r="P95">
        <f>IF('Hyd Sum'!$AZ$10=1,0,H95*I95)</f>
        <v>0</v>
      </c>
      <c r="Q95">
        <f>IF('Hyd Sum'!$AZ$10=1,0,J95*K95)</f>
        <v>0</v>
      </c>
    </row>
    <row r="96" spans="2:17" ht="12.75">
      <c r="B96" s="130">
        <f>IF('Hyd Sum'!$AZ$10=2,RCNTables!$B$28,IF('Hyd Sum'!$AZ$10=3,RCNTables!$B$43,IF('Hyd Sum'!$AZ$10=4,RCNTables!$B$58,IF('Hyd Sum'!$AZ$10=5,RCNTables!$B$73,""))))</f>
      </c>
      <c r="C96" s="131">
        <f>IF('Hyd Sum'!$AZ$10=2,RCNTables!$C$28,IF('Hyd Sum'!$AZ$10=3,RCNTables!$C$43,IF('Hyd Sum'!$AZ$10=4,RCNTables!$C$58,IF('Hyd Sum'!$AZ$10=5,RCNTables!$C$73,""))))</f>
      </c>
      <c r="D96" s="162"/>
      <c r="E96" s="132">
        <f>IF('Hyd Sum'!$AZ$10=2,RCNTables!$D$28,IF('Hyd Sum'!$AZ$10=3,RCNTables!$D$43,IF('Hyd Sum'!$AZ$10=4,RCNTables!$D$58,IF('Hyd Sum'!$AZ$10=5,RCNTables!$D$73,""))))</f>
      </c>
      <c r="F96" s="162"/>
      <c r="G96" s="132">
        <f>IF('Hyd Sum'!$AZ$10=2,RCNTables!$F$28,IF('Hyd Sum'!$AZ$10=3,RCNTables!$F$43,IF('Hyd Sum'!$AZ$10=4,RCNTables!$F$58,IF('Hyd Sum'!$AZ$10=5,RCNTables!$F$73,""))))</f>
      </c>
      <c r="H96" s="162"/>
      <c r="I96" s="132">
        <f>IF('Hyd Sum'!$AZ$10=2,RCNTables!$H$28,IF('Hyd Sum'!$AZ$10=3,RCNTables!$H$43,IF('Hyd Sum'!$AZ$10=4,RCNTables!$H$58,IF('Hyd Sum'!$AZ$10=5,RCNTables!$H$73,""))))</f>
      </c>
      <c r="J96" s="162"/>
      <c r="K96" s="155">
        <f>IF('Hyd Sum'!$AZ$10=2,RCNTables!$J$28,IF('Hyd Sum'!$AZ$10=3,RCNTables!$J$43,IF('Hyd Sum'!$AZ$10=4,RCNTables!$J$58,IF('Hyd Sum'!$AZ$10=5,RCNTables!$J$73,""))))</f>
      </c>
      <c r="N96">
        <f>IF('Hyd Sum'!$AZ$10=1,0,D96*E96)</f>
        <v>0</v>
      </c>
      <c r="O96">
        <f>IF('Hyd Sum'!$AZ$10=1,0,F96*G96)</f>
        <v>0</v>
      </c>
      <c r="P96">
        <f>IF('Hyd Sum'!$AZ$10=1,0,H96*I96)</f>
        <v>0</v>
      </c>
      <c r="Q96">
        <f>IF('Hyd Sum'!$AZ$10=1,0,J96*K96)</f>
        <v>0</v>
      </c>
    </row>
    <row r="97" spans="2:17" ht="12.75">
      <c r="B97" s="130">
        <f>IF('Hyd Sum'!$AZ$10=2,RCNTables!$B$29,IF('Hyd Sum'!$AZ$10=3,RCNTables!$B$44,IF('Hyd Sum'!$AZ$10=4,RCNTables!$B$59,IF('Hyd Sum'!$AZ$10=5,RCNTables!$B$74,""))))</f>
      </c>
      <c r="C97" s="131">
        <f>IF('Hyd Sum'!$AZ$10=2,RCNTables!$C$29,IF('Hyd Sum'!$AZ$10=3,RCNTables!$C$44,IF('Hyd Sum'!$AZ$10=4,RCNTables!$C$59,IF('Hyd Sum'!$AZ$10=5,RCNTables!$C$74,""))))</f>
      </c>
      <c r="D97" s="162"/>
      <c r="E97" s="132">
        <f>IF('Hyd Sum'!$AZ$10=2,RCNTables!$D$29,IF('Hyd Sum'!$AZ$10=3,RCNTables!$D$44,IF('Hyd Sum'!$AZ$10=4,RCNTables!$D$59,IF('Hyd Sum'!$AZ$10=5,RCNTables!$D$74,""))))</f>
      </c>
      <c r="F97" s="162"/>
      <c r="G97" s="132">
        <f>IF('Hyd Sum'!$AZ$10=2,RCNTables!$F$29,IF('Hyd Sum'!$AZ$10=3,RCNTables!$F$44,IF('Hyd Sum'!$AZ$10=4,RCNTables!$F$59,IF('Hyd Sum'!$AZ$10=5,RCNTables!$F$74,""))))</f>
      </c>
      <c r="H97" s="162"/>
      <c r="I97" s="132">
        <f>IF('Hyd Sum'!$AZ$10=2,RCNTables!$H$29,IF('Hyd Sum'!$AZ$10=3,RCNTables!$H$44,IF('Hyd Sum'!$AZ$10=4,RCNTables!$H$59,IF('Hyd Sum'!$AZ$10=5,RCNTables!$H$74,""))))</f>
      </c>
      <c r="J97" s="162"/>
      <c r="K97" s="155">
        <f>IF('Hyd Sum'!$AZ$10=2,RCNTables!$J$29,IF('Hyd Sum'!$AZ$10=3,RCNTables!$J$44,IF('Hyd Sum'!$AZ$10=4,RCNTables!$J$59,IF('Hyd Sum'!$AZ$10=5,RCNTables!$J$74,""))))</f>
      </c>
      <c r="N97">
        <f>IF('Hyd Sum'!$AZ$10=1,0,D97*E97)</f>
        <v>0</v>
      </c>
      <c r="O97">
        <f>IF('Hyd Sum'!$AZ$10=1,0,F97*G97)</f>
        <v>0</v>
      </c>
      <c r="P97">
        <f>IF('Hyd Sum'!$AZ$10=1,0,H97*I97)</f>
        <v>0</v>
      </c>
      <c r="Q97">
        <f>IF('Hyd Sum'!$AZ$10=1,0,J97*K97)</f>
        <v>0</v>
      </c>
    </row>
    <row r="98" spans="2:17" ht="12.75">
      <c r="B98" s="130">
        <f>IF('Hyd Sum'!$AZ$10=2,RCNTables!$B$30,IF('Hyd Sum'!$AZ$10=3,RCNTables!$B$45,IF('Hyd Sum'!$AZ$10=4,RCNTables!$B$60,IF('Hyd Sum'!$AZ$10=5,RCNTables!$B$75,""))))</f>
      </c>
      <c r="C98" s="131">
        <f>IF('Hyd Sum'!$AZ$10=2,RCNTables!$C$30,IF('Hyd Sum'!$AZ$10=3,RCNTables!$C$45,IF('Hyd Sum'!$AZ$10=4,RCNTables!$C$60,IF('Hyd Sum'!$AZ$10=5,RCNTables!$C$75,""))))</f>
      </c>
      <c r="D98" s="162"/>
      <c r="E98" s="132">
        <f>IF('Hyd Sum'!$AZ$10=2,RCNTables!$D$30,IF('Hyd Sum'!$AZ$10=3,RCNTables!$D$45,IF('Hyd Sum'!$AZ$10=4,RCNTables!$D$60,IF('Hyd Sum'!$AZ$10=5,RCNTables!$D$75,""))))</f>
      </c>
      <c r="F98" s="162"/>
      <c r="G98" s="132">
        <f>IF('Hyd Sum'!$AZ$10=2,RCNTables!$F$30,IF('Hyd Sum'!$AZ$10=3,RCNTables!$F$45,IF('Hyd Sum'!$AZ$10=4,RCNTables!$F$60,IF('Hyd Sum'!$AZ$10=5,RCNTables!$F$75,""))))</f>
      </c>
      <c r="H98" s="162"/>
      <c r="I98" s="132">
        <f>IF('Hyd Sum'!$AZ$10=2,RCNTables!$H$30,IF('Hyd Sum'!$AZ$10=3,RCNTables!$H$45,IF('Hyd Sum'!$AZ$10=4,RCNTables!$H$60,IF('Hyd Sum'!$AZ$10=5,RCNTables!$H$75,""))))</f>
      </c>
      <c r="J98" s="162"/>
      <c r="K98" s="155">
        <f>IF('Hyd Sum'!$AZ$10=2,RCNTables!$J$30,IF('Hyd Sum'!$AZ$10=3,RCNTables!$J$45,IF('Hyd Sum'!$AZ$10=4,RCNTables!$J$60,IF('Hyd Sum'!$AZ$10=5,RCNTables!$J$75,""))))</f>
      </c>
      <c r="N98">
        <f>IF('Hyd Sum'!$AZ$10=1,0,D98*E98)</f>
        <v>0</v>
      </c>
      <c r="O98">
        <f>IF('Hyd Sum'!$AZ$10=1,0,F98*G98)</f>
        <v>0</v>
      </c>
      <c r="P98">
        <f>IF('Hyd Sum'!$AZ$10=1,0,H98*I98)</f>
        <v>0</v>
      </c>
      <c r="Q98">
        <f>IF('Hyd Sum'!$AZ$10=1,0,J98*K98)</f>
        <v>0</v>
      </c>
    </row>
    <row r="99" spans="2:17" ht="12.75">
      <c r="B99" s="130">
        <f>IF('Hyd Sum'!$AZ$10=2,RCNTables!$B$31,IF('Hyd Sum'!$AZ$10=3,RCNTables!$B$46,IF('Hyd Sum'!$AZ$10=4,RCNTables!$B$61,IF('Hyd Sum'!$AZ$10=5,RCNTables!$B$76,""))))</f>
      </c>
      <c r="C99" s="131">
        <f>IF('Hyd Sum'!$AZ$10=2,RCNTables!$C$31,IF('Hyd Sum'!$AZ$10=3,RCNTables!$C$46,IF('Hyd Sum'!$AZ$10=4,RCNTables!$C$61,IF('Hyd Sum'!$AZ$10=5,RCNTables!$C$76,""))))</f>
      </c>
      <c r="D99" s="162"/>
      <c r="E99" s="132">
        <f>IF('Hyd Sum'!$AZ$10=2,RCNTables!$D$31,IF('Hyd Sum'!$AZ$10=3,RCNTables!$D$46,IF('Hyd Sum'!$AZ$10=4,RCNTables!$D$61,IF('Hyd Sum'!$AZ$10=5,RCNTables!$D$76,""))))</f>
      </c>
      <c r="F99" s="162"/>
      <c r="G99" s="132">
        <f>IF('Hyd Sum'!$AZ$10=2,RCNTables!$F$31,IF('Hyd Sum'!$AZ$10=3,RCNTables!$F$46,IF('Hyd Sum'!$AZ$10=4,RCNTables!$F$61,IF('Hyd Sum'!$AZ$10=5,RCNTables!$F$76,""))))</f>
      </c>
      <c r="H99" s="162"/>
      <c r="I99" s="132">
        <f>IF('Hyd Sum'!$AZ$10=2,RCNTables!$H$31,IF('Hyd Sum'!$AZ$10=3,RCNTables!$H$46,IF('Hyd Sum'!$AZ$10=4,RCNTables!$H$61,IF('Hyd Sum'!$AZ$10=5,RCNTables!$H$76,""))))</f>
      </c>
      <c r="J99" s="162"/>
      <c r="K99" s="155">
        <f>IF('Hyd Sum'!$AZ$10=2,RCNTables!$J$31,IF('Hyd Sum'!$AZ$10=3,RCNTables!$J$46,IF('Hyd Sum'!$AZ$10=4,RCNTables!$J$61,IF('Hyd Sum'!$AZ$10=5,RCNTables!$J$76,""))))</f>
      </c>
      <c r="N99">
        <f>IF('Hyd Sum'!$AZ$10=1,0,D99*E99)</f>
        <v>0</v>
      </c>
      <c r="O99">
        <f>IF('Hyd Sum'!$AZ$10=1,0,F99*G99)</f>
        <v>0</v>
      </c>
      <c r="P99">
        <f>IF('Hyd Sum'!$AZ$10=1,0,H99*I99)</f>
        <v>0</v>
      </c>
      <c r="Q99">
        <f>IF('Hyd Sum'!$AZ$10=1,0,J99*K99)</f>
        <v>0</v>
      </c>
    </row>
    <row r="100" spans="2:17" ht="12.75">
      <c r="B100" s="130">
        <f>IF('Hyd Sum'!$AZ$10=2,RCNTables!$B$32,IF('Hyd Sum'!$AZ$10=3,RCNTables!$B$47,IF('Hyd Sum'!$AZ$10=4,RCNTables!$B$62,IF('Hyd Sum'!$AZ$10=5,RCNTables!$B$77,""))))</f>
      </c>
      <c r="C100" s="131">
        <f>IF('Hyd Sum'!$AZ$10=2,RCNTables!$C$32,IF('Hyd Sum'!$AZ$10=3,RCNTables!$C$47,IF('Hyd Sum'!$AZ$10=4,RCNTables!$C$62,IF('Hyd Sum'!$AZ$10=5,RCNTables!$C$77,""))))</f>
      </c>
      <c r="D100" s="162"/>
      <c r="E100" s="132">
        <f>IF('Hyd Sum'!$AZ$10=2,RCNTables!$D$32,IF('Hyd Sum'!$AZ$10=3,RCNTables!$D$47,IF('Hyd Sum'!$AZ$10=4,RCNTables!$D$62,IF('Hyd Sum'!$AZ$10=5,RCNTables!$D$77,""))))</f>
      </c>
      <c r="F100" s="162"/>
      <c r="G100" s="132">
        <f>IF('Hyd Sum'!$AZ$10=2,RCNTables!$F$32,IF('Hyd Sum'!$AZ$10=3,RCNTables!$F$47,IF('Hyd Sum'!$AZ$10=4,RCNTables!$F$62,IF('Hyd Sum'!$AZ$10=5,RCNTables!$F$77,""))))</f>
      </c>
      <c r="H100" s="162"/>
      <c r="I100" s="132">
        <f>IF('Hyd Sum'!$AZ$10=2,RCNTables!H32,IF('Hyd Sum'!$AZ$10=3,RCNTables!H47,IF('Hyd Sum'!$AZ$10=4,RCNTables!H62,IF('Hyd Sum'!$AZ$10=5,RCNTables!H77,""))))</f>
      </c>
      <c r="J100" s="162"/>
      <c r="K100" s="155">
        <f>IF('Hyd Sum'!$AZ$10=2,RCNTables!$J$32,IF('Hyd Sum'!$AZ$10=3,RCNTables!$J$47,IF('Hyd Sum'!$AZ$10=4,RCNTables!$J$62,IF('Hyd Sum'!$AZ$10=5,RCNTables!$J$77,""))))</f>
      </c>
      <c r="N100">
        <f>IF('Hyd Sum'!$AZ$10=1,0,D100*E100)</f>
        <v>0</v>
      </c>
      <c r="O100">
        <f>IF('Hyd Sum'!$AZ$10=1,0,F100*G100)</f>
        <v>0</v>
      </c>
      <c r="P100">
        <f>IF('Hyd Sum'!$AZ$10=1,0,H100*I100)</f>
        <v>0</v>
      </c>
      <c r="Q100">
        <f>IF('Hyd Sum'!$AZ$10=1,0,J100*K100)</f>
        <v>0</v>
      </c>
    </row>
    <row r="101" spans="2:24" ht="12.75">
      <c r="B101" s="130">
        <f>IF('Hyd Sum'!$AZ$10=2,RCNTables!$B$33,IF('Hyd Sum'!$AZ$10=3,RCNTables!$B$48,IF('Hyd Sum'!$AZ$10=4,RCNTables!$B$63,IF('Hyd Sum'!$AZ$10=5,RCNTables!$B$78,""))))</f>
      </c>
      <c r="C101" s="131">
        <f>IF('Hyd Sum'!$AZ$10=2,RCNTables!$C$33,IF('Hyd Sum'!$AZ$10=3,RCNTables!$C$48,IF('Hyd Sum'!$AZ$10=4,RCNTables!$C$63,IF('Hyd Sum'!$AZ$10=5,RCNTables!$C$78,""))))</f>
      </c>
      <c r="D101" s="162"/>
      <c r="E101" s="132">
        <f>IF('Hyd Sum'!$AZ$10=2,RCNTables!$D$33,IF('Hyd Sum'!$AZ$10=3,RCNTables!$D$48,IF('Hyd Sum'!$AZ$10=4,RCNTables!$D$63,IF('Hyd Sum'!$AZ$10=5,RCNTables!$D$78,""))))</f>
      </c>
      <c r="F101" s="162"/>
      <c r="G101" s="132">
        <f>IF('Hyd Sum'!$AZ$10=2,RCNTables!$F$33,IF('Hyd Sum'!$AZ$10=3,RCNTables!$F$48,IF('Hyd Sum'!$AZ$10=4,RCNTables!$F$63,IF('Hyd Sum'!$AZ$10=5,RCNTables!$F$78,""))))</f>
      </c>
      <c r="H101" s="162"/>
      <c r="I101" s="132">
        <f>IF('Hyd Sum'!$AZ$10=2,RCNTables!H33,IF('Hyd Sum'!$AZ$10=3,RCNTables!H48,IF('Hyd Sum'!$AZ$10=4,RCNTables!H63,IF('Hyd Sum'!$AZ$10=5,RCNTables!H78,""))))</f>
      </c>
      <c r="J101" s="162"/>
      <c r="K101" s="155">
        <f>IF('Hyd Sum'!$AZ$10=2,RCNTables!$J$33,IF('Hyd Sum'!$AZ$10=3,RCNTables!$J$48,IF('Hyd Sum'!$AZ$10=4,RCNTables!$J$63,IF('Hyd Sum'!$AZ$10=5,RCNTables!$J$78,""))))</f>
      </c>
      <c r="N101">
        <f>IF('Hyd Sum'!$AZ$10=1,0,D101*E101)</f>
        <v>0</v>
      </c>
      <c r="O101">
        <f>IF('Hyd Sum'!$AZ$10=1,0,F101*G101)</f>
        <v>0</v>
      </c>
      <c r="P101">
        <f>IF('Hyd Sum'!$AZ$10=1,0,H101*I101)</f>
        <v>0</v>
      </c>
      <c r="Q101">
        <f>IF('Hyd Sum'!$AZ$10=1,0,J101*K101)</f>
        <v>0</v>
      </c>
      <c r="U101">
        <f>IF($D9=$D67,SUM(N45+N103),N103)</f>
        <v>0</v>
      </c>
      <c r="V101">
        <f>IF($D9=$D67,SUM(O45+O103),O103)</f>
        <v>0</v>
      </c>
      <c r="W101">
        <f>IF($D9=$D67,SUM(P45+P103),P103)</f>
        <v>0</v>
      </c>
      <c r="X101">
        <f>IF($D9=$D67,SUM(Q45+Q103),Q103)</f>
        <v>0</v>
      </c>
    </row>
    <row r="102" spans="2:11" ht="12.75">
      <c r="B102" s="156"/>
      <c r="C102" s="157"/>
      <c r="D102" s="138" t="s">
        <v>39</v>
      </c>
      <c r="E102" s="139" t="s">
        <v>34</v>
      </c>
      <c r="F102" s="138" t="s">
        <v>39</v>
      </c>
      <c r="G102" s="139" t="s">
        <v>35</v>
      </c>
      <c r="H102" s="138" t="s">
        <v>39</v>
      </c>
      <c r="I102" s="139" t="s">
        <v>36</v>
      </c>
      <c r="J102" s="138" t="s">
        <v>39</v>
      </c>
      <c r="K102" s="153" t="s">
        <v>37</v>
      </c>
    </row>
    <row r="103" spans="2:24" ht="12.75">
      <c r="B103" s="69"/>
      <c r="C103" s="140" t="s">
        <v>391</v>
      </c>
      <c r="D103" s="140">
        <f>IF(SUM(D72:D101)=0,"",SUM(D72:D101))</f>
      </c>
      <c r="E103" s="28"/>
      <c r="F103" s="140">
        <f>IF(SUM(F72:F101)=0,"",SUM(F72:F101))</f>
      </c>
      <c r="G103" s="28"/>
      <c r="H103" s="140">
        <f>IF(SUM(H72:H101)=0,"",SUM(H72:H101))</f>
      </c>
      <c r="I103" s="28"/>
      <c r="J103" s="15">
        <f>IF(SUM(J72:J101)=0,"",SUM(J72:J101))</f>
      </c>
      <c r="K103" s="158"/>
      <c r="N103">
        <f>SUM(N72:N101)</f>
        <v>0</v>
      </c>
      <c r="O103">
        <f>SUM(O72:O101)</f>
        <v>0</v>
      </c>
      <c r="P103">
        <f>SUM(P72:P101)</f>
        <v>0</v>
      </c>
      <c r="Q103">
        <f>SUM(Q72:Q101)</f>
        <v>0</v>
      </c>
      <c r="U103">
        <f>IF($D106=0,0,IF(U101=0,0,1))</f>
        <v>0</v>
      </c>
      <c r="V103">
        <f>IF($D106=0,0,IF(V101=0,0,1))</f>
        <v>0</v>
      </c>
      <c r="W103">
        <f>IF($D106=0,0,IF(W101=0,0,1))</f>
        <v>0</v>
      </c>
      <c r="X103">
        <f>IF($D106=0,0,IF(X101=0,0,1))</f>
        <v>0</v>
      </c>
    </row>
    <row r="104" spans="2:11" ht="12.75">
      <c r="B104" s="69"/>
      <c r="C104" s="140" t="str">
        <f>IF(D9=D67,"Additional Acres  "," ")</f>
        <v>Additional Acres  </v>
      </c>
      <c r="D104" s="159">
        <f>IF(SUM(D103:J103)=0,"",SUM(D103:J103))</f>
      </c>
      <c r="E104" s="13" t="s">
        <v>181</v>
      </c>
      <c r="F104" s="16"/>
      <c r="G104" s="71"/>
      <c r="H104" s="72"/>
      <c r="I104" s="71"/>
      <c r="J104" s="72"/>
      <c r="K104" s="76"/>
    </row>
    <row r="105" spans="2:14" ht="12.75">
      <c r="B105" s="69"/>
      <c r="C105" s="143"/>
      <c r="D105" s="24"/>
      <c r="E105" s="71"/>
      <c r="F105" s="72"/>
      <c r="G105" s="71"/>
      <c r="H105" s="72"/>
      <c r="I105" s="71"/>
      <c r="J105" s="72"/>
      <c r="K105" s="76"/>
      <c r="N105">
        <f>SUM(N103:Q103)</f>
        <v>0</v>
      </c>
    </row>
    <row r="106" spans="2:26" ht="12.75">
      <c r="B106" s="69"/>
      <c r="C106" s="73" t="s">
        <v>392</v>
      </c>
      <c r="D106" s="160">
        <f>IF(D104="","",IF(D9=D67,SUM(D104+D48),D104))</f>
      </c>
      <c r="E106" s="74" t="s">
        <v>181</v>
      </c>
      <c r="F106" s="2"/>
      <c r="G106" s="72"/>
      <c r="H106" s="72"/>
      <c r="I106" s="72"/>
      <c r="J106" s="72"/>
      <c r="K106" s="76"/>
      <c r="N106">
        <f>IF(D9=D67,SUM(N47+N105),N105)</f>
        <v>0</v>
      </c>
      <c r="U106">
        <f>U103*1000</f>
        <v>0</v>
      </c>
      <c r="V106">
        <f>V103*100</f>
        <v>0</v>
      </c>
      <c r="W106">
        <f>W103*10</f>
        <v>0</v>
      </c>
      <c r="X106">
        <f>X103*1</f>
        <v>0</v>
      </c>
      <c r="Y106">
        <f>SUM(U106:X106)</f>
        <v>0</v>
      </c>
      <c r="Z106">
        <f>IF(D106="","",VLOOKUP(Y106,$AA$26:$AB$40,2))</f>
      </c>
    </row>
    <row r="107" spans="2:11" ht="12.75">
      <c r="B107" s="69"/>
      <c r="C107" s="73" t="s">
        <v>390</v>
      </c>
      <c r="D107" s="161">
        <f>IF(D106="","",ROUND(N106/D106,0))</f>
      </c>
      <c r="E107" s="2"/>
      <c r="F107" s="74">
        <f>IF(D107&gt;59.99,"","60 min.")</f>
      </c>
      <c r="G107" s="13"/>
      <c r="H107" s="72"/>
      <c r="I107" s="72"/>
      <c r="J107" s="72"/>
      <c r="K107" s="76"/>
    </row>
    <row r="108" spans="2:11" ht="12.75">
      <c r="B108" s="69"/>
      <c r="C108" s="73"/>
      <c r="D108" s="434"/>
      <c r="E108" s="2"/>
      <c r="F108" s="74"/>
      <c r="G108" s="13"/>
      <c r="H108" s="72"/>
      <c r="I108" s="72"/>
      <c r="J108" s="72"/>
      <c r="K108" s="76"/>
    </row>
    <row r="109" spans="2:11" ht="12.75">
      <c r="B109" s="69" t="s">
        <v>251</v>
      </c>
      <c r="C109" s="70"/>
      <c r="D109" s="70"/>
      <c r="E109" s="70"/>
      <c r="F109" s="70"/>
      <c r="G109" s="70"/>
      <c r="H109" s="70"/>
      <c r="I109" s="70"/>
      <c r="J109" s="70"/>
      <c r="K109" s="77"/>
    </row>
    <row r="110" spans="2:11" ht="12.75">
      <c r="B110" s="69" t="s">
        <v>266</v>
      </c>
      <c r="C110" s="70"/>
      <c r="D110" s="70"/>
      <c r="E110" s="70"/>
      <c r="F110" s="70"/>
      <c r="G110" s="70"/>
      <c r="H110" s="70"/>
      <c r="I110" s="70"/>
      <c r="J110" s="70"/>
      <c r="K110" s="77"/>
    </row>
    <row r="111" spans="2:11" ht="12.75">
      <c r="B111" s="69" t="s">
        <v>409</v>
      </c>
      <c r="C111" s="70"/>
      <c r="D111" s="70"/>
      <c r="E111" s="70"/>
      <c r="F111" s="70"/>
      <c r="G111" s="70"/>
      <c r="H111" s="70"/>
      <c r="I111" s="70"/>
      <c r="J111" s="70"/>
      <c r="K111" s="77"/>
    </row>
    <row r="112" spans="2:11" ht="12.75" customHeight="1">
      <c r="B112" s="369" t="s">
        <v>263</v>
      </c>
      <c r="C112" s="70"/>
      <c r="D112" s="70"/>
      <c r="E112" s="70"/>
      <c r="F112" s="70"/>
      <c r="G112" s="70"/>
      <c r="H112" s="70"/>
      <c r="I112" s="70"/>
      <c r="J112" s="70"/>
      <c r="K112" s="77"/>
    </row>
    <row r="113" spans="2:11" ht="12.75">
      <c r="B113" s="69" t="s">
        <v>252</v>
      </c>
      <c r="C113" s="70"/>
      <c r="D113" s="70"/>
      <c r="E113" s="70"/>
      <c r="F113" s="70"/>
      <c r="G113" s="70"/>
      <c r="H113" s="70"/>
      <c r="I113" s="70"/>
      <c r="J113" s="70"/>
      <c r="K113" s="77"/>
    </row>
    <row r="114" spans="2:11" ht="12.75">
      <c r="B114" s="369" t="s">
        <v>264</v>
      </c>
      <c r="C114" s="70"/>
      <c r="D114" s="70"/>
      <c r="E114" s="70"/>
      <c r="F114" s="70"/>
      <c r="G114" s="70"/>
      <c r="H114" s="70"/>
      <c r="I114" s="70"/>
      <c r="J114" s="70"/>
      <c r="K114" s="77"/>
    </row>
    <row r="115" spans="2:11" ht="12.75">
      <c r="B115" s="69" t="s">
        <v>253</v>
      </c>
      <c r="C115" s="70"/>
      <c r="D115" s="70"/>
      <c r="E115" s="70"/>
      <c r="F115" s="70"/>
      <c r="G115" s="70"/>
      <c r="H115" s="70"/>
      <c r="I115" s="70"/>
      <c r="J115" s="70"/>
      <c r="K115" s="77"/>
    </row>
    <row r="116" spans="2:11" ht="12.75" customHeight="1">
      <c r="B116" s="69" t="s">
        <v>262</v>
      </c>
      <c r="C116" s="70"/>
      <c r="D116" s="70"/>
      <c r="E116" s="70"/>
      <c r="F116" s="70"/>
      <c r="G116" s="70"/>
      <c r="H116" s="70"/>
      <c r="I116" s="70"/>
      <c r="J116" s="70"/>
      <c r="K116" s="77"/>
    </row>
    <row r="117" spans="2:11" ht="12.75" customHeight="1" thickBot="1">
      <c r="B117" s="78"/>
      <c r="C117" s="79"/>
      <c r="D117" s="79"/>
      <c r="E117" s="79"/>
      <c r="F117" s="79"/>
      <c r="G117" s="79"/>
      <c r="H117" s="79"/>
      <c r="I117" s="79"/>
      <c r="J117" s="79"/>
      <c r="K117" s="80"/>
    </row>
    <row r="118" ht="12.75" customHeight="1"/>
    <row r="161" ht="12.75" customHeight="1"/>
    <row r="165" ht="12.75" customHeight="1"/>
    <row r="166" ht="12.75" customHeight="1"/>
    <row r="167" ht="12.75" customHeight="1"/>
    <row r="210" ht="12.75" customHeight="1"/>
    <row r="214" ht="12.75" customHeight="1"/>
    <row r="215" ht="12.75" customHeight="1"/>
    <row r="216" ht="12.75" customHeight="1"/>
    <row r="259" ht="12.75" customHeight="1"/>
    <row r="263" ht="12.75" customHeight="1"/>
    <row r="264" ht="12.75" customHeight="1"/>
    <row r="265" ht="12.75" customHeight="1"/>
    <row r="308" ht="12.75" customHeight="1"/>
    <row r="312" ht="12.75" customHeight="1"/>
    <row r="313" ht="12.75" customHeight="1"/>
    <row r="314" ht="12.75" customHeight="1"/>
  </sheetData>
  <sheetProtection password="B271" sheet="1" objects="1" scenarios="1"/>
  <mergeCells count="30">
    <mergeCell ref="D70:E70"/>
    <mergeCell ref="F70:G70"/>
    <mergeCell ref="H70:I70"/>
    <mergeCell ref="E6:F6"/>
    <mergeCell ref="E7:F7"/>
    <mergeCell ref="G64:K64"/>
    <mergeCell ref="G65:K65"/>
    <mergeCell ref="J70:K70"/>
    <mergeCell ref="D69:K69"/>
    <mergeCell ref="H61:K61"/>
    <mergeCell ref="H1:K1"/>
    <mergeCell ref="E5:F5"/>
    <mergeCell ref="E4:F4"/>
    <mergeCell ref="H2:K2"/>
    <mergeCell ref="G4:K4"/>
    <mergeCell ref="G5:K5"/>
    <mergeCell ref="C2:F2"/>
    <mergeCell ref="C67:G67"/>
    <mergeCell ref="D12:E12"/>
    <mergeCell ref="F12:G12"/>
    <mergeCell ref="H12:I12"/>
    <mergeCell ref="E64:F64"/>
    <mergeCell ref="E65:F65"/>
    <mergeCell ref="H62:K62"/>
    <mergeCell ref="C62:F62"/>
    <mergeCell ref="J12:K12"/>
    <mergeCell ref="G6:K6"/>
    <mergeCell ref="G7:K7"/>
    <mergeCell ref="D11:K11"/>
    <mergeCell ref="C9:G9"/>
  </mergeCells>
  <conditionalFormatting sqref="D107:D108 D49 E50">
    <cfRule type="cellIs" priority="1" dxfId="0" operator="lessThan" stopIfTrue="1">
      <formula>60</formula>
    </cfRule>
  </conditionalFormatting>
  <dataValidations count="3">
    <dataValidation type="custom" allowBlank="1" showInputMessage="1" showErrorMessage="1" errorTitle="ACRES TO LARGE" error="Acres must be between 1 and 2000." sqref="D14:D43">
      <formula1>$D$48&lt;2000.1</formula1>
    </dataValidation>
    <dataValidation type="custom" allowBlank="1" showInputMessage="1" showErrorMessage="1" errorTitle="TOTAL ACRES TO LARGE" error="Total acres must be between 1 and 2000." sqref="H14:H43 J14:J43 F14:F43">
      <formula1>$D$48&lt;2000.1</formula1>
    </dataValidation>
    <dataValidation type="custom" allowBlank="1" showInputMessage="1" showErrorMessage="1" errorTitle="ACRES TO LARGE" error="Acres must be between 1 and 2000." sqref="F72:F101 H72:H101 J72:J101 D72:D101">
      <formula1>$D$106&lt;2000.1</formula1>
    </dataValidation>
  </dataValidations>
  <printOptions/>
  <pageMargins left="0.75" right="0.25" top="0.75" bottom="0" header="0.5" footer="0.5"/>
  <pageSetup blackAndWhite="1" fitToHeight="2" horizontalDpi="600" verticalDpi="600" orientation="portrait" scale="90" r:id="rId3"/>
  <rowBreaks count="5" manualBreakCount="5">
    <brk id="60" max="255" man="1"/>
    <brk id="159" max="255" man="1"/>
    <brk id="208" max="255" man="1"/>
    <brk id="257" max="255" man="1"/>
    <brk id="306"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17"/>
  <dimension ref="A1:K90"/>
  <sheetViews>
    <sheetView workbookViewId="0" topLeftCell="A1">
      <selection activeCell="C64" sqref="C64:C78"/>
    </sheetView>
  </sheetViews>
  <sheetFormatPr defaultColWidth="9.140625" defaultRowHeight="12.75"/>
  <cols>
    <col min="2" max="2" width="14.57421875" style="0" bestFit="1" customWidth="1"/>
    <col min="3" max="3" width="43.28125" style="0" bestFit="1" customWidth="1"/>
    <col min="4" max="4" width="3.00390625" style="0" customWidth="1"/>
    <col min="5" max="5" width="5.00390625" style="0" customWidth="1"/>
    <col min="6" max="6" width="3.00390625" style="0" customWidth="1"/>
    <col min="7" max="7" width="5.00390625" style="0" customWidth="1"/>
    <col min="8" max="8" width="3.00390625" style="0" customWidth="1"/>
    <col min="9" max="9" width="5.00390625" style="0" customWidth="1"/>
    <col min="10" max="10" width="3.00390625" style="0" customWidth="1"/>
    <col min="11" max="11" width="5.00390625" style="0" customWidth="1"/>
    <col min="12" max="12" width="3.00390625" style="0" customWidth="1"/>
    <col min="13" max="16384" width="0" style="0" hidden="1" customWidth="1"/>
  </cols>
  <sheetData>
    <row r="1" ht="12.75">
      <c r="C1" s="2" t="s">
        <v>38</v>
      </c>
    </row>
    <row r="2" spans="3:4" ht="12.75">
      <c r="C2" t="s">
        <v>269</v>
      </c>
      <c r="D2" s="2" t="s">
        <v>33</v>
      </c>
    </row>
    <row r="3" spans="4:11" ht="12.75">
      <c r="D3" s="2" t="s">
        <v>34</v>
      </c>
      <c r="E3" s="2" t="s">
        <v>39</v>
      </c>
      <c r="F3" s="2" t="s">
        <v>35</v>
      </c>
      <c r="G3" s="2" t="s">
        <v>39</v>
      </c>
      <c r="H3" s="2" t="s">
        <v>36</v>
      </c>
      <c r="I3" s="2" t="s">
        <v>39</v>
      </c>
      <c r="J3" s="2" t="s">
        <v>37</v>
      </c>
      <c r="K3" s="2" t="s">
        <v>39</v>
      </c>
    </row>
    <row r="4" spans="1:10" ht="12.75">
      <c r="A4">
        <v>1</v>
      </c>
      <c r="B4" s="2" t="s">
        <v>38</v>
      </c>
      <c r="C4" s="127" t="s">
        <v>267</v>
      </c>
      <c r="D4">
        <v>75</v>
      </c>
      <c r="F4">
        <v>84</v>
      </c>
      <c r="H4">
        <v>89</v>
      </c>
      <c r="J4">
        <v>92</v>
      </c>
    </row>
    <row r="5" spans="1:10" ht="12.75">
      <c r="A5">
        <v>1</v>
      </c>
      <c r="B5" s="2" t="s">
        <v>38</v>
      </c>
      <c r="C5" s="127" t="s">
        <v>250</v>
      </c>
      <c r="D5">
        <v>70</v>
      </c>
      <c r="F5">
        <v>79</v>
      </c>
      <c r="H5">
        <v>85</v>
      </c>
      <c r="J5">
        <v>88</v>
      </c>
    </row>
    <row r="6" spans="1:10" ht="12.75">
      <c r="A6">
        <v>1</v>
      </c>
      <c r="B6" s="2" t="s">
        <v>38</v>
      </c>
      <c r="C6" s="127" t="s">
        <v>254</v>
      </c>
      <c r="D6">
        <v>69</v>
      </c>
      <c r="F6">
        <v>78</v>
      </c>
      <c r="H6">
        <v>85</v>
      </c>
      <c r="J6">
        <v>88</v>
      </c>
    </row>
    <row r="7" spans="1:10" ht="12.75">
      <c r="A7">
        <v>1</v>
      </c>
      <c r="B7" s="2" t="s">
        <v>38</v>
      </c>
      <c r="C7" s="127" t="s">
        <v>255</v>
      </c>
      <c r="D7">
        <v>67</v>
      </c>
      <c r="F7">
        <v>77</v>
      </c>
      <c r="H7">
        <v>82</v>
      </c>
      <c r="J7">
        <v>86</v>
      </c>
    </row>
    <row r="8" spans="1:10" ht="12.75">
      <c r="A8">
        <v>1</v>
      </c>
      <c r="B8" s="2" t="s">
        <v>38</v>
      </c>
      <c r="C8" s="127" t="s">
        <v>256</v>
      </c>
      <c r="D8">
        <v>64</v>
      </c>
      <c r="F8">
        <v>72</v>
      </c>
      <c r="H8">
        <v>78</v>
      </c>
      <c r="J8">
        <v>81</v>
      </c>
    </row>
    <row r="9" spans="1:10" ht="12.75">
      <c r="A9">
        <v>1</v>
      </c>
      <c r="B9" s="2" t="s">
        <v>38</v>
      </c>
      <c r="C9" s="127" t="s">
        <v>257</v>
      </c>
      <c r="D9">
        <v>63</v>
      </c>
      <c r="F9">
        <v>74</v>
      </c>
      <c r="H9">
        <v>82</v>
      </c>
      <c r="J9">
        <v>85</v>
      </c>
    </row>
    <row r="10" spans="1:10" ht="12.75">
      <c r="A10">
        <v>1</v>
      </c>
      <c r="B10" s="2" t="s">
        <v>38</v>
      </c>
      <c r="C10" s="127" t="s">
        <v>258</v>
      </c>
      <c r="D10">
        <v>61</v>
      </c>
      <c r="F10">
        <v>73</v>
      </c>
      <c r="H10">
        <v>81</v>
      </c>
      <c r="J10">
        <v>84</v>
      </c>
    </row>
    <row r="11" spans="1:10" ht="12.75">
      <c r="A11">
        <v>1</v>
      </c>
      <c r="B11" s="2" t="s">
        <v>38</v>
      </c>
      <c r="C11" s="127" t="s">
        <v>268</v>
      </c>
      <c r="D11">
        <v>59</v>
      </c>
      <c r="F11">
        <v>70</v>
      </c>
      <c r="H11">
        <v>78</v>
      </c>
      <c r="J11">
        <v>81</v>
      </c>
    </row>
    <row r="12" spans="1:10" ht="12.75">
      <c r="A12">
        <v>1</v>
      </c>
      <c r="B12" s="2" t="s">
        <v>38</v>
      </c>
      <c r="C12" s="127" t="s">
        <v>321</v>
      </c>
      <c r="D12">
        <v>50</v>
      </c>
      <c r="F12">
        <v>60</v>
      </c>
      <c r="H12">
        <v>67</v>
      </c>
      <c r="J12">
        <v>70</v>
      </c>
    </row>
    <row r="13" spans="1:10" ht="12.75">
      <c r="A13">
        <v>1</v>
      </c>
      <c r="B13" s="2" t="s">
        <v>38</v>
      </c>
      <c r="C13" s="127" t="s">
        <v>322</v>
      </c>
      <c r="D13">
        <v>68</v>
      </c>
      <c r="F13">
        <v>79</v>
      </c>
      <c r="H13">
        <v>86</v>
      </c>
      <c r="J13">
        <v>89</v>
      </c>
    </row>
    <row r="14" spans="1:10" ht="12.75">
      <c r="A14">
        <v>1</v>
      </c>
      <c r="B14" s="2" t="s">
        <v>38</v>
      </c>
      <c r="C14" s="127" t="s">
        <v>323</v>
      </c>
      <c r="D14">
        <v>50</v>
      </c>
      <c r="F14">
        <v>69</v>
      </c>
      <c r="H14">
        <v>79</v>
      </c>
      <c r="J14">
        <v>84</v>
      </c>
    </row>
    <row r="15" spans="1:10" ht="12.75">
      <c r="A15">
        <v>1</v>
      </c>
      <c r="B15" s="2" t="s">
        <v>38</v>
      </c>
      <c r="C15" s="127" t="s">
        <v>324</v>
      </c>
      <c r="D15">
        <v>50</v>
      </c>
      <c r="F15">
        <v>61</v>
      </c>
      <c r="H15">
        <v>74</v>
      </c>
      <c r="J15">
        <v>80</v>
      </c>
    </row>
    <row r="16" spans="1:10" ht="12.75">
      <c r="A16">
        <v>1</v>
      </c>
      <c r="B16" s="2" t="s">
        <v>38</v>
      </c>
      <c r="C16" s="127" t="s">
        <v>260</v>
      </c>
      <c r="D16">
        <v>50</v>
      </c>
      <c r="F16">
        <v>66</v>
      </c>
      <c r="H16">
        <v>77</v>
      </c>
      <c r="J16">
        <v>83</v>
      </c>
    </row>
    <row r="17" spans="1:10" ht="12.75">
      <c r="A17">
        <v>1</v>
      </c>
      <c r="B17" s="2" t="s">
        <v>38</v>
      </c>
      <c r="C17" s="127" t="s">
        <v>261</v>
      </c>
      <c r="D17">
        <v>50</v>
      </c>
      <c r="F17">
        <v>60</v>
      </c>
      <c r="H17">
        <v>73</v>
      </c>
      <c r="J17">
        <v>79</v>
      </c>
    </row>
    <row r="18" spans="1:10" ht="12.75">
      <c r="A18">
        <v>1</v>
      </c>
      <c r="B18" s="2" t="s">
        <v>38</v>
      </c>
      <c r="C18" s="127" t="s">
        <v>259</v>
      </c>
      <c r="D18">
        <v>72</v>
      </c>
      <c r="F18">
        <v>82</v>
      </c>
      <c r="H18">
        <v>87</v>
      </c>
      <c r="J18">
        <v>89</v>
      </c>
    </row>
    <row r="19" spans="1:10" ht="12.75">
      <c r="A19">
        <v>2</v>
      </c>
      <c r="B19" s="2" t="s">
        <v>40</v>
      </c>
      <c r="C19" s="127" t="s">
        <v>267</v>
      </c>
      <c r="D19" s="1">
        <v>71</v>
      </c>
      <c r="F19">
        <v>81</v>
      </c>
      <c r="H19">
        <v>86</v>
      </c>
      <c r="J19">
        <v>90</v>
      </c>
    </row>
    <row r="20" spans="1:10" ht="12.75">
      <c r="A20">
        <v>2</v>
      </c>
      <c r="B20" s="2" t="s">
        <v>40</v>
      </c>
      <c r="C20" s="127" t="s">
        <v>250</v>
      </c>
      <c r="D20">
        <v>66</v>
      </c>
      <c r="F20">
        <v>76</v>
      </c>
      <c r="H20">
        <v>82</v>
      </c>
      <c r="J20">
        <v>85</v>
      </c>
    </row>
    <row r="21" spans="1:10" ht="12.75">
      <c r="A21">
        <v>2</v>
      </c>
      <c r="B21" s="2" t="s">
        <v>40</v>
      </c>
      <c r="C21" s="127" t="s">
        <v>254</v>
      </c>
      <c r="D21">
        <v>65</v>
      </c>
      <c r="F21">
        <v>74</v>
      </c>
      <c r="H21">
        <v>82</v>
      </c>
      <c r="J21">
        <v>85</v>
      </c>
    </row>
    <row r="22" spans="1:10" ht="12.75">
      <c r="A22">
        <v>2</v>
      </c>
      <c r="B22" s="2" t="s">
        <v>40</v>
      </c>
      <c r="C22" s="127" t="s">
        <v>255</v>
      </c>
      <c r="D22">
        <v>63</v>
      </c>
      <c r="F22">
        <v>73</v>
      </c>
      <c r="H22">
        <v>79</v>
      </c>
      <c r="J22">
        <v>83</v>
      </c>
    </row>
    <row r="23" spans="1:10" ht="12.75">
      <c r="A23">
        <v>2</v>
      </c>
      <c r="B23" s="2" t="s">
        <v>40</v>
      </c>
      <c r="C23" s="127" t="s">
        <v>256</v>
      </c>
      <c r="D23">
        <v>60</v>
      </c>
      <c r="F23">
        <v>68</v>
      </c>
      <c r="H23">
        <v>74</v>
      </c>
      <c r="J23">
        <v>78</v>
      </c>
    </row>
    <row r="24" spans="1:10" ht="12.75">
      <c r="A24">
        <v>2</v>
      </c>
      <c r="B24" s="2" t="s">
        <v>40</v>
      </c>
      <c r="C24" s="127" t="s">
        <v>257</v>
      </c>
      <c r="D24">
        <v>59</v>
      </c>
      <c r="F24">
        <v>70</v>
      </c>
      <c r="H24">
        <v>79</v>
      </c>
      <c r="J24">
        <v>82</v>
      </c>
    </row>
    <row r="25" spans="1:10" ht="12.75">
      <c r="A25">
        <v>2</v>
      </c>
      <c r="B25" s="2" t="s">
        <v>40</v>
      </c>
      <c r="C25" s="127" t="s">
        <v>258</v>
      </c>
      <c r="D25">
        <v>57</v>
      </c>
      <c r="F25">
        <v>69</v>
      </c>
      <c r="H25">
        <v>78</v>
      </c>
      <c r="J25">
        <v>81</v>
      </c>
    </row>
    <row r="26" spans="1:10" ht="12.75">
      <c r="A26">
        <v>2</v>
      </c>
      <c r="B26" s="2" t="s">
        <v>40</v>
      </c>
      <c r="C26" s="127" t="s">
        <v>268</v>
      </c>
      <c r="D26">
        <v>55</v>
      </c>
      <c r="F26">
        <v>66</v>
      </c>
      <c r="H26">
        <v>74</v>
      </c>
      <c r="J26">
        <v>78</v>
      </c>
    </row>
    <row r="27" spans="1:10" ht="12.75">
      <c r="A27">
        <v>2</v>
      </c>
      <c r="B27" s="2" t="s">
        <v>40</v>
      </c>
      <c r="C27" s="127" t="s">
        <v>321</v>
      </c>
      <c r="D27">
        <v>50</v>
      </c>
      <c r="F27">
        <v>56</v>
      </c>
      <c r="H27">
        <v>63</v>
      </c>
      <c r="J27">
        <v>66</v>
      </c>
    </row>
    <row r="28" spans="1:10" ht="12.75">
      <c r="A28">
        <v>2</v>
      </c>
      <c r="B28" s="2" t="s">
        <v>40</v>
      </c>
      <c r="C28" s="127" t="s">
        <v>322</v>
      </c>
      <c r="D28">
        <v>64</v>
      </c>
      <c r="F28">
        <v>76</v>
      </c>
      <c r="H28">
        <v>83</v>
      </c>
      <c r="J28">
        <v>86</v>
      </c>
    </row>
    <row r="29" spans="1:10" ht="12.75">
      <c r="A29">
        <v>2</v>
      </c>
      <c r="B29" s="2" t="s">
        <v>40</v>
      </c>
      <c r="C29" s="127" t="s">
        <v>323</v>
      </c>
      <c r="D29">
        <v>50</v>
      </c>
      <c r="F29">
        <v>65</v>
      </c>
      <c r="H29">
        <v>76</v>
      </c>
      <c r="J29">
        <v>81</v>
      </c>
    </row>
    <row r="30" spans="1:10" ht="12.75">
      <c r="A30">
        <v>2</v>
      </c>
      <c r="B30" s="2" t="s">
        <v>40</v>
      </c>
      <c r="C30" s="127" t="s">
        <v>324</v>
      </c>
      <c r="D30">
        <v>50</v>
      </c>
      <c r="F30">
        <v>57</v>
      </c>
      <c r="H30">
        <v>70</v>
      </c>
      <c r="J30">
        <v>77</v>
      </c>
    </row>
    <row r="31" spans="1:10" ht="12.75">
      <c r="A31">
        <v>2</v>
      </c>
      <c r="B31" s="2" t="s">
        <v>40</v>
      </c>
      <c r="C31" s="127" t="s">
        <v>260</v>
      </c>
      <c r="D31">
        <v>50</v>
      </c>
      <c r="F31">
        <v>62</v>
      </c>
      <c r="H31">
        <v>73</v>
      </c>
      <c r="J31">
        <v>80</v>
      </c>
    </row>
    <row r="32" spans="1:10" ht="12.75">
      <c r="A32">
        <v>2</v>
      </c>
      <c r="B32" s="2" t="s">
        <v>40</v>
      </c>
      <c r="C32" s="127" t="s">
        <v>261</v>
      </c>
      <c r="D32">
        <v>50</v>
      </c>
      <c r="F32">
        <v>56</v>
      </c>
      <c r="H32">
        <v>69</v>
      </c>
      <c r="J32">
        <v>76</v>
      </c>
    </row>
    <row r="33" spans="1:10" ht="12.75">
      <c r="A33">
        <v>2</v>
      </c>
      <c r="B33" s="2" t="s">
        <v>40</v>
      </c>
      <c r="C33" s="127" t="s">
        <v>259</v>
      </c>
      <c r="D33">
        <v>68</v>
      </c>
      <c r="F33">
        <v>79</v>
      </c>
      <c r="H33">
        <v>84</v>
      </c>
      <c r="J33">
        <v>86</v>
      </c>
    </row>
    <row r="34" spans="1:10" ht="12.75">
      <c r="A34">
        <v>3</v>
      </c>
      <c r="B34" s="2" t="s">
        <v>41</v>
      </c>
      <c r="C34" s="127" t="s">
        <v>267</v>
      </c>
      <c r="D34">
        <v>68</v>
      </c>
      <c r="F34">
        <v>78</v>
      </c>
      <c r="H34">
        <v>84</v>
      </c>
      <c r="J34">
        <v>88</v>
      </c>
    </row>
    <row r="35" spans="1:10" ht="12.75">
      <c r="A35">
        <v>3</v>
      </c>
      <c r="B35" s="2" t="s">
        <v>41</v>
      </c>
      <c r="C35" s="127" t="s">
        <v>250</v>
      </c>
      <c r="D35">
        <v>62</v>
      </c>
      <c r="F35">
        <v>72</v>
      </c>
      <c r="H35">
        <v>79</v>
      </c>
      <c r="J35">
        <v>83</v>
      </c>
    </row>
    <row r="36" spans="1:10" ht="12.75">
      <c r="A36">
        <v>3</v>
      </c>
      <c r="B36" s="2" t="s">
        <v>41</v>
      </c>
      <c r="C36" s="127" t="s">
        <v>254</v>
      </c>
      <c r="D36">
        <v>61</v>
      </c>
      <c r="F36">
        <v>71</v>
      </c>
      <c r="H36">
        <v>79</v>
      </c>
      <c r="J36">
        <v>83</v>
      </c>
    </row>
    <row r="37" spans="1:10" ht="12.75">
      <c r="A37">
        <v>3</v>
      </c>
      <c r="B37" s="2" t="s">
        <v>41</v>
      </c>
      <c r="C37" s="127" t="s">
        <v>255</v>
      </c>
      <c r="D37">
        <v>59</v>
      </c>
      <c r="F37">
        <v>70</v>
      </c>
      <c r="H37">
        <v>76</v>
      </c>
      <c r="J37">
        <v>80</v>
      </c>
    </row>
    <row r="38" spans="1:10" ht="12.75">
      <c r="A38">
        <v>3</v>
      </c>
      <c r="B38" s="2" t="s">
        <v>41</v>
      </c>
      <c r="C38" s="127" t="s">
        <v>256</v>
      </c>
      <c r="D38">
        <v>56</v>
      </c>
      <c r="F38">
        <v>64</v>
      </c>
      <c r="H38">
        <v>71</v>
      </c>
      <c r="J38">
        <v>74</v>
      </c>
    </row>
    <row r="39" spans="1:10" ht="12.75">
      <c r="A39">
        <v>3</v>
      </c>
      <c r="B39" s="2" t="s">
        <v>41</v>
      </c>
      <c r="C39" s="127" t="s">
        <v>257</v>
      </c>
      <c r="D39">
        <v>55</v>
      </c>
      <c r="F39">
        <v>66</v>
      </c>
      <c r="H39">
        <v>76</v>
      </c>
      <c r="J39">
        <v>80</v>
      </c>
    </row>
    <row r="40" spans="1:10" ht="12.75">
      <c r="A40">
        <v>3</v>
      </c>
      <c r="B40" s="2" t="s">
        <v>41</v>
      </c>
      <c r="C40" s="127" t="s">
        <v>258</v>
      </c>
      <c r="D40">
        <v>53</v>
      </c>
      <c r="F40">
        <v>65</v>
      </c>
      <c r="H40">
        <v>74</v>
      </c>
      <c r="J40">
        <v>78</v>
      </c>
    </row>
    <row r="41" spans="1:10" ht="12.75">
      <c r="A41">
        <v>3</v>
      </c>
      <c r="B41" s="2" t="s">
        <v>41</v>
      </c>
      <c r="C41" s="127" t="s">
        <v>268</v>
      </c>
      <c r="D41">
        <v>51</v>
      </c>
      <c r="F41">
        <v>62</v>
      </c>
      <c r="H41">
        <v>71</v>
      </c>
      <c r="J41">
        <v>74</v>
      </c>
    </row>
    <row r="42" spans="1:10" ht="12.75">
      <c r="A42">
        <v>3</v>
      </c>
      <c r="B42" s="2" t="s">
        <v>41</v>
      </c>
      <c r="C42" s="127" t="s">
        <v>321</v>
      </c>
      <c r="D42">
        <v>50</v>
      </c>
      <c r="F42">
        <v>52</v>
      </c>
      <c r="H42">
        <v>59</v>
      </c>
      <c r="J42">
        <v>62</v>
      </c>
    </row>
    <row r="43" spans="1:10" ht="12.75">
      <c r="A43">
        <v>3</v>
      </c>
      <c r="B43" s="2" t="s">
        <v>41</v>
      </c>
      <c r="C43" s="127" t="s">
        <v>322</v>
      </c>
      <c r="D43">
        <v>60</v>
      </c>
      <c r="F43">
        <v>72</v>
      </c>
      <c r="H43">
        <v>80</v>
      </c>
      <c r="J43">
        <v>84</v>
      </c>
    </row>
    <row r="44" spans="1:10" ht="12.75">
      <c r="A44">
        <v>3</v>
      </c>
      <c r="B44" s="2" t="s">
        <v>41</v>
      </c>
      <c r="C44" s="127" t="s">
        <v>323</v>
      </c>
      <c r="D44">
        <v>50</v>
      </c>
      <c r="F44">
        <v>61</v>
      </c>
      <c r="H44">
        <v>72</v>
      </c>
      <c r="J44">
        <v>78</v>
      </c>
    </row>
    <row r="45" spans="1:10" ht="12.75">
      <c r="A45">
        <v>3</v>
      </c>
      <c r="B45" s="2" t="s">
        <v>41</v>
      </c>
      <c r="C45" s="127" t="s">
        <v>324</v>
      </c>
      <c r="D45">
        <v>50</v>
      </c>
      <c r="F45">
        <v>53</v>
      </c>
      <c r="H45">
        <v>66</v>
      </c>
      <c r="J45">
        <v>73</v>
      </c>
    </row>
    <row r="46" spans="1:10" ht="12.75">
      <c r="A46">
        <v>3</v>
      </c>
      <c r="B46" s="2" t="s">
        <v>41</v>
      </c>
      <c r="C46" s="127" t="s">
        <v>260</v>
      </c>
      <c r="D46">
        <v>50</v>
      </c>
      <c r="F46">
        <v>58</v>
      </c>
      <c r="H46">
        <v>70</v>
      </c>
      <c r="J46">
        <v>77</v>
      </c>
    </row>
    <row r="47" spans="1:10" ht="12.75">
      <c r="A47">
        <v>3</v>
      </c>
      <c r="B47" s="2" t="s">
        <v>41</v>
      </c>
      <c r="C47" s="127" t="s">
        <v>261</v>
      </c>
      <c r="D47">
        <v>50</v>
      </c>
      <c r="F47">
        <v>52</v>
      </c>
      <c r="H47">
        <v>65</v>
      </c>
      <c r="J47">
        <v>72</v>
      </c>
    </row>
    <row r="48" spans="1:10" ht="12.75">
      <c r="A48">
        <v>3</v>
      </c>
      <c r="B48" s="2" t="s">
        <v>41</v>
      </c>
      <c r="C48" s="127" t="s">
        <v>259</v>
      </c>
      <c r="D48">
        <v>64</v>
      </c>
      <c r="F48">
        <v>76</v>
      </c>
      <c r="H48">
        <v>81</v>
      </c>
      <c r="J48">
        <v>84</v>
      </c>
    </row>
    <row r="49" spans="1:10" ht="12.75">
      <c r="A49">
        <v>4</v>
      </c>
      <c r="B49" s="2" t="s">
        <v>42</v>
      </c>
      <c r="C49" s="127" t="s">
        <v>267</v>
      </c>
      <c r="D49">
        <v>64</v>
      </c>
      <c r="F49">
        <v>74</v>
      </c>
      <c r="H49">
        <v>81</v>
      </c>
      <c r="J49">
        <v>85</v>
      </c>
    </row>
    <row r="50" spans="1:10" ht="12.75">
      <c r="A50">
        <v>4</v>
      </c>
      <c r="B50" s="2" t="s">
        <v>42</v>
      </c>
      <c r="C50" s="127" t="s">
        <v>250</v>
      </c>
      <c r="D50">
        <v>59</v>
      </c>
      <c r="F50">
        <v>69</v>
      </c>
      <c r="H50">
        <v>76</v>
      </c>
      <c r="J50">
        <v>80</v>
      </c>
    </row>
    <row r="51" spans="1:10" ht="12.75">
      <c r="A51">
        <v>4</v>
      </c>
      <c r="B51" s="2" t="s">
        <v>42</v>
      </c>
      <c r="C51" s="127" t="s">
        <v>254</v>
      </c>
      <c r="D51">
        <v>58</v>
      </c>
      <c r="F51">
        <v>67</v>
      </c>
      <c r="H51">
        <v>76</v>
      </c>
      <c r="J51">
        <v>80</v>
      </c>
    </row>
    <row r="52" spans="1:10" ht="12.75">
      <c r="A52">
        <v>4</v>
      </c>
      <c r="B52" s="2" t="s">
        <v>42</v>
      </c>
      <c r="C52" s="127" t="s">
        <v>255</v>
      </c>
      <c r="D52">
        <v>55</v>
      </c>
      <c r="F52">
        <v>66</v>
      </c>
      <c r="H52">
        <v>72</v>
      </c>
      <c r="J52">
        <v>78</v>
      </c>
    </row>
    <row r="53" spans="1:10" ht="12.75">
      <c r="A53">
        <v>4</v>
      </c>
      <c r="B53" s="2" t="s">
        <v>42</v>
      </c>
      <c r="C53" s="127" t="s">
        <v>256</v>
      </c>
      <c r="D53">
        <v>52</v>
      </c>
      <c r="F53">
        <v>61</v>
      </c>
      <c r="H53">
        <v>67</v>
      </c>
      <c r="J53">
        <v>71</v>
      </c>
    </row>
    <row r="54" spans="1:10" ht="12.75">
      <c r="A54">
        <v>4</v>
      </c>
      <c r="B54" s="2" t="s">
        <v>42</v>
      </c>
      <c r="C54" s="127" t="s">
        <v>257</v>
      </c>
      <c r="D54">
        <v>51</v>
      </c>
      <c r="F54">
        <v>63</v>
      </c>
      <c r="H54">
        <v>72</v>
      </c>
      <c r="J54">
        <v>76</v>
      </c>
    </row>
    <row r="55" spans="1:10" ht="12.75">
      <c r="A55">
        <v>4</v>
      </c>
      <c r="B55" s="2" t="s">
        <v>42</v>
      </c>
      <c r="C55" s="127" t="s">
        <v>258</v>
      </c>
      <c r="D55">
        <v>50</v>
      </c>
      <c r="F55">
        <v>62</v>
      </c>
      <c r="H55">
        <v>71</v>
      </c>
      <c r="J55">
        <v>74</v>
      </c>
    </row>
    <row r="56" spans="1:10" ht="12.75">
      <c r="A56">
        <v>4</v>
      </c>
      <c r="B56" s="2" t="s">
        <v>42</v>
      </c>
      <c r="C56" s="127" t="s">
        <v>268</v>
      </c>
      <c r="D56">
        <v>50</v>
      </c>
      <c r="F56">
        <v>59</v>
      </c>
      <c r="H56">
        <v>67</v>
      </c>
      <c r="J56">
        <v>71</v>
      </c>
    </row>
    <row r="57" spans="1:10" ht="12.75">
      <c r="A57">
        <v>4</v>
      </c>
      <c r="B57" s="2" t="s">
        <v>42</v>
      </c>
      <c r="C57" s="127" t="s">
        <v>321</v>
      </c>
      <c r="D57">
        <v>50</v>
      </c>
      <c r="F57">
        <v>50</v>
      </c>
      <c r="H57">
        <v>55</v>
      </c>
      <c r="J57">
        <v>59</v>
      </c>
    </row>
    <row r="58" spans="1:10" ht="12.75">
      <c r="A58">
        <v>4</v>
      </c>
      <c r="B58" s="2" t="s">
        <v>42</v>
      </c>
      <c r="C58" s="127" t="s">
        <v>322</v>
      </c>
      <c r="D58">
        <v>56</v>
      </c>
      <c r="F58">
        <v>69</v>
      </c>
      <c r="H58">
        <v>78</v>
      </c>
      <c r="J58">
        <v>81</v>
      </c>
    </row>
    <row r="59" spans="1:10" ht="12.75">
      <c r="A59">
        <v>4</v>
      </c>
      <c r="B59" s="2" t="s">
        <v>42</v>
      </c>
      <c r="C59" s="127" t="s">
        <v>323</v>
      </c>
      <c r="D59">
        <v>50</v>
      </c>
      <c r="F59">
        <v>58</v>
      </c>
      <c r="H59">
        <v>69</v>
      </c>
      <c r="J59">
        <v>74</v>
      </c>
    </row>
    <row r="60" spans="1:10" ht="12.75">
      <c r="A60">
        <v>4</v>
      </c>
      <c r="B60" s="2" t="s">
        <v>42</v>
      </c>
      <c r="C60" s="127" t="s">
        <v>324</v>
      </c>
      <c r="D60">
        <v>50</v>
      </c>
      <c r="F60">
        <v>50</v>
      </c>
      <c r="H60">
        <v>63</v>
      </c>
      <c r="J60">
        <v>70</v>
      </c>
    </row>
    <row r="61" spans="1:10" ht="12.75">
      <c r="A61">
        <v>4</v>
      </c>
      <c r="B61" s="2" t="s">
        <v>42</v>
      </c>
      <c r="C61" s="127" t="s">
        <v>260</v>
      </c>
      <c r="D61">
        <v>50</v>
      </c>
      <c r="F61">
        <v>54</v>
      </c>
      <c r="H61">
        <v>66</v>
      </c>
      <c r="J61">
        <v>73</v>
      </c>
    </row>
    <row r="62" spans="1:10" ht="12.75">
      <c r="A62">
        <v>4</v>
      </c>
      <c r="B62" s="2" t="s">
        <v>42</v>
      </c>
      <c r="C62" s="127" t="s">
        <v>261</v>
      </c>
      <c r="D62">
        <v>50</v>
      </c>
      <c r="F62">
        <v>50</v>
      </c>
      <c r="H62">
        <v>62</v>
      </c>
      <c r="J62">
        <v>69</v>
      </c>
    </row>
    <row r="63" spans="1:10" ht="12.75">
      <c r="A63">
        <v>4</v>
      </c>
      <c r="B63" s="2" t="s">
        <v>42</v>
      </c>
      <c r="C63" s="127" t="s">
        <v>259</v>
      </c>
      <c r="D63">
        <v>61</v>
      </c>
      <c r="F63">
        <v>72</v>
      </c>
      <c r="H63">
        <v>79</v>
      </c>
      <c r="J63">
        <v>81</v>
      </c>
    </row>
    <row r="64" spans="1:10" ht="12.75">
      <c r="A64">
        <v>5</v>
      </c>
      <c r="B64" s="2" t="s">
        <v>43</v>
      </c>
      <c r="C64" s="127" t="s">
        <v>267</v>
      </c>
      <c r="D64">
        <v>61</v>
      </c>
      <c r="F64">
        <v>71</v>
      </c>
      <c r="H64">
        <v>79</v>
      </c>
      <c r="J64">
        <v>83</v>
      </c>
    </row>
    <row r="65" spans="1:10" ht="12.75">
      <c r="A65">
        <v>5</v>
      </c>
      <c r="B65" s="2" t="s">
        <v>43</v>
      </c>
      <c r="C65" s="127" t="s">
        <v>250</v>
      </c>
      <c r="D65">
        <v>55</v>
      </c>
      <c r="F65">
        <v>65</v>
      </c>
      <c r="H65">
        <v>73</v>
      </c>
      <c r="J65">
        <v>78</v>
      </c>
    </row>
    <row r="66" spans="1:10" ht="12.75">
      <c r="A66">
        <v>5</v>
      </c>
      <c r="B66" s="2" t="s">
        <v>43</v>
      </c>
      <c r="C66" s="127" t="s">
        <v>254</v>
      </c>
      <c r="D66">
        <v>54</v>
      </c>
      <c r="F66">
        <v>64</v>
      </c>
      <c r="H66">
        <v>73</v>
      </c>
      <c r="J66">
        <v>78</v>
      </c>
    </row>
    <row r="67" spans="1:10" ht="12.75">
      <c r="A67">
        <v>5</v>
      </c>
      <c r="B67" s="2" t="s">
        <v>43</v>
      </c>
      <c r="C67" s="127" t="s">
        <v>255</v>
      </c>
      <c r="D67">
        <v>51</v>
      </c>
      <c r="F67">
        <v>63</v>
      </c>
      <c r="H67">
        <v>69</v>
      </c>
      <c r="J67">
        <v>75</v>
      </c>
    </row>
    <row r="68" spans="1:10" ht="12.75">
      <c r="A68">
        <v>5</v>
      </c>
      <c r="B68" s="2" t="s">
        <v>43</v>
      </c>
      <c r="C68" s="127" t="s">
        <v>256</v>
      </c>
      <c r="D68">
        <v>50</v>
      </c>
      <c r="F68">
        <v>57</v>
      </c>
      <c r="H68">
        <v>64</v>
      </c>
      <c r="J68">
        <v>67</v>
      </c>
    </row>
    <row r="69" spans="1:10" ht="12.75">
      <c r="A69">
        <v>5</v>
      </c>
      <c r="B69" s="2" t="s">
        <v>43</v>
      </c>
      <c r="C69" s="127" t="s">
        <v>257</v>
      </c>
      <c r="D69">
        <v>50</v>
      </c>
      <c r="F69">
        <v>59</v>
      </c>
      <c r="H69">
        <v>69</v>
      </c>
      <c r="J69">
        <v>73</v>
      </c>
    </row>
    <row r="70" spans="1:10" ht="12.75">
      <c r="A70">
        <v>5</v>
      </c>
      <c r="B70" s="2" t="s">
        <v>43</v>
      </c>
      <c r="C70" s="127" t="s">
        <v>258</v>
      </c>
      <c r="D70">
        <v>50</v>
      </c>
      <c r="F70">
        <v>58</v>
      </c>
      <c r="H70">
        <v>67</v>
      </c>
      <c r="J70">
        <v>71</v>
      </c>
    </row>
    <row r="71" spans="1:10" ht="12.75">
      <c r="A71">
        <v>5</v>
      </c>
      <c r="B71" s="2" t="s">
        <v>43</v>
      </c>
      <c r="C71" s="127" t="s">
        <v>268</v>
      </c>
      <c r="D71">
        <v>50</v>
      </c>
      <c r="F71">
        <v>55</v>
      </c>
      <c r="H71">
        <v>64</v>
      </c>
      <c r="J71">
        <v>67</v>
      </c>
    </row>
    <row r="72" spans="1:10" ht="12.75">
      <c r="A72">
        <v>5</v>
      </c>
      <c r="B72" s="2" t="s">
        <v>43</v>
      </c>
      <c r="C72" s="127" t="s">
        <v>321</v>
      </c>
      <c r="D72">
        <v>50</v>
      </c>
      <c r="F72">
        <v>50</v>
      </c>
      <c r="H72">
        <v>51</v>
      </c>
      <c r="J72">
        <v>55</v>
      </c>
    </row>
    <row r="73" spans="1:10" ht="12.75">
      <c r="A73">
        <v>5</v>
      </c>
      <c r="B73" s="2" t="s">
        <v>43</v>
      </c>
      <c r="C73" s="127" t="s">
        <v>322</v>
      </c>
      <c r="D73">
        <v>52</v>
      </c>
      <c r="F73">
        <v>65</v>
      </c>
      <c r="H73">
        <v>75</v>
      </c>
      <c r="J73">
        <v>79</v>
      </c>
    </row>
    <row r="74" spans="1:10" ht="12.75">
      <c r="A74">
        <v>5</v>
      </c>
      <c r="B74" s="2" t="s">
        <v>43</v>
      </c>
      <c r="C74" s="127" t="s">
        <v>323</v>
      </c>
      <c r="D74">
        <v>50</v>
      </c>
      <c r="F74">
        <v>54</v>
      </c>
      <c r="H74">
        <v>65</v>
      </c>
      <c r="J74">
        <v>71</v>
      </c>
    </row>
    <row r="75" spans="1:10" ht="12.75">
      <c r="A75">
        <v>5</v>
      </c>
      <c r="B75" s="2" t="s">
        <v>43</v>
      </c>
      <c r="C75" s="127" t="s">
        <v>324</v>
      </c>
      <c r="D75">
        <v>50</v>
      </c>
      <c r="F75">
        <v>50</v>
      </c>
      <c r="H75">
        <v>59</v>
      </c>
      <c r="J75">
        <v>66</v>
      </c>
    </row>
    <row r="76" spans="1:10" ht="12.75">
      <c r="A76">
        <v>5</v>
      </c>
      <c r="B76" s="2" t="s">
        <v>43</v>
      </c>
      <c r="C76" s="127" t="s">
        <v>260</v>
      </c>
      <c r="D76">
        <v>50</v>
      </c>
      <c r="F76">
        <v>50</v>
      </c>
      <c r="H76">
        <v>63</v>
      </c>
      <c r="J76">
        <v>70</v>
      </c>
    </row>
    <row r="77" spans="1:10" ht="12.75">
      <c r="A77">
        <v>5</v>
      </c>
      <c r="B77" s="2" t="s">
        <v>43</v>
      </c>
      <c r="C77" s="127" t="s">
        <v>261</v>
      </c>
      <c r="D77">
        <v>50</v>
      </c>
      <c r="F77">
        <v>50</v>
      </c>
      <c r="H77">
        <v>58</v>
      </c>
      <c r="J77">
        <v>65</v>
      </c>
    </row>
    <row r="78" spans="1:10" ht="12.75">
      <c r="A78">
        <v>5</v>
      </c>
      <c r="B78" s="2" t="s">
        <v>43</v>
      </c>
      <c r="C78" s="127" t="s">
        <v>259</v>
      </c>
      <c r="D78">
        <v>57</v>
      </c>
      <c r="F78">
        <v>69</v>
      </c>
      <c r="H78">
        <v>76</v>
      </c>
      <c r="J78">
        <v>79</v>
      </c>
    </row>
    <row r="83" ht="12.75">
      <c r="B83" s="70" t="s">
        <v>251</v>
      </c>
    </row>
    <row r="84" ht="12.75">
      <c r="B84" s="70" t="s">
        <v>266</v>
      </c>
    </row>
    <row r="85" ht="12.75">
      <c r="B85" s="70" t="s">
        <v>265</v>
      </c>
    </row>
    <row r="86" ht="12.75">
      <c r="B86" s="372" t="s">
        <v>263</v>
      </c>
    </row>
    <row r="87" ht="12.75">
      <c r="B87" s="70" t="s">
        <v>252</v>
      </c>
    </row>
    <row r="88" ht="12.75">
      <c r="B88" s="372" t="s">
        <v>264</v>
      </c>
    </row>
    <row r="89" ht="12.75">
      <c r="B89" s="70" t="s">
        <v>253</v>
      </c>
    </row>
    <row r="90" ht="12.75">
      <c r="B90" s="70" t="s">
        <v>262</v>
      </c>
    </row>
  </sheetData>
  <sheetProtection password="B271" sheet="1" objects="1" scenarios="1"/>
  <printOptions/>
  <pageMargins left="0.25" right="0.2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11">
    <pageSetUpPr fitToPage="1"/>
  </sheetPr>
  <dimension ref="A1:AL53"/>
  <sheetViews>
    <sheetView showGridLines="0" zoomScale="95" zoomScaleNormal="95" workbookViewId="0" topLeftCell="A1">
      <selection activeCell="G22" sqref="G22"/>
    </sheetView>
  </sheetViews>
  <sheetFormatPr defaultColWidth="9.140625" defaultRowHeight="12.75" zeroHeight="1"/>
  <cols>
    <col min="1" max="1" width="3.7109375" style="0" customWidth="1"/>
    <col min="2" max="13" width="5.7109375" style="0" customWidth="1"/>
    <col min="14" max="14" width="8.57421875" style="0" customWidth="1"/>
    <col min="15" max="15" width="5.7109375" style="0" customWidth="1"/>
    <col min="16" max="16" width="8.57421875" style="0" customWidth="1"/>
    <col min="17" max="20" width="5.7109375" style="0" customWidth="1"/>
    <col min="29" max="35" width="0" style="0" hidden="1" customWidth="1"/>
    <col min="36" max="36" width="10.8515625" style="0" hidden="1" customWidth="1"/>
    <col min="37" max="40" width="0" style="0" hidden="1" customWidth="1"/>
  </cols>
  <sheetData>
    <row r="1" spans="2:36" ht="36" customHeight="1">
      <c r="B1" s="541" t="s">
        <v>328</v>
      </c>
      <c r="C1" s="541"/>
      <c r="D1" s="38"/>
      <c r="E1" s="30"/>
      <c r="F1" s="539" t="s">
        <v>342</v>
      </c>
      <c r="G1" s="539"/>
      <c r="H1" s="539"/>
      <c r="I1" s="539"/>
      <c r="J1" s="539"/>
      <c r="K1" s="539"/>
      <c r="L1" s="539"/>
      <c r="M1" s="539"/>
      <c r="N1" s="540"/>
      <c r="O1" s="30"/>
      <c r="Q1" s="524" t="s">
        <v>398</v>
      </c>
      <c r="R1" s="524"/>
      <c r="AC1" s="273"/>
      <c r="AD1" s="273"/>
      <c r="AE1" s="273"/>
      <c r="AF1" s="273" t="s">
        <v>205</v>
      </c>
      <c r="AG1" s="274">
        <f>(G23+G24)/2</f>
        <v>6</v>
      </c>
      <c r="AJ1" s="277" t="s">
        <v>223</v>
      </c>
    </row>
    <row r="2" spans="1:38" ht="15.75" customHeight="1">
      <c r="A2" s="12" t="s">
        <v>182</v>
      </c>
      <c r="B2" s="502" t="s">
        <v>127</v>
      </c>
      <c r="C2" s="502"/>
      <c r="D2" s="528">
        <f>IF(OR('Hyd Sum'!G4="",G18=""),"",'Hyd Sum'!G4)</f>
      </c>
      <c r="E2" s="528"/>
      <c r="F2" s="528"/>
      <c r="G2" s="528"/>
      <c r="I2" s="502" t="s">
        <v>131</v>
      </c>
      <c r="J2" s="502"/>
      <c r="K2" s="528">
        <f>IF(OR('Hyd Sum'!G8="",G18=""),"",'Hyd Sum'!G8)</f>
      </c>
      <c r="L2" s="528"/>
      <c r="M2" s="528"/>
      <c r="N2" s="528"/>
      <c r="P2" s="38" t="s">
        <v>130</v>
      </c>
      <c r="Q2" s="532">
        <f>IF(OR('Hyd Sum'!W8="",G18=""),"",'Hyd Sum'!W8)</f>
      </c>
      <c r="R2" s="532"/>
      <c r="AC2" s="273"/>
      <c r="AD2" s="273"/>
      <c r="AE2" s="273"/>
      <c r="AF2" s="273" t="s">
        <v>206</v>
      </c>
      <c r="AG2" s="274">
        <f>(SS2+SS3)/2</f>
        <v>6</v>
      </c>
      <c r="AJ2">
        <v>2</v>
      </c>
      <c r="AK2">
        <v>10</v>
      </c>
      <c r="AL2">
        <v>25</v>
      </c>
    </row>
    <row r="3" spans="2:18" ht="15.75" customHeight="1">
      <c r="B3" s="502" t="s">
        <v>128</v>
      </c>
      <c r="C3" s="502"/>
      <c r="D3" s="528">
        <f>IF(OR('Hyd Sum'!G6="",G18=""),"",'Hyd Sum'!G6)</f>
      </c>
      <c r="E3" s="528"/>
      <c r="F3" s="528"/>
      <c r="G3" s="528"/>
      <c r="I3" s="502" t="s">
        <v>147</v>
      </c>
      <c r="J3" s="502"/>
      <c r="K3" s="526">
        <f>IF(OR('KS-ENG-8'!J64="",G18=""),"",'KS-ENG-8'!J64)</f>
      </c>
      <c r="L3" s="526"/>
      <c r="M3" s="526"/>
      <c r="N3" s="526"/>
      <c r="P3" s="38" t="s">
        <v>130</v>
      </c>
      <c r="Q3" s="446">
        <f>IF(OR('KS-ENG-8'!AI64="",G18=""),"",'KS-ENG-8'!AI64)</f>
      </c>
      <c r="R3" s="446"/>
    </row>
    <row r="4" spans="2:29" ht="15.75" customHeight="1">
      <c r="B4" s="502" t="s">
        <v>129</v>
      </c>
      <c r="C4" s="502"/>
      <c r="D4" s="528">
        <f>IF(OR('Hyd Sum'!W6="",G18=""),"",'Hyd Sum'!W6)</f>
      </c>
      <c r="E4" s="528"/>
      <c r="F4" s="528"/>
      <c r="G4" s="528"/>
      <c r="I4" s="502" t="s">
        <v>133</v>
      </c>
      <c r="J4" s="502"/>
      <c r="K4" s="527">
        <f>IF(OR('Hyd Sum'!G10="",G18=""),"",'Hyd Sum'!G10)</f>
      </c>
      <c r="L4" s="527"/>
      <c r="M4" s="527"/>
      <c r="N4" s="527"/>
      <c r="P4" s="267" t="s">
        <v>130</v>
      </c>
      <c r="Q4" s="525">
        <f>IF(OR('Hyd Sum'!W10="",G18=""),"",'Hyd Sum'!W10)</f>
      </c>
      <c r="R4" s="525"/>
      <c r="AC4" s="2" t="s">
        <v>350</v>
      </c>
    </row>
    <row r="5" spans="2:19" ht="25.5" customHeight="1" thickBot="1">
      <c r="B5" s="4"/>
      <c r="C5" s="4"/>
      <c r="D5" s="4"/>
      <c r="E5" s="4"/>
      <c r="F5" s="4"/>
      <c r="G5" s="4"/>
      <c r="H5" s="4"/>
      <c r="I5" s="4"/>
      <c r="J5" s="4"/>
      <c r="K5" s="4"/>
      <c r="L5" s="4"/>
      <c r="M5" s="4"/>
      <c r="N5" s="4"/>
      <c r="O5" s="4"/>
      <c r="P5" s="4"/>
      <c r="Q5" s="4"/>
      <c r="R5" s="4"/>
      <c r="S5" s="4"/>
    </row>
    <row r="6" spans="2:16" ht="12.75" customHeight="1">
      <c r="B6" s="4"/>
      <c r="C6" s="35"/>
      <c r="D6" s="31"/>
      <c r="E6" s="31"/>
      <c r="F6" s="31"/>
      <c r="G6" s="31"/>
      <c r="H6" s="31"/>
      <c r="I6" s="31"/>
      <c r="J6" s="31"/>
      <c r="K6" s="31"/>
      <c r="L6" s="31"/>
      <c r="M6" s="31"/>
      <c r="N6" s="31"/>
      <c r="O6" s="32"/>
      <c r="P6" s="4"/>
    </row>
    <row r="7" spans="2:38" ht="12.75" customHeight="1">
      <c r="B7" s="4"/>
      <c r="C7" s="3"/>
      <c r="D7" s="4"/>
      <c r="E7" s="4"/>
      <c r="F7" s="4"/>
      <c r="G7" s="4"/>
      <c r="H7" s="4"/>
      <c r="I7" s="4"/>
      <c r="J7" s="36">
        <f>G22</f>
        <v>4</v>
      </c>
      <c r="K7" s="4" t="s">
        <v>135</v>
      </c>
      <c r="L7" s="4"/>
      <c r="M7" s="4"/>
      <c r="N7" s="4"/>
      <c r="O7" s="34"/>
      <c r="P7" s="4"/>
      <c r="AE7" s="141" t="s">
        <v>222</v>
      </c>
      <c r="AF7">
        <v>1.35</v>
      </c>
      <c r="AJ7" s="278" t="s">
        <v>224</v>
      </c>
      <c r="AK7" s="295" t="s">
        <v>230</v>
      </c>
      <c r="AL7" s="4"/>
    </row>
    <row r="8" spans="2:38" ht="12.75" customHeight="1">
      <c r="B8" s="4"/>
      <c r="C8" s="3"/>
      <c r="D8" s="4"/>
      <c r="E8" s="4"/>
      <c r="F8" s="4"/>
      <c r="G8" s="4"/>
      <c r="H8" s="4"/>
      <c r="I8" s="4"/>
      <c r="J8" s="4"/>
      <c r="K8" s="4"/>
      <c r="L8" s="4"/>
      <c r="M8" s="4"/>
      <c r="N8" s="4"/>
      <c r="O8" s="34"/>
      <c r="P8" s="4"/>
      <c r="AE8" s="141" t="s">
        <v>229</v>
      </c>
      <c r="AF8" s="293">
        <f>CHOOSE(G31,G32/(1+SS2*LS/100),G32,(G32-BW/2*LS/100)/(1+SS2*LS/100))</f>
        <v>0.5631921609997506</v>
      </c>
      <c r="AJ8" s="296" t="s">
        <v>34</v>
      </c>
      <c r="AK8" s="294">
        <v>10</v>
      </c>
      <c r="AL8" s="4"/>
    </row>
    <row r="9" spans="2:38" ht="12.75" customHeight="1">
      <c r="B9" s="4"/>
      <c r="C9" s="3"/>
      <c r="D9" s="4"/>
      <c r="E9" s="4"/>
      <c r="F9" s="4"/>
      <c r="G9" s="4"/>
      <c r="H9" s="4"/>
      <c r="I9" s="4"/>
      <c r="J9" s="4"/>
      <c r="K9" s="4"/>
      <c r="L9" s="4"/>
      <c r="M9" s="4"/>
      <c r="N9" s="4"/>
      <c r="O9" s="34"/>
      <c r="P9" s="4"/>
      <c r="Q9" s="4"/>
      <c r="R9" s="4"/>
      <c r="S9" s="4"/>
      <c r="AE9" s="141" t="s">
        <v>136</v>
      </c>
      <c r="AF9" s="261">
        <f>CH-DC</f>
        <v>0.9368078390002494</v>
      </c>
      <c r="AJ9" s="296" t="s">
        <v>35</v>
      </c>
      <c r="AK9" s="294">
        <v>7.643</v>
      </c>
      <c r="AL9" s="4"/>
    </row>
    <row r="10" spans="2:38" ht="12.75" customHeight="1">
      <c r="B10" s="4"/>
      <c r="C10" s="3"/>
      <c r="D10" s="4"/>
      <c r="E10" s="4"/>
      <c r="F10" s="4"/>
      <c r="G10" s="37">
        <f>G33</f>
        <v>1.5</v>
      </c>
      <c r="H10" s="4" t="s">
        <v>135</v>
      </c>
      <c r="I10" s="4"/>
      <c r="J10" s="4"/>
      <c r="K10" s="4"/>
      <c r="L10" s="4"/>
      <c r="M10" s="4"/>
      <c r="N10" s="4"/>
      <c r="O10" s="34"/>
      <c r="P10" s="4"/>
      <c r="Q10" s="4"/>
      <c r="R10" s="4"/>
      <c r="S10" s="4"/>
      <c r="AE10" s="141" t="s">
        <v>201</v>
      </c>
      <c r="AF10">
        <v>0.06</v>
      </c>
      <c r="AG10" s="1" t="s">
        <v>231</v>
      </c>
      <c r="AJ10" s="296" t="s">
        <v>36</v>
      </c>
      <c r="AK10" s="294">
        <v>5.601</v>
      </c>
      <c r="AL10" s="4"/>
    </row>
    <row r="11" spans="2:38" ht="12.75" customHeight="1">
      <c r="B11" s="4"/>
      <c r="C11" s="3"/>
      <c r="D11" s="4"/>
      <c r="E11" s="4"/>
      <c r="F11" s="4"/>
      <c r="G11" s="4"/>
      <c r="H11" s="4"/>
      <c r="I11" s="4"/>
      <c r="J11" s="38">
        <v>1</v>
      </c>
      <c r="K11" s="33">
        <v>1</v>
      </c>
      <c r="L11" s="4"/>
      <c r="M11" s="4"/>
      <c r="N11" s="4"/>
      <c r="O11" s="34"/>
      <c r="P11" s="4"/>
      <c r="Q11" s="4"/>
      <c r="R11" s="4"/>
      <c r="S11" s="4"/>
      <c r="AE11" s="141" t="s">
        <v>202</v>
      </c>
      <c r="AF11">
        <v>0.035</v>
      </c>
      <c r="AG11" s="1" t="s">
        <v>231</v>
      </c>
      <c r="AJ11" s="296" t="s">
        <v>37</v>
      </c>
      <c r="AK11" s="294">
        <v>4.436</v>
      </c>
      <c r="AL11" s="4"/>
    </row>
    <row r="12" spans="2:38" ht="12.75" customHeight="1">
      <c r="B12" s="4"/>
      <c r="C12" s="3"/>
      <c r="D12" s="4"/>
      <c r="E12" s="39">
        <v>1</v>
      </c>
      <c r="F12" s="4"/>
      <c r="G12" s="4"/>
      <c r="H12" s="4"/>
      <c r="I12" s="36">
        <f>G24</f>
        <v>6</v>
      </c>
      <c r="J12" s="4"/>
      <c r="K12" s="4"/>
      <c r="L12" s="22">
        <f>G25</f>
        <v>6</v>
      </c>
      <c r="M12" s="4"/>
      <c r="N12" s="4"/>
      <c r="O12" s="34"/>
      <c r="P12" s="4"/>
      <c r="Q12" s="4"/>
      <c r="R12" s="4"/>
      <c r="S12" s="4"/>
      <c r="AF12" s="141" t="s">
        <v>197</v>
      </c>
      <c r="AG12" s="141" t="s">
        <v>198</v>
      </c>
      <c r="AJ12" s="296" t="s">
        <v>225</v>
      </c>
      <c r="AK12" s="294">
        <v>2.876</v>
      </c>
      <c r="AL12" s="4"/>
    </row>
    <row r="13" spans="2:33" ht="12.75" customHeight="1">
      <c r="B13" s="4"/>
      <c r="C13" s="3"/>
      <c r="D13" s="4"/>
      <c r="E13" s="4"/>
      <c r="F13" s="40">
        <f>G23</f>
        <v>6</v>
      </c>
      <c r="G13" s="4"/>
      <c r="H13" s="4"/>
      <c r="I13" s="4"/>
      <c r="J13" s="4"/>
      <c r="K13" s="4"/>
      <c r="L13" s="4"/>
      <c r="M13" s="4"/>
      <c r="N13" s="4"/>
      <c r="O13" s="34"/>
      <c r="P13" s="4"/>
      <c r="Q13" s="4"/>
      <c r="R13" s="4"/>
      <c r="S13" s="4"/>
      <c r="AF13" s="280" t="b">
        <v>1</v>
      </c>
      <c r="AG13" s="280" t="b">
        <v>0</v>
      </c>
    </row>
    <row r="14" spans="2:37" ht="12.75" customHeight="1">
      <c r="B14" s="4"/>
      <c r="C14" s="3"/>
      <c r="D14" s="4"/>
      <c r="E14" s="4"/>
      <c r="F14" s="4"/>
      <c r="G14" s="4"/>
      <c r="H14" s="4"/>
      <c r="I14" s="4"/>
      <c r="J14" s="4"/>
      <c r="K14" s="4"/>
      <c r="L14" s="4"/>
      <c r="M14" s="4"/>
      <c r="N14" s="4"/>
      <c r="O14" s="34"/>
      <c r="P14" s="4"/>
      <c r="Q14" s="4"/>
      <c r="R14" s="4"/>
      <c r="S14" s="4"/>
      <c r="AJ14" s="141" t="s">
        <v>228</v>
      </c>
      <c r="AK14" s="280" t="s">
        <v>197</v>
      </c>
    </row>
    <row r="15" spans="2:32" ht="12.75" customHeight="1">
      <c r="B15" s="4"/>
      <c r="C15" s="3"/>
      <c r="D15" s="4"/>
      <c r="E15" s="4"/>
      <c r="F15" s="4"/>
      <c r="G15" s="36">
        <f>G21</f>
        <v>15</v>
      </c>
      <c r="H15" s="4" t="s">
        <v>135</v>
      </c>
      <c r="I15" s="4"/>
      <c r="J15" s="4"/>
      <c r="K15" s="4"/>
      <c r="L15" s="4"/>
      <c r="M15" s="4"/>
      <c r="N15" s="4"/>
      <c r="O15" s="34"/>
      <c r="P15" s="4"/>
      <c r="Q15" s="4"/>
      <c r="R15" s="4"/>
      <c r="S15" s="4"/>
      <c r="AE15" t="s">
        <v>200</v>
      </c>
      <c r="AF15">
        <f>P28/Qc</f>
        <v>0.5452123200097383</v>
      </c>
    </row>
    <row r="16" spans="2:19" ht="12.75" customHeight="1">
      <c r="B16" s="4"/>
      <c r="C16" s="3"/>
      <c r="D16" s="4"/>
      <c r="E16" s="4"/>
      <c r="F16" s="4"/>
      <c r="G16" s="4"/>
      <c r="H16" s="4"/>
      <c r="I16" s="4"/>
      <c r="J16" s="4"/>
      <c r="K16" s="4"/>
      <c r="L16" s="4"/>
      <c r="M16" s="4"/>
      <c r="N16" s="4"/>
      <c r="O16" s="34"/>
      <c r="P16" s="4"/>
      <c r="Q16" s="4"/>
      <c r="R16" s="4"/>
      <c r="S16" s="4"/>
    </row>
    <row r="17" spans="2:19" ht="12.75" customHeight="1" thickBot="1">
      <c r="B17" s="4"/>
      <c r="C17" s="41"/>
      <c r="D17" s="42"/>
      <c r="E17" s="42"/>
      <c r="F17" s="42"/>
      <c r="G17" s="42"/>
      <c r="H17" s="42"/>
      <c r="I17" s="42"/>
      <c r="J17" s="42"/>
      <c r="K17" s="42"/>
      <c r="L17" s="42"/>
      <c r="M17" s="42"/>
      <c r="N17" s="42"/>
      <c r="O17" s="43"/>
      <c r="P17" s="4"/>
      <c r="Q17" s="270"/>
      <c r="R17" s="4"/>
      <c r="S17" s="4"/>
    </row>
    <row r="18" spans="2:19" ht="25.5" customHeight="1">
      <c r="B18" s="502" t="s">
        <v>326</v>
      </c>
      <c r="C18" s="502"/>
      <c r="D18" s="502"/>
      <c r="E18" s="502"/>
      <c r="F18" s="502"/>
      <c r="G18" s="281">
        <f>CONCATENATE('Hyd Sum'!H15,'Hyd Sum'!M15)</f>
      </c>
      <c r="H18" s="4"/>
      <c r="I18" s="4"/>
      <c r="J18" s="4" t="s">
        <v>199</v>
      </c>
      <c r="K18" s="4"/>
      <c r="L18" s="283" t="s">
        <v>197</v>
      </c>
      <c r="M18" s="421"/>
      <c r="N18" s="4"/>
      <c r="O18" s="283" t="s">
        <v>198</v>
      </c>
      <c r="P18" s="421"/>
      <c r="Q18" s="4"/>
      <c r="R18" s="4"/>
      <c r="S18" s="4"/>
    </row>
    <row r="19" spans="2:19" ht="15.75" customHeight="1">
      <c r="B19" s="533" t="s">
        <v>270</v>
      </c>
      <c r="C19" s="530"/>
      <c r="D19" s="530"/>
      <c r="E19" s="530"/>
      <c r="F19" s="530"/>
      <c r="G19" s="276">
        <v>10</v>
      </c>
      <c r="H19" s="165" t="s">
        <v>365</v>
      </c>
      <c r="I19" s="4"/>
      <c r="J19" s="4"/>
      <c r="K19" s="4"/>
      <c r="L19" s="4"/>
      <c r="M19" s="4"/>
      <c r="N19" s="4"/>
      <c r="O19" s="4"/>
      <c r="P19" s="4"/>
      <c r="Q19" s="4"/>
      <c r="R19" s="4"/>
      <c r="S19" s="4"/>
    </row>
    <row r="20" spans="2:32" ht="15.75" customHeight="1">
      <c r="B20" s="502" t="s">
        <v>374</v>
      </c>
      <c r="C20" s="502"/>
      <c r="D20" s="502"/>
      <c r="E20" s="502"/>
      <c r="F20" s="502"/>
      <c r="G20" s="292">
        <f>IF('Hyd Sum'!H19="",10,IF(G19=2,'Hyd Sum'!W23,IF('Design (1)'!G19=10,'Hyd Sum'!W24,IF('Design (1)'!G19=25,'Hyd Sum'!W25,""))))</f>
        <v>10</v>
      </c>
      <c r="H20" s="4" t="s">
        <v>137</v>
      </c>
      <c r="I20" s="4"/>
      <c r="J20" s="4"/>
      <c r="K20" s="4"/>
      <c r="L20" s="4"/>
      <c r="M20" s="4"/>
      <c r="N20" s="275" t="s">
        <v>204</v>
      </c>
      <c r="O20" s="4"/>
      <c r="P20" s="275" t="s">
        <v>203</v>
      </c>
      <c r="Q20" s="4"/>
      <c r="R20" s="4"/>
      <c r="S20" s="4"/>
      <c r="V20" s="37"/>
      <c r="AE20" s="490"/>
      <c r="AF20" s="490"/>
    </row>
    <row r="21" spans="2:30" ht="15.75" customHeight="1">
      <c r="B21" s="502" t="s">
        <v>375</v>
      </c>
      <c r="C21" s="502"/>
      <c r="D21" s="502"/>
      <c r="E21" s="502"/>
      <c r="F21" s="502"/>
      <c r="G21" s="406">
        <v>15</v>
      </c>
      <c r="H21" s="4" t="s">
        <v>282</v>
      </c>
      <c r="I21" s="4"/>
      <c r="J21" s="529" t="s">
        <v>343</v>
      </c>
      <c r="K21" s="530"/>
      <c r="L21" s="530"/>
      <c r="M21" s="530"/>
      <c r="N21" s="427" t="s">
        <v>35</v>
      </c>
      <c r="O21" s="4"/>
      <c r="P21" s="427" t="s">
        <v>37</v>
      </c>
      <c r="Q21" s="4"/>
      <c r="R21" s="4"/>
      <c r="S21" s="4"/>
      <c r="AB21" s="33"/>
      <c r="AC21" s="33"/>
      <c r="AD21" s="33"/>
    </row>
    <row r="22" spans="2:31" ht="15.75" customHeight="1">
      <c r="B22" s="502" t="s">
        <v>376</v>
      </c>
      <c r="C22" s="502"/>
      <c r="D22" s="502"/>
      <c r="E22" s="502"/>
      <c r="F22" s="502"/>
      <c r="G22" s="406">
        <v>4</v>
      </c>
      <c r="H22" s="4" t="s">
        <v>282</v>
      </c>
      <c r="I22" s="4"/>
      <c r="J22" s="531" t="s">
        <v>272</v>
      </c>
      <c r="K22" s="531"/>
      <c r="L22" s="531"/>
      <c r="M22" s="531"/>
      <c r="N22" s="297">
        <f>IF($AK$14="farmed",AF10,EXP(VLOOKUP(N21,AJ8:AK12,2)*(0.01329*LN(Q/p)^2-0.09543*LN(Q/p)+0.2971)-4.16))</f>
        <v>0.06</v>
      </c>
      <c r="O22" s="284"/>
      <c r="P22" s="297">
        <f>IF($AK$14="farmed",AF11,EXP(VLOOKUP(P21,AJ8:AK12,2)*(0.01329*LN(Q/P24)^2-0.09543*LN(Q/P24)+0.2971)-4.16))</f>
        <v>0.035</v>
      </c>
      <c r="Q22" s="284"/>
      <c r="R22" s="4"/>
      <c r="S22" s="4"/>
      <c r="AB22" s="33"/>
      <c r="AC22" s="33"/>
      <c r="AD22" s="33"/>
      <c r="AE22" s="33"/>
    </row>
    <row r="23" spans="2:31" ht="15.75" customHeight="1">
      <c r="B23" s="502" t="s">
        <v>377</v>
      </c>
      <c r="C23" s="502"/>
      <c r="D23" s="502"/>
      <c r="E23" s="502"/>
      <c r="F23" s="502"/>
      <c r="G23" s="406">
        <v>6</v>
      </c>
      <c r="H23" s="4" t="s">
        <v>138</v>
      </c>
      <c r="I23" s="4"/>
      <c r="J23" s="531" t="s">
        <v>361</v>
      </c>
      <c r="K23" s="531"/>
      <c r="L23" s="531"/>
      <c r="M23" s="531"/>
      <c r="N23" s="271">
        <f>TH-G30</f>
        <v>0.8636363636363635</v>
      </c>
      <c r="O23" s="284" t="s">
        <v>282</v>
      </c>
      <c r="P23" s="282">
        <v>0.4534004834995022</v>
      </c>
      <c r="Q23" s="284" t="s">
        <v>282</v>
      </c>
      <c r="R23" s="4"/>
      <c r="S23" s="4"/>
      <c r="AB23" s="33"/>
      <c r="AC23" s="33"/>
      <c r="AD23" s="33"/>
      <c r="AE23" s="33"/>
    </row>
    <row r="24" spans="2:31" ht="15.75" customHeight="1">
      <c r="B24" s="502" t="s">
        <v>378</v>
      </c>
      <c r="C24" s="502"/>
      <c r="D24" s="502"/>
      <c r="E24" s="502"/>
      <c r="F24" s="502"/>
      <c r="G24" s="406">
        <v>6</v>
      </c>
      <c r="H24" s="4" t="s">
        <v>138</v>
      </c>
      <c r="I24" s="4"/>
      <c r="J24" s="531" t="s">
        <v>383</v>
      </c>
      <c r="K24" s="531"/>
      <c r="L24" s="531"/>
      <c r="M24" s="531"/>
      <c r="N24" s="286">
        <f>(N23^2+(G23*N23)^2)^0.5+(N23^2+(G24*N23)^2)^0.5+G21</f>
        <v>25.50658982506056</v>
      </c>
      <c r="O24" s="284" t="s">
        <v>282</v>
      </c>
      <c r="P24" s="286">
        <f>(P23^2+($G23*P23)^2)^0.5+(P23^2+($G24*P23)^2)^0.5+$G21</f>
        <v>20.515854944499736</v>
      </c>
      <c r="Q24" s="284" t="s">
        <v>282</v>
      </c>
      <c r="R24" s="4"/>
      <c r="S24" s="4"/>
      <c r="AB24" s="33"/>
      <c r="AC24" s="33"/>
      <c r="AD24" s="33"/>
      <c r="AE24" s="33"/>
    </row>
    <row r="25" spans="2:19" ht="15.75" customHeight="1">
      <c r="B25" s="502" t="s">
        <v>379</v>
      </c>
      <c r="C25" s="502"/>
      <c r="D25" s="502"/>
      <c r="E25" s="502"/>
      <c r="F25" s="502"/>
      <c r="G25" s="406">
        <v>6</v>
      </c>
      <c r="H25" s="4" t="s">
        <v>138</v>
      </c>
      <c r="I25" s="4"/>
      <c r="J25" s="531" t="s">
        <v>384</v>
      </c>
      <c r="K25" s="531"/>
      <c r="L25" s="531"/>
      <c r="M25" s="531"/>
      <c r="N25" s="287">
        <f>N26/N24</f>
        <v>0.6833430962609804</v>
      </c>
      <c r="O25" s="284" t="s">
        <v>282</v>
      </c>
      <c r="P25" s="287">
        <f>P26/P24</f>
        <v>0.3916209811803161</v>
      </c>
      <c r="Q25" s="284" t="s">
        <v>282</v>
      </c>
      <c r="R25" s="4"/>
      <c r="S25" s="4"/>
    </row>
    <row r="26" spans="2:31" ht="25.5" customHeight="1" thickBot="1">
      <c r="B26" s="542" t="s">
        <v>356</v>
      </c>
      <c r="C26" s="542"/>
      <c r="D26" s="542"/>
      <c r="E26" s="542"/>
      <c r="F26" s="542"/>
      <c r="G26" s="422">
        <v>0.3</v>
      </c>
      <c r="H26" s="423" t="s">
        <v>139</v>
      </c>
      <c r="I26" s="423"/>
      <c r="J26" s="538" t="s">
        <v>385</v>
      </c>
      <c r="K26" s="538"/>
      <c r="L26" s="538"/>
      <c r="M26" s="538"/>
      <c r="N26" s="424">
        <f>(G21+AG1*N23)*N23</f>
        <v>17.4297520661157</v>
      </c>
      <c r="O26" s="425" t="s">
        <v>394</v>
      </c>
      <c r="P26" s="424">
        <f>($G21+$AG1*P23)*P23</f>
        <v>8.034439243118026</v>
      </c>
      <c r="Q26" s="425" t="s">
        <v>394</v>
      </c>
      <c r="R26" s="4"/>
      <c r="S26" s="4"/>
      <c r="AE26" s="38" t="s">
        <v>219</v>
      </c>
    </row>
    <row r="27" spans="2:31" ht="15.75" customHeight="1">
      <c r="B27" s="502" t="s">
        <v>380</v>
      </c>
      <c r="C27" s="502"/>
      <c r="D27" s="502"/>
      <c r="E27" s="502"/>
      <c r="F27" s="502"/>
      <c r="G27" s="406">
        <v>2</v>
      </c>
      <c r="H27" s="4" t="s">
        <v>31</v>
      </c>
      <c r="I27" s="4"/>
      <c r="J27" s="536" t="s">
        <v>226</v>
      </c>
      <c r="K27" s="537"/>
      <c r="L27" s="537"/>
      <c r="M27" s="537"/>
      <c r="N27" s="288">
        <f>(1.486/$N$22*($N$25^(2/3))*($G$26/100)^0.5)</f>
        <v>1.05241588305517</v>
      </c>
      <c r="O27" s="103" t="s">
        <v>140</v>
      </c>
      <c r="P27" s="288">
        <f>(1.486/$P$22*($P$25^(2/3))*($G$26/100)^0.5)</f>
        <v>1.2447687970837458</v>
      </c>
      <c r="Q27" s="104" t="s">
        <v>140</v>
      </c>
      <c r="R27" s="4"/>
      <c r="S27" s="4"/>
      <c r="AE27" t="s">
        <v>220</v>
      </c>
    </row>
    <row r="28" spans="2:27" ht="15.75" customHeight="1" thickBot="1">
      <c r="B28" s="502" t="s">
        <v>381</v>
      </c>
      <c r="C28" s="502"/>
      <c r="D28" s="502"/>
      <c r="E28" s="502"/>
      <c r="F28" s="502"/>
      <c r="G28" s="406">
        <v>1100</v>
      </c>
      <c r="H28" s="4" t="s">
        <v>282</v>
      </c>
      <c r="I28" s="4"/>
      <c r="J28" s="534" t="s">
        <v>227</v>
      </c>
      <c r="K28" s="535"/>
      <c r="L28" s="535"/>
      <c r="M28" s="535"/>
      <c r="N28" s="299">
        <f>N26*N27</f>
        <v>18.34334791209383</v>
      </c>
      <c r="O28" s="114" t="s">
        <v>137</v>
      </c>
      <c r="P28" s="299">
        <f>P26*P27</f>
        <v>10.001019271898466</v>
      </c>
      <c r="Q28" s="291" t="s">
        <v>137</v>
      </c>
      <c r="R28" s="4"/>
      <c r="S28" s="4"/>
      <c r="U28" s="122"/>
      <c r="V28" s="122"/>
      <c r="W28" s="122"/>
      <c r="X28" s="122"/>
      <c r="Y28" s="122"/>
      <c r="Z28" s="122"/>
      <c r="AA28" s="122"/>
    </row>
    <row r="29" spans="2:27" ht="15.75" customHeight="1">
      <c r="B29" s="440" t="s">
        <v>382</v>
      </c>
      <c r="C29" s="440"/>
      <c r="D29" s="440"/>
      <c r="E29" s="440"/>
      <c r="F29" s="440"/>
      <c r="G29" s="407">
        <v>2.5</v>
      </c>
      <c r="H29" s="4" t="s">
        <v>140</v>
      </c>
      <c r="I29" s="4"/>
      <c r="J29" s="284"/>
      <c r="K29" s="284"/>
      <c r="L29" s="284"/>
      <c r="M29" s="284"/>
      <c r="N29" s="284"/>
      <c r="O29" s="284"/>
      <c r="P29" s="284"/>
      <c r="Q29" s="284"/>
      <c r="R29" s="4"/>
      <c r="S29" s="4"/>
      <c r="U29" s="22"/>
      <c r="V29" s="22"/>
      <c r="W29" s="22"/>
      <c r="X29" s="22"/>
      <c r="Y29" s="22"/>
      <c r="Z29" s="122"/>
      <c r="AA29" s="272"/>
    </row>
    <row r="30" spans="2:27" ht="15.75" customHeight="1">
      <c r="B30" s="502" t="s">
        <v>329</v>
      </c>
      <c r="C30" s="502"/>
      <c r="D30" s="502"/>
      <c r="E30" s="502"/>
      <c r="F30" s="502"/>
      <c r="G30" s="406">
        <v>0.5</v>
      </c>
      <c r="H30" s="4" t="s">
        <v>282</v>
      </c>
      <c r="I30" s="4"/>
      <c r="J30" s="531" t="s">
        <v>386</v>
      </c>
      <c r="K30" s="531"/>
      <c r="L30" s="531"/>
      <c r="M30" s="531"/>
      <c r="N30" s="285">
        <f>((sp/200)*((BW+2*AS*DC)^2)/(1-SS1*sp/100))+BW*DC+AS*DC^2</f>
        <v>15.730811660701765</v>
      </c>
      <c r="O30" s="284" t="s">
        <v>364</v>
      </c>
      <c r="P30" s="284"/>
      <c r="Q30" s="284"/>
      <c r="R30" s="4"/>
      <c r="S30" s="4"/>
      <c r="U30" s="40"/>
      <c r="V30" s="38"/>
      <c r="W30" s="38"/>
      <c r="X30" s="122"/>
      <c r="Y30" s="122"/>
      <c r="Z30" s="122"/>
      <c r="AA30" s="40"/>
    </row>
    <row r="31" spans="2:27" ht="25.5" customHeight="1" thickBot="1">
      <c r="B31" s="542" t="s">
        <v>330</v>
      </c>
      <c r="C31" s="542"/>
      <c r="D31" s="542"/>
      <c r="E31" s="542"/>
      <c r="F31" s="542"/>
      <c r="G31" s="422">
        <v>2</v>
      </c>
      <c r="H31" s="423"/>
      <c r="I31" s="423"/>
      <c r="J31" s="538" t="s">
        <v>387</v>
      </c>
      <c r="K31" s="538"/>
      <c r="L31" s="538"/>
      <c r="M31" s="538"/>
      <c r="N31" s="426">
        <f>((sp/200)*((TW+2*SS4*DF)^2)/(1-SS3*sp/100))+TW*DF+SS4*DF^2</f>
        <v>11.652762624531693</v>
      </c>
      <c r="O31" s="425" t="s">
        <v>364</v>
      </c>
      <c r="P31" s="425"/>
      <c r="Q31" s="425"/>
      <c r="R31" s="4"/>
      <c r="S31" s="4"/>
      <c r="U31" s="36"/>
      <c r="V31" s="36"/>
      <c r="W31" s="36"/>
      <c r="X31" s="36"/>
      <c r="Y31" s="22"/>
      <c r="Z31" s="122"/>
      <c r="AA31" s="122"/>
    </row>
    <row r="32" spans="2:33" ht="15.75" customHeight="1">
      <c r="B32" s="502" t="s">
        <v>372</v>
      </c>
      <c r="C32" s="502"/>
      <c r="D32" s="502"/>
      <c r="E32" s="502"/>
      <c r="F32" s="502"/>
      <c r="G32" s="420">
        <v>0.5631921609997506</v>
      </c>
      <c r="H32" s="4" t="s">
        <v>282</v>
      </c>
      <c r="I32" s="4"/>
      <c r="J32" s="536" t="s">
        <v>370</v>
      </c>
      <c r="K32" s="537"/>
      <c r="L32" s="537"/>
      <c r="M32" s="537"/>
      <c r="N32" s="288">
        <f>N30/N31</f>
        <v>1.3499641387686778</v>
      </c>
      <c r="O32" s="351" t="s">
        <v>138</v>
      </c>
      <c r="P32" s="289"/>
      <c r="Q32" s="284"/>
      <c r="R32" s="4"/>
      <c r="S32" s="4"/>
      <c r="AC32" s="262"/>
      <c r="AD32" s="262"/>
      <c r="AE32" s="262"/>
      <c r="AG32" s="263"/>
    </row>
    <row r="33" spans="2:33" ht="15.75" customHeight="1" thickBot="1">
      <c r="B33" s="502" t="s">
        <v>371</v>
      </c>
      <c r="C33" s="502"/>
      <c r="D33" s="502"/>
      <c r="E33" s="502"/>
      <c r="F33" s="502"/>
      <c r="G33" s="269">
        <v>1.5</v>
      </c>
      <c r="H33" s="4" t="s">
        <v>282</v>
      </c>
      <c r="I33" s="4"/>
      <c r="J33" s="534" t="s">
        <v>271</v>
      </c>
      <c r="K33" s="535"/>
      <c r="L33" s="535"/>
      <c r="M33" s="535"/>
      <c r="N33" s="290">
        <f>N31*G28/27</f>
        <v>474.74218099943937</v>
      </c>
      <c r="O33" s="114" t="s">
        <v>363</v>
      </c>
      <c r="P33" s="429"/>
      <c r="Q33" s="284"/>
      <c r="R33" s="4"/>
      <c r="S33" s="4"/>
      <c r="AC33" s="262"/>
      <c r="AD33" s="262"/>
      <c r="AE33" s="262"/>
      <c r="AG33" s="263"/>
    </row>
    <row r="34" spans="2:27" ht="15.75" customHeight="1">
      <c r="B34" s="502" t="s">
        <v>360</v>
      </c>
      <c r="C34" s="502"/>
      <c r="D34" s="502"/>
      <c r="E34" s="502"/>
      <c r="F34" s="502"/>
      <c r="G34" s="26">
        <f>CH/1.1</f>
        <v>1.3636363636363635</v>
      </c>
      <c r="H34" s="4" t="s">
        <v>282</v>
      </c>
      <c r="I34" s="4"/>
      <c r="J34" s="4"/>
      <c r="K34" s="4"/>
      <c r="L34" s="4"/>
      <c r="M34" s="4"/>
      <c r="N34" s="4"/>
      <c r="O34" s="4"/>
      <c r="P34" s="4"/>
      <c r="Q34" s="4"/>
      <c r="R34" s="4"/>
      <c r="S34" s="4"/>
      <c r="U34" s="262"/>
      <c r="V34" s="262"/>
      <c r="W34" s="262"/>
      <c r="X34" s="262"/>
      <c r="Y34" s="266"/>
      <c r="Z34" s="122"/>
      <c r="AA34" s="122"/>
    </row>
    <row r="35" spans="2:27" ht="15.75" customHeight="1">
      <c r="B35" s="4"/>
      <c r="C35" s="4"/>
      <c r="D35" s="4"/>
      <c r="E35" s="4"/>
      <c r="F35" s="4"/>
      <c r="G35" s="4"/>
      <c r="H35" s="4"/>
      <c r="I35" s="4"/>
      <c r="J35" s="4"/>
      <c r="K35" s="4"/>
      <c r="L35" s="4"/>
      <c r="M35" s="4"/>
      <c r="N35" s="4"/>
      <c r="O35" s="4"/>
      <c r="P35" s="4"/>
      <c r="Q35" s="4"/>
      <c r="R35" s="4"/>
      <c r="S35" s="4"/>
      <c r="U35" s="262"/>
      <c r="V35" s="262"/>
      <c r="W35" s="262"/>
      <c r="X35" s="262"/>
      <c r="Y35" s="266"/>
      <c r="Z35" s="122"/>
      <c r="AA35" s="122"/>
    </row>
    <row r="36" spans="3:27" ht="15.75" customHeight="1">
      <c r="C36" s="44"/>
      <c r="D36" s="4"/>
      <c r="E36" s="4"/>
      <c r="F36" s="4"/>
      <c r="G36" s="4"/>
      <c r="U36" s="36"/>
      <c r="V36" s="36"/>
      <c r="W36" s="36"/>
      <c r="X36" s="36"/>
      <c r="Y36" s="122"/>
      <c r="Z36" s="122"/>
      <c r="AA36" s="122"/>
    </row>
    <row r="37" spans="3:11" ht="15.75" customHeight="1">
      <c r="C37" s="343">
        <f>IF('Hyd Sum'!AZ10=1,"",IF(G19=25,"AMC II Curve Numbers (CN) must be used for a 25-yr, 24-hr frequency storm",""))</f>
      </c>
      <c r="D37" s="4"/>
      <c r="E37" s="4"/>
      <c r="F37" s="4"/>
      <c r="H37" s="268"/>
      <c r="I37" s="4"/>
      <c r="J37" s="4"/>
      <c r="K37" s="4"/>
    </row>
    <row r="38" spans="3:11" ht="15.75" customHeight="1">
      <c r="C38" s="264">
        <f>IF($P$27&gt;$G$29+0.005,"WARNING:  Velocity exceeds the allowable velocity.","")</f>
      </c>
      <c r="D38" s="4"/>
      <c r="E38" s="4"/>
      <c r="F38" s="4"/>
      <c r="G38" s="4"/>
      <c r="H38" s="4"/>
      <c r="I38" s="4"/>
      <c r="J38" s="4"/>
      <c r="K38" s="4"/>
    </row>
    <row r="39" spans="3:11" ht="15.75" customHeight="1">
      <c r="C39" s="264">
        <f>IF($P$27&gt;$G$29+0.005,"SUGGESTION:  Either decrease the minimum construction height (to reduce the hydraulic flow depth),","")</f>
      </c>
      <c r="D39" s="4"/>
      <c r="E39" s="4"/>
      <c r="F39" s="4"/>
      <c r="G39" s="4"/>
      <c r="H39" s="4"/>
      <c r="I39" s="4"/>
      <c r="J39" s="4"/>
      <c r="K39" s="4"/>
    </row>
    <row r="40" spans="3:11" ht="15.75" customHeight="1">
      <c r="C40" s="264">
        <f>IF($P$27&gt;$G$29+0.005,"decrease the channel grade, or adjust the channel width and side slope dimensions","")</f>
      </c>
      <c r="D40" s="4"/>
      <c r="E40" s="4"/>
      <c r="F40" s="4"/>
      <c r="G40" s="4"/>
      <c r="H40" s="4"/>
      <c r="I40" s="4"/>
      <c r="J40" s="4"/>
      <c r="K40" s="4"/>
    </row>
    <row r="41" spans="3:11" ht="15.75" customHeight="1">
      <c r="C41" s="264"/>
      <c r="D41" s="4"/>
      <c r="E41" s="4"/>
      <c r="F41" s="4"/>
      <c r="G41" s="4"/>
      <c r="H41" s="4"/>
      <c r="I41" s="4"/>
      <c r="J41" s="4"/>
      <c r="K41" s="4"/>
    </row>
    <row r="42" spans="3:11" ht="15.75" customHeight="1">
      <c r="C42" s="264">
        <f>IF($N$32&lt;1.346,"WARNING: The C/F ratio is less than 1.35.",IF($N$32&gt;1.354,"WARNING:  The C/F ratio is more than 1.35",""))</f>
      </c>
      <c r="D42" s="4"/>
      <c r="E42" s="4"/>
      <c r="F42" s="4"/>
      <c r="G42" s="4"/>
      <c r="H42" s="4"/>
      <c r="I42" s="4"/>
      <c r="J42" s="4"/>
      <c r="K42" s="4"/>
    </row>
    <row r="43" spans="3:11" ht="15">
      <c r="C43" s="264"/>
      <c r="D43" s="4"/>
      <c r="E43" s="4"/>
      <c r="F43" s="4"/>
      <c r="G43" s="4"/>
      <c r="H43" s="4"/>
      <c r="I43" s="4"/>
      <c r="J43" s="4"/>
      <c r="K43" s="4"/>
    </row>
    <row r="44" spans="3:16" ht="15">
      <c r="C44" s="264"/>
      <c r="P44" s="12" t="s">
        <v>141</v>
      </c>
    </row>
    <row r="45" spans="3:16" ht="15">
      <c r="C45" s="264"/>
      <c r="P45" s="12"/>
    </row>
    <row r="46" spans="3:16" ht="15">
      <c r="C46" s="264"/>
      <c r="P46" s="12"/>
    </row>
    <row r="47" spans="3:16" ht="15">
      <c r="C47" s="264"/>
      <c r="P47" s="12"/>
    </row>
    <row r="48" ht="12.75">
      <c r="P48" s="12"/>
    </row>
    <row r="49" spans="3:16" ht="15">
      <c r="C49" s="264"/>
      <c r="P49" s="12"/>
    </row>
    <row r="50" ht="12.75">
      <c r="P50" s="12"/>
    </row>
    <row r="51" ht="12.75">
      <c r="P51" s="12"/>
    </row>
    <row r="52" spans="3:16" ht="15">
      <c r="C52" s="264"/>
      <c r="P52" s="12"/>
    </row>
    <row r="53" ht="12.75">
      <c r="P53" s="12"/>
    </row>
    <row r="54" ht="12.75"/>
  </sheetData>
  <sheetProtection password="B271" sheet="1" objects="1" scenarios="1"/>
  <mergeCells count="48">
    <mergeCell ref="J25:M25"/>
    <mergeCell ref="B34:F34"/>
    <mergeCell ref="B31:F31"/>
    <mergeCell ref="J24:M24"/>
    <mergeCell ref="B33:F33"/>
    <mergeCell ref="B28:F28"/>
    <mergeCell ref="B27:F27"/>
    <mergeCell ref="B26:F26"/>
    <mergeCell ref="B25:F25"/>
    <mergeCell ref="B24:F24"/>
    <mergeCell ref="J32:M32"/>
    <mergeCell ref="J33:M33"/>
    <mergeCell ref="J31:M31"/>
    <mergeCell ref="J30:M30"/>
    <mergeCell ref="F1:N1"/>
    <mergeCell ref="D2:G2"/>
    <mergeCell ref="D3:G3"/>
    <mergeCell ref="B3:C3"/>
    <mergeCell ref="K2:N2"/>
    <mergeCell ref="B1:C1"/>
    <mergeCell ref="Q3:R3"/>
    <mergeCell ref="Q2:R2"/>
    <mergeCell ref="B32:F32"/>
    <mergeCell ref="B30:F30"/>
    <mergeCell ref="B29:F29"/>
    <mergeCell ref="B19:F19"/>
    <mergeCell ref="J22:M22"/>
    <mergeCell ref="J28:M28"/>
    <mergeCell ref="J27:M27"/>
    <mergeCell ref="J26:M26"/>
    <mergeCell ref="B23:F23"/>
    <mergeCell ref="B22:F22"/>
    <mergeCell ref="K3:N3"/>
    <mergeCell ref="K4:N4"/>
    <mergeCell ref="B20:F20"/>
    <mergeCell ref="D4:G4"/>
    <mergeCell ref="J21:M21"/>
    <mergeCell ref="J23:M23"/>
    <mergeCell ref="Q1:R1"/>
    <mergeCell ref="AE20:AF20"/>
    <mergeCell ref="B18:F18"/>
    <mergeCell ref="B21:F21"/>
    <mergeCell ref="I2:J2"/>
    <mergeCell ref="I4:J4"/>
    <mergeCell ref="I3:J3"/>
    <mergeCell ref="Q4:R4"/>
    <mergeCell ref="B2:C2"/>
    <mergeCell ref="B4:C4"/>
  </mergeCells>
  <conditionalFormatting sqref="N28 P28">
    <cfRule type="cellIs" priority="1" dxfId="1" operator="lessThan" stopIfTrue="1">
      <formula>$G$20</formula>
    </cfRule>
  </conditionalFormatting>
  <conditionalFormatting sqref="O28 Q28">
    <cfRule type="cellIs" priority="2" dxfId="2" operator="lessThan" stopIfTrue="1">
      <formula>$G$20</formula>
    </cfRule>
  </conditionalFormatting>
  <conditionalFormatting sqref="O18">
    <cfRule type="expression" priority="3" dxfId="0" stopIfTrue="1">
      <formula>$AK$14="farmed"</formula>
    </cfRule>
    <cfRule type="expression" priority="4" dxfId="3" stopIfTrue="1">
      <formula>$AK$14="vegetated"</formula>
    </cfRule>
  </conditionalFormatting>
  <conditionalFormatting sqref="L18">
    <cfRule type="expression" priority="5" dxfId="3" stopIfTrue="1">
      <formula>$AK$14="farmed"</formula>
    </cfRule>
    <cfRule type="expression" priority="6" dxfId="0" stopIfTrue="1">
      <formula>$AK$14="vegetated"</formula>
    </cfRule>
  </conditionalFormatting>
  <conditionalFormatting sqref="N27 P27">
    <cfRule type="cellIs" priority="7" dxfId="1" operator="greaterThan" stopIfTrue="1">
      <formula>$G$29</formula>
    </cfRule>
  </conditionalFormatting>
  <dataValidations count="6">
    <dataValidation type="decimal" operator="greaterThanOrEqual" allowBlank="1" showErrorMessage="1" prompt="Input the desired constructed height of the diversion." error="The minimum constructed diversion height is 1.5 feet." sqref="G33">
      <formula1>1.5</formula1>
    </dataValidation>
    <dataValidation type="decimal" operator="greaterThanOrEqual" allowBlank="1" showErrorMessage="1" errorTitle="Freeboard to low" error="Freeboard must be 0.5 foot or greater" sqref="G30">
      <formula1>0.5</formula1>
    </dataValidation>
    <dataValidation type="list" showDropDown="1" showErrorMessage="1" errorTitle="Error!" error="Design frequency storm may only be 2, 10, or 25." sqref="G19">
      <formula1>$AJ$2:$AL$2</formula1>
    </dataValidation>
    <dataValidation type="list" allowBlank="1" showDropDown="1" showErrorMessage="1" errorTitle="Error!" error="Enter B, C, D, or E." sqref="P21 N21">
      <formula1>$AJ$8:$AJ$11</formula1>
    </dataValidation>
    <dataValidation type="whole" showInputMessage="1" showErrorMessage="1" prompt="Enter Stake Method as 1, 2, or 3.&#10;Stake Method 1 places flag at downstream edge of channel.&#10;Stake Method 2 places flag at no-cut no-fill point on front slope.&#10;Stake Method 3 places flag at center of channel." errorTitle="Error!" error="Please enter 1, 2, or 3." sqref="G31">
      <formula1>1</formula1>
      <formula2>3</formula2>
    </dataValidation>
    <dataValidation type="decimal" showInputMessage="1" showErrorMessage="1" prompt="Input allowable maximum diversion velocity." errorTitle="Error!" error="The maximum allowable velocity for a farmed gradient diversion is 2.5 fps." sqref="G29">
      <formula1>0</formula1>
      <formula2>2.5</formula2>
    </dataValidation>
  </dataValidations>
  <printOptions/>
  <pageMargins left="0.5" right="0.75" top="0.75" bottom="1" header="0.5" footer="0.5"/>
  <pageSetup blackAndWhite="1" fitToHeight="1" fitToWidth="1" horizontalDpi="600" verticalDpi="600" orientation="portrait" scale="86" r:id="rId4"/>
  <drawing r:id="rId3"/>
  <legacyDrawing r:id="rId2"/>
</worksheet>
</file>

<file path=xl/worksheets/sheet7.xml><?xml version="1.0" encoding="utf-8"?>
<worksheet xmlns="http://schemas.openxmlformats.org/spreadsheetml/2006/main" xmlns:r="http://schemas.openxmlformats.org/officeDocument/2006/relationships">
  <sheetPr codeName="Sheet111">
    <pageSetUpPr fitToPage="1"/>
  </sheetPr>
  <dimension ref="A1:AL53"/>
  <sheetViews>
    <sheetView showGridLines="0" zoomScale="95" zoomScaleNormal="95" workbookViewId="0" topLeftCell="A1">
      <selection activeCell="G22" sqref="G22"/>
    </sheetView>
  </sheetViews>
  <sheetFormatPr defaultColWidth="9.140625" defaultRowHeight="12.75" zeroHeight="1"/>
  <cols>
    <col min="1" max="1" width="3.7109375" style="0" customWidth="1"/>
    <col min="2" max="13" width="5.7109375" style="0" customWidth="1"/>
    <col min="14" max="14" width="8.57421875" style="0" customWidth="1"/>
    <col min="15" max="15" width="5.7109375" style="0" customWidth="1"/>
    <col min="16" max="16" width="8.57421875" style="0" customWidth="1"/>
    <col min="17" max="20" width="5.7109375" style="0" customWidth="1"/>
    <col min="29" max="35" width="0" style="0" hidden="1" customWidth="1"/>
    <col min="36" max="36" width="10.8515625" style="0" hidden="1" customWidth="1"/>
    <col min="37" max="40" width="0" style="0" hidden="1" customWidth="1"/>
  </cols>
  <sheetData>
    <row r="1" spans="2:36" ht="36" customHeight="1">
      <c r="B1" s="541" t="s">
        <v>331</v>
      </c>
      <c r="C1" s="541"/>
      <c r="D1" s="38"/>
      <c r="E1" s="30"/>
      <c r="F1" s="539" t="s">
        <v>344</v>
      </c>
      <c r="G1" s="539"/>
      <c r="H1" s="539"/>
      <c r="I1" s="539"/>
      <c r="J1" s="539"/>
      <c r="K1" s="539"/>
      <c r="L1" s="539"/>
      <c r="M1" s="539"/>
      <c r="N1" s="540"/>
      <c r="O1" s="30"/>
      <c r="Q1" s="524" t="s">
        <v>398</v>
      </c>
      <c r="R1" s="524"/>
      <c r="AC1" s="273"/>
      <c r="AD1" s="273"/>
      <c r="AE1" s="273"/>
      <c r="AF1" s="273" t="s">
        <v>205</v>
      </c>
      <c r="AG1" s="274">
        <f>(G23+G24)/2</f>
        <v>6</v>
      </c>
      <c r="AJ1" s="277" t="s">
        <v>223</v>
      </c>
    </row>
    <row r="2" spans="1:38" ht="15.75" customHeight="1">
      <c r="A2" s="12" t="s">
        <v>182</v>
      </c>
      <c r="B2" s="502" t="s">
        <v>127</v>
      </c>
      <c r="C2" s="502"/>
      <c r="D2" s="528">
        <f>IF(OR('Hyd Sum'!G4="",G18=""),"",'Hyd Sum'!G4)</f>
      </c>
      <c r="E2" s="528"/>
      <c r="F2" s="528"/>
      <c r="G2" s="528"/>
      <c r="I2" s="502" t="s">
        <v>131</v>
      </c>
      <c r="J2" s="502"/>
      <c r="K2" s="528">
        <f>IF(OR('Hyd Sum'!G8="",G18=""),"",'Hyd Sum'!G8)</f>
      </c>
      <c r="L2" s="528"/>
      <c r="M2" s="528"/>
      <c r="N2" s="528"/>
      <c r="P2" s="38" t="s">
        <v>130</v>
      </c>
      <c r="Q2" s="532">
        <f>IF(OR('Hyd Sum'!W8="",G18=""),"",'Hyd Sum'!W8)</f>
      </c>
      <c r="R2" s="532"/>
      <c r="S2" s="4"/>
      <c r="AC2" s="273"/>
      <c r="AD2" s="273"/>
      <c r="AE2" s="273"/>
      <c r="AF2" s="273" t="s">
        <v>206</v>
      </c>
      <c r="AG2" s="274">
        <f>(SS2+SS3)/2</f>
        <v>6</v>
      </c>
      <c r="AJ2">
        <v>2</v>
      </c>
      <c r="AK2">
        <v>10</v>
      </c>
      <c r="AL2">
        <v>25</v>
      </c>
    </row>
    <row r="3" spans="2:19" ht="15.75" customHeight="1">
      <c r="B3" s="502" t="s">
        <v>128</v>
      </c>
      <c r="C3" s="502"/>
      <c r="D3" s="528">
        <f>IF(OR('Hyd Sum'!G6="",G18=""),"",'Hyd Sum'!G6)</f>
      </c>
      <c r="E3" s="528"/>
      <c r="F3" s="528"/>
      <c r="G3" s="528"/>
      <c r="I3" s="502" t="s">
        <v>147</v>
      </c>
      <c r="J3" s="502"/>
      <c r="K3" s="526">
        <f>IF(OR('KS-ENG-8'!J64="",G18=""),"",'KS-ENG-8'!J64)</f>
      </c>
      <c r="L3" s="526"/>
      <c r="M3" s="526"/>
      <c r="N3" s="526"/>
      <c r="P3" s="38" t="s">
        <v>130</v>
      </c>
      <c r="Q3" s="446">
        <f>IF(OR('KS-ENG-8'!AI64="",G18=""),"",'KS-ENG-8'!AI64)</f>
      </c>
      <c r="R3" s="446"/>
      <c r="S3" s="4"/>
    </row>
    <row r="4" spans="2:29" ht="15.75" customHeight="1">
      <c r="B4" s="502" t="s">
        <v>129</v>
      </c>
      <c r="C4" s="502"/>
      <c r="D4" s="528">
        <f>IF(OR('Hyd Sum'!W6="",G18=""),"",'Hyd Sum'!W6)</f>
      </c>
      <c r="E4" s="528"/>
      <c r="F4" s="528"/>
      <c r="G4" s="528"/>
      <c r="I4" s="502" t="s">
        <v>133</v>
      </c>
      <c r="J4" s="502"/>
      <c r="K4" s="544">
        <f>IF(OR('Hyd Sum'!G10="",G18=""),"",'Hyd Sum'!G10)</f>
      </c>
      <c r="L4" s="544"/>
      <c r="M4" s="544"/>
      <c r="N4" s="544"/>
      <c r="P4" s="267" t="s">
        <v>130</v>
      </c>
      <c r="Q4" s="525">
        <f>IF(OR('Hyd Sum'!W10="",G18=""),"",'Hyd Sum'!W10)</f>
      </c>
      <c r="R4" s="525"/>
      <c r="S4" s="4"/>
      <c r="AC4" s="2" t="s">
        <v>351</v>
      </c>
    </row>
    <row r="5" spans="2:16" ht="25.5" customHeight="1" thickBot="1">
      <c r="B5" s="4"/>
      <c r="C5" s="4"/>
      <c r="D5" s="4"/>
      <c r="E5" s="4"/>
      <c r="F5" s="4"/>
      <c r="G5" s="4"/>
      <c r="H5" s="4"/>
      <c r="I5" s="4"/>
      <c r="J5" s="4"/>
      <c r="K5" s="4"/>
      <c r="L5" s="4"/>
      <c r="M5" s="4"/>
      <c r="N5" s="4"/>
      <c r="O5" s="4"/>
      <c r="P5" s="4"/>
    </row>
    <row r="6" spans="2:16" ht="12.75" customHeight="1">
      <c r="B6" s="4"/>
      <c r="C6" s="35"/>
      <c r="D6" s="31"/>
      <c r="E6" s="31"/>
      <c r="F6" s="31"/>
      <c r="G6" s="31"/>
      <c r="H6" s="31"/>
      <c r="I6" s="31"/>
      <c r="J6" s="31"/>
      <c r="K6" s="31"/>
      <c r="L6" s="31"/>
      <c r="M6" s="31"/>
      <c r="N6" s="31"/>
      <c r="O6" s="32"/>
      <c r="P6" s="4"/>
    </row>
    <row r="7" spans="2:38" ht="12.75" customHeight="1">
      <c r="B7" s="4"/>
      <c r="C7" s="3"/>
      <c r="D7" s="4"/>
      <c r="E7" s="4"/>
      <c r="F7" s="4"/>
      <c r="G7" s="4"/>
      <c r="H7" s="4"/>
      <c r="I7" s="4"/>
      <c r="J7" s="36">
        <f>G22</f>
        <v>4</v>
      </c>
      <c r="K7" s="4" t="s">
        <v>135</v>
      </c>
      <c r="L7" s="4"/>
      <c r="M7" s="4"/>
      <c r="N7" s="4"/>
      <c r="O7" s="34"/>
      <c r="P7" s="4"/>
      <c r="AE7" s="141" t="s">
        <v>222</v>
      </c>
      <c r="AF7">
        <v>1.35</v>
      </c>
      <c r="AJ7" s="278" t="s">
        <v>224</v>
      </c>
      <c r="AK7" s="295" t="s">
        <v>230</v>
      </c>
      <c r="AL7" s="4"/>
    </row>
    <row r="8" spans="2:38" ht="12.75" customHeight="1">
      <c r="B8" s="4"/>
      <c r="C8" s="3"/>
      <c r="D8" s="4"/>
      <c r="E8" s="4"/>
      <c r="F8" s="4"/>
      <c r="G8" s="4"/>
      <c r="H8" s="4"/>
      <c r="I8" s="4"/>
      <c r="J8" s="4"/>
      <c r="K8" s="4"/>
      <c r="L8" s="4"/>
      <c r="M8" s="4"/>
      <c r="N8" s="4"/>
      <c r="O8" s="34"/>
      <c r="P8" s="4"/>
      <c r="AE8" s="141" t="s">
        <v>229</v>
      </c>
      <c r="AF8" s="293">
        <f>CHOOSE(G31,G32/(1+SS2*LS/100),G32,(G32-BW/2*LS/100)/(1+SS2*LS/100))</f>
        <v>0.5450272923841577</v>
      </c>
      <c r="AJ8" s="296" t="s">
        <v>34</v>
      </c>
      <c r="AK8" s="294">
        <v>10</v>
      </c>
      <c r="AL8" s="4"/>
    </row>
    <row r="9" spans="2:38" ht="12.75" customHeight="1">
      <c r="B9" s="4"/>
      <c r="C9" s="3"/>
      <c r="D9" s="4"/>
      <c r="E9" s="4"/>
      <c r="F9" s="4"/>
      <c r="G9" s="4"/>
      <c r="H9" s="4"/>
      <c r="I9" s="4"/>
      <c r="J9" s="4"/>
      <c r="K9" s="4"/>
      <c r="L9" s="4"/>
      <c r="M9" s="4"/>
      <c r="N9" s="4"/>
      <c r="O9" s="34"/>
      <c r="P9" s="4"/>
      <c r="Q9" s="4"/>
      <c r="R9" s="4"/>
      <c r="S9" s="4"/>
      <c r="AE9" s="141" t="s">
        <v>136</v>
      </c>
      <c r="AF9" s="261">
        <f>CH-DC</f>
        <v>0.9549727076158423</v>
      </c>
      <c r="AJ9" s="296" t="s">
        <v>35</v>
      </c>
      <c r="AK9" s="294">
        <v>7.643</v>
      </c>
      <c r="AL9" s="4"/>
    </row>
    <row r="10" spans="2:38" ht="12.75" customHeight="1">
      <c r="B10" s="4"/>
      <c r="C10" s="3"/>
      <c r="D10" s="4"/>
      <c r="E10" s="4"/>
      <c r="F10" s="4"/>
      <c r="G10" s="37">
        <f>G33</f>
        <v>1.5</v>
      </c>
      <c r="H10" s="4" t="s">
        <v>135</v>
      </c>
      <c r="I10" s="4"/>
      <c r="J10" s="4"/>
      <c r="K10" s="4"/>
      <c r="L10" s="4"/>
      <c r="M10" s="4"/>
      <c r="N10" s="4"/>
      <c r="O10" s="34"/>
      <c r="P10" s="4"/>
      <c r="Q10" s="4"/>
      <c r="R10" s="4"/>
      <c r="S10" s="4"/>
      <c r="AE10" s="141" t="s">
        <v>201</v>
      </c>
      <c r="AF10">
        <v>0.06</v>
      </c>
      <c r="AG10" s="1" t="s">
        <v>231</v>
      </c>
      <c r="AJ10" s="296" t="s">
        <v>36</v>
      </c>
      <c r="AK10" s="294">
        <v>5.601</v>
      </c>
      <c r="AL10" s="4"/>
    </row>
    <row r="11" spans="2:38" ht="12.75" customHeight="1">
      <c r="B11" s="4"/>
      <c r="C11" s="3"/>
      <c r="D11" s="4"/>
      <c r="E11" s="4"/>
      <c r="F11" s="4"/>
      <c r="G11" s="4"/>
      <c r="H11" s="4"/>
      <c r="I11" s="4"/>
      <c r="J11" s="38">
        <v>1</v>
      </c>
      <c r="K11" s="33">
        <v>1</v>
      </c>
      <c r="L11" s="4"/>
      <c r="M11" s="4"/>
      <c r="N11" s="4"/>
      <c r="O11" s="34"/>
      <c r="P11" s="4"/>
      <c r="Q11" s="4"/>
      <c r="R11" s="4"/>
      <c r="S11" s="4"/>
      <c r="AE11" s="141" t="s">
        <v>202</v>
      </c>
      <c r="AF11">
        <v>0.035</v>
      </c>
      <c r="AG11" s="1" t="s">
        <v>231</v>
      </c>
      <c r="AJ11" s="296" t="s">
        <v>37</v>
      </c>
      <c r="AK11" s="294">
        <v>4.436</v>
      </c>
      <c r="AL11" s="4"/>
    </row>
    <row r="12" spans="2:38" ht="12.75" customHeight="1">
      <c r="B12" s="4"/>
      <c r="C12" s="3"/>
      <c r="D12" s="4"/>
      <c r="E12" s="39">
        <v>1</v>
      </c>
      <c r="F12" s="4"/>
      <c r="G12" s="4"/>
      <c r="H12" s="4"/>
      <c r="I12" s="36">
        <f>G24</f>
        <v>6</v>
      </c>
      <c r="J12" s="4"/>
      <c r="K12" s="4"/>
      <c r="L12" s="22">
        <f>G25</f>
        <v>6</v>
      </c>
      <c r="M12" s="4"/>
      <c r="N12" s="4"/>
      <c r="O12" s="34"/>
      <c r="P12" s="4"/>
      <c r="Q12" s="4"/>
      <c r="R12" s="4"/>
      <c r="S12" s="4"/>
      <c r="AF12" s="141" t="s">
        <v>197</v>
      </c>
      <c r="AG12" s="141" t="s">
        <v>198</v>
      </c>
      <c r="AJ12" s="296" t="s">
        <v>225</v>
      </c>
      <c r="AK12" s="294">
        <v>2.876</v>
      </c>
      <c r="AL12" s="4"/>
    </row>
    <row r="13" spans="2:33" ht="12.75" customHeight="1">
      <c r="B13" s="4"/>
      <c r="C13" s="3"/>
      <c r="D13" s="4"/>
      <c r="E13" s="4"/>
      <c r="F13" s="40">
        <f>G23</f>
        <v>6</v>
      </c>
      <c r="G13" s="4"/>
      <c r="H13" s="4"/>
      <c r="I13" s="4"/>
      <c r="J13" s="4"/>
      <c r="K13" s="4"/>
      <c r="L13" s="4"/>
      <c r="M13" s="4"/>
      <c r="N13" s="4"/>
      <c r="O13" s="34"/>
      <c r="P13" s="4"/>
      <c r="Q13" s="4"/>
      <c r="R13" s="4"/>
      <c r="S13" s="4"/>
      <c r="AF13" s="280" t="b">
        <v>0</v>
      </c>
      <c r="AG13" s="280" t="b">
        <v>0</v>
      </c>
    </row>
    <row r="14" spans="2:37" ht="12.75" customHeight="1">
      <c r="B14" s="4"/>
      <c r="C14" s="3"/>
      <c r="D14" s="4"/>
      <c r="E14" s="4"/>
      <c r="F14" s="4"/>
      <c r="G14" s="4"/>
      <c r="H14" s="4"/>
      <c r="I14" s="4"/>
      <c r="J14" s="4"/>
      <c r="K14" s="4"/>
      <c r="L14" s="4"/>
      <c r="M14" s="4"/>
      <c r="N14" s="4"/>
      <c r="O14" s="34"/>
      <c r="P14" s="4"/>
      <c r="Q14" s="4"/>
      <c r="R14" s="4"/>
      <c r="S14" s="4"/>
      <c r="AJ14" s="141" t="s">
        <v>228</v>
      </c>
      <c r="AK14" s="280" t="s">
        <v>198</v>
      </c>
    </row>
    <row r="15" spans="2:36" ht="12.75" customHeight="1">
      <c r="B15" s="4"/>
      <c r="C15" s="3"/>
      <c r="D15" s="4"/>
      <c r="E15" s="4"/>
      <c r="F15" s="4"/>
      <c r="G15" s="36">
        <f>G21</f>
        <v>15</v>
      </c>
      <c r="H15" s="4" t="s">
        <v>135</v>
      </c>
      <c r="I15" s="4"/>
      <c r="J15" s="4"/>
      <c r="K15" s="4"/>
      <c r="L15" s="4"/>
      <c r="M15" s="4"/>
      <c r="N15" s="4"/>
      <c r="O15" s="34"/>
      <c r="P15" s="4"/>
      <c r="Q15" s="4"/>
      <c r="R15" s="4"/>
      <c r="S15" s="4"/>
      <c r="AE15" t="s">
        <v>200</v>
      </c>
      <c r="AF15">
        <f>P28/Qc</f>
        <v>0.722267481011538</v>
      </c>
      <c r="AJ15" s="141"/>
    </row>
    <row r="16" spans="2:19" ht="12.75" customHeight="1">
      <c r="B16" s="4"/>
      <c r="C16" s="3"/>
      <c r="D16" s="4"/>
      <c r="E16" s="4"/>
      <c r="F16" s="4"/>
      <c r="G16" s="4"/>
      <c r="H16" s="4"/>
      <c r="I16" s="4"/>
      <c r="J16" s="4"/>
      <c r="K16" s="4"/>
      <c r="L16" s="4"/>
      <c r="M16" s="4"/>
      <c r="N16" s="4"/>
      <c r="O16" s="34"/>
      <c r="P16" s="4"/>
      <c r="Q16" s="4"/>
      <c r="R16" s="4"/>
      <c r="S16" s="4"/>
    </row>
    <row r="17" spans="2:19" ht="12.75" customHeight="1" thickBot="1">
      <c r="B17" s="4"/>
      <c r="C17" s="41"/>
      <c r="D17" s="42"/>
      <c r="E17" s="42"/>
      <c r="F17" s="42"/>
      <c r="G17" s="42"/>
      <c r="H17" s="42"/>
      <c r="I17" s="42"/>
      <c r="J17" s="42"/>
      <c r="K17" s="42"/>
      <c r="L17" s="42"/>
      <c r="M17" s="42"/>
      <c r="N17" s="42"/>
      <c r="O17" s="43"/>
      <c r="P17" s="4"/>
      <c r="Q17" s="270"/>
      <c r="R17" s="4"/>
      <c r="S17" s="4"/>
    </row>
    <row r="18" spans="2:19" ht="25.5" customHeight="1">
      <c r="B18" s="502" t="s">
        <v>326</v>
      </c>
      <c r="C18" s="502"/>
      <c r="D18" s="502"/>
      <c r="E18" s="502"/>
      <c r="F18" s="502"/>
      <c r="G18" s="281">
        <f>CONCATENATE('Hyd Sum'!H28,'Hyd Sum'!M28)</f>
      </c>
      <c r="H18" s="4"/>
      <c r="I18" s="4"/>
      <c r="J18" s="4" t="s">
        <v>199</v>
      </c>
      <c r="K18" s="4"/>
      <c r="L18" s="279" t="s">
        <v>197</v>
      </c>
      <c r="M18" s="421"/>
      <c r="N18" s="4"/>
      <c r="O18" s="279" t="s">
        <v>198</v>
      </c>
      <c r="P18" s="421"/>
      <c r="Q18" s="4"/>
      <c r="R18" s="4"/>
      <c r="S18" s="4"/>
    </row>
    <row r="19" spans="2:19" ht="15.75" customHeight="1">
      <c r="B19" s="533" t="s">
        <v>270</v>
      </c>
      <c r="C19" s="530"/>
      <c r="D19" s="530"/>
      <c r="E19" s="530"/>
      <c r="F19" s="530"/>
      <c r="G19" s="276">
        <v>10</v>
      </c>
      <c r="H19" s="165" t="s">
        <v>365</v>
      </c>
      <c r="I19" s="4"/>
      <c r="J19" s="4"/>
      <c r="K19" s="4"/>
      <c r="L19" s="4"/>
      <c r="M19" s="4"/>
      <c r="N19" s="4"/>
      <c r="O19" s="4"/>
      <c r="P19" s="4"/>
      <c r="Q19" s="4"/>
      <c r="R19" s="4"/>
      <c r="S19" s="4"/>
    </row>
    <row r="20" spans="2:32" ht="15.75" customHeight="1">
      <c r="B20" s="502" t="s">
        <v>374</v>
      </c>
      <c r="C20" s="502"/>
      <c r="D20" s="502"/>
      <c r="E20" s="502"/>
      <c r="F20" s="502"/>
      <c r="G20" s="292">
        <f>IF('Hyd Sum'!H32="",10,IF(AND('CN calc'!D9='CN calc'!D67,G19=2),MAX('Hyd Sum'!W36,'Hyd Sum'!W23),IF(AND('CN calc'!D9='CN calc'!D67,G19=10),MAX('Hyd Sum'!W37,'Hyd Sum'!W24),IF(AND('CN calc'!D9='CN calc'!D67,G19=25),MAX('Hyd Sum'!W38,'Hyd Sum'!W25),IF(G19=2,'Hyd Sum'!W36,IF(G19=10,'Hyd Sum'!W37,IF(G19=25,'Hyd Sum'!W38)))))))</f>
        <v>10</v>
      </c>
      <c r="H20" s="4" t="s">
        <v>137</v>
      </c>
      <c r="I20" s="4"/>
      <c r="J20" s="4"/>
      <c r="K20" s="4"/>
      <c r="L20" s="4"/>
      <c r="M20" s="4"/>
      <c r="N20" s="275" t="s">
        <v>204</v>
      </c>
      <c r="O20" s="4"/>
      <c r="P20" s="275" t="s">
        <v>203</v>
      </c>
      <c r="Q20" s="4"/>
      <c r="R20" s="4"/>
      <c r="S20" s="4"/>
      <c r="V20" s="37"/>
      <c r="AE20" s="490"/>
      <c r="AF20" s="490"/>
    </row>
    <row r="21" spans="2:30" ht="15.75" customHeight="1">
      <c r="B21" s="502" t="s">
        <v>352</v>
      </c>
      <c r="C21" s="502"/>
      <c r="D21" s="502"/>
      <c r="E21" s="502"/>
      <c r="F21" s="502"/>
      <c r="G21" s="406">
        <v>15</v>
      </c>
      <c r="H21" s="4" t="s">
        <v>282</v>
      </c>
      <c r="I21" s="4"/>
      <c r="J21" s="543" t="s">
        <v>343</v>
      </c>
      <c r="K21" s="502"/>
      <c r="L21" s="502"/>
      <c r="M21" s="502"/>
      <c r="N21" s="305" t="s">
        <v>36</v>
      </c>
      <c r="O21" s="4"/>
      <c r="P21" s="305" t="s">
        <v>37</v>
      </c>
      <c r="Q21" s="4"/>
      <c r="R21" s="4"/>
      <c r="S21" s="4"/>
      <c r="AB21" s="33"/>
      <c r="AC21" s="33"/>
      <c r="AD21" s="33"/>
    </row>
    <row r="22" spans="2:31" ht="15.75" customHeight="1">
      <c r="B22" s="502" t="s">
        <v>353</v>
      </c>
      <c r="C22" s="502"/>
      <c r="D22" s="502"/>
      <c r="E22" s="502"/>
      <c r="F22" s="502"/>
      <c r="G22" s="406">
        <v>4</v>
      </c>
      <c r="H22" s="4" t="s">
        <v>282</v>
      </c>
      <c r="I22" s="4"/>
      <c r="J22" s="531" t="s">
        <v>272</v>
      </c>
      <c r="K22" s="531"/>
      <c r="L22" s="531"/>
      <c r="M22" s="531"/>
      <c r="N22" s="298">
        <f>IF($AK$14="farmed",AF10,EXP(VLOOKUP(N21,AJ8:AK12,2)*(0.01329*LN(Q/p)^2-0.09543*LN(Q/p)+0.2971)-4.16))</f>
        <v>0.14511968817743823</v>
      </c>
      <c r="O22" s="284"/>
      <c r="P22" s="298">
        <f>IF($AK$14="farmed",AF11,EXP(VLOOKUP(P21,AJ8:AK12,2)*(0.01329*LN(Q/P24)^2-0.09543*LN(Q/P24)+0.2971)-4.16))</f>
        <v>0.08328794159045476</v>
      </c>
      <c r="Q22" s="284"/>
      <c r="R22" s="4"/>
      <c r="S22" s="4"/>
      <c r="AB22" s="33"/>
      <c r="AC22" s="33"/>
      <c r="AD22" s="33"/>
      <c r="AE22" s="33"/>
    </row>
    <row r="23" spans="2:31" ht="15.75" customHeight="1">
      <c r="B23" s="502" t="s">
        <v>354</v>
      </c>
      <c r="C23" s="502"/>
      <c r="D23" s="502"/>
      <c r="E23" s="502"/>
      <c r="F23" s="502"/>
      <c r="G23" s="406">
        <v>6</v>
      </c>
      <c r="H23" s="4" t="s">
        <v>138</v>
      </c>
      <c r="I23" s="4"/>
      <c r="J23" s="531" t="s">
        <v>361</v>
      </c>
      <c r="K23" s="531"/>
      <c r="L23" s="531"/>
      <c r="M23" s="531"/>
      <c r="N23" s="271">
        <f>TH-G30</f>
        <v>0.8636363636363635</v>
      </c>
      <c r="O23" s="284" t="s">
        <v>282</v>
      </c>
      <c r="P23" s="282">
        <v>0.5275123283098918</v>
      </c>
      <c r="Q23" s="284" t="s">
        <v>282</v>
      </c>
      <c r="R23" s="4"/>
      <c r="S23" s="4"/>
      <c r="AB23" s="33"/>
      <c r="AC23" s="33"/>
      <c r="AD23" s="33"/>
      <c r="AE23" s="33"/>
    </row>
    <row r="24" spans="2:31" ht="15.75" customHeight="1">
      <c r="B24" s="502" t="s">
        <v>355</v>
      </c>
      <c r="C24" s="502"/>
      <c r="D24" s="502"/>
      <c r="E24" s="502"/>
      <c r="F24" s="502"/>
      <c r="G24" s="406">
        <v>6</v>
      </c>
      <c r="H24" s="4" t="s">
        <v>138</v>
      </c>
      <c r="I24" s="4"/>
      <c r="J24" s="531" t="s">
        <v>362</v>
      </c>
      <c r="K24" s="531"/>
      <c r="L24" s="531"/>
      <c r="M24" s="531"/>
      <c r="N24" s="286">
        <f>(N23^2+(G23*N23)^2)^0.5+(N23^2+(G24*N23)^2)^0.5+G21</f>
        <v>25.50658982506056</v>
      </c>
      <c r="O24" s="284" t="s">
        <v>282</v>
      </c>
      <c r="P24" s="286">
        <f>(P23^2+($G23*P23)^2)^0.5+(P23^2+($G24*P23)^2)^0.5+$G21</f>
        <v>21.417464449827566</v>
      </c>
      <c r="Q24" s="284" t="s">
        <v>282</v>
      </c>
      <c r="R24" s="4"/>
      <c r="S24" s="4"/>
      <c r="AB24" s="33"/>
      <c r="AC24" s="33"/>
      <c r="AD24" s="33"/>
      <c r="AE24" s="33"/>
    </row>
    <row r="25" spans="2:19" ht="15.75" customHeight="1">
      <c r="B25" s="502" t="s">
        <v>307</v>
      </c>
      <c r="C25" s="502"/>
      <c r="D25" s="502"/>
      <c r="E25" s="502"/>
      <c r="F25" s="502"/>
      <c r="G25" s="406">
        <v>6</v>
      </c>
      <c r="H25" s="4" t="s">
        <v>138</v>
      </c>
      <c r="I25" s="4"/>
      <c r="J25" s="531" t="s">
        <v>368</v>
      </c>
      <c r="K25" s="531"/>
      <c r="L25" s="531"/>
      <c r="M25" s="531"/>
      <c r="N25" s="287">
        <f>N26/N24</f>
        <v>0.6833430962609804</v>
      </c>
      <c r="O25" s="284" t="s">
        <v>282</v>
      </c>
      <c r="P25" s="287">
        <f>P26/P24</f>
        <v>0.4474059236194536</v>
      </c>
      <c r="Q25" s="284" t="s">
        <v>282</v>
      </c>
      <c r="R25" s="4"/>
      <c r="S25" s="4"/>
    </row>
    <row r="26" spans="2:31" ht="25.5" customHeight="1" thickBot="1">
      <c r="B26" s="542" t="s">
        <v>356</v>
      </c>
      <c r="C26" s="542"/>
      <c r="D26" s="542"/>
      <c r="E26" s="542"/>
      <c r="F26" s="542"/>
      <c r="G26" s="422">
        <v>1</v>
      </c>
      <c r="H26" s="423" t="s">
        <v>139</v>
      </c>
      <c r="I26" s="423"/>
      <c r="J26" s="538" t="s">
        <v>367</v>
      </c>
      <c r="K26" s="538"/>
      <c r="L26" s="538"/>
      <c r="M26" s="538"/>
      <c r="N26" s="424">
        <f>(G21+AG1*N23)*N23</f>
        <v>17.4297520661157</v>
      </c>
      <c r="O26" s="425" t="s">
        <v>394</v>
      </c>
      <c r="P26" s="424">
        <f>($G21+$AG1*P23)*P23</f>
        <v>9.582300463761914</v>
      </c>
      <c r="Q26" s="425" t="s">
        <v>394</v>
      </c>
      <c r="R26" s="4"/>
      <c r="S26" s="4"/>
      <c r="AE26" s="38" t="s">
        <v>219</v>
      </c>
    </row>
    <row r="27" spans="2:31" ht="15.75" customHeight="1">
      <c r="B27" s="502" t="s">
        <v>357</v>
      </c>
      <c r="C27" s="502"/>
      <c r="D27" s="502"/>
      <c r="E27" s="502"/>
      <c r="F27" s="502"/>
      <c r="G27" s="406">
        <v>3</v>
      </c>
      <c r="H27" s="4" t="s">
        <v>31</v>
      </c>
      <c r="I27" s="4"/>
      <c r="J27" s="536" t="s">
        <v>226</v>
      </c>
      <c r="K27" s="537"/>
      <c r="L27" s="537"/>
      <c r="M27" s="537"/>
      <c r="N27" s="288">
        <f>(1.486/$N$22*($N$25^(2/3))*($G$26/100)^0.5)</f>
        <v>0.7944227640859189</v>
      </c>
      <c r="O27" s="103" t="s">
        <v>140</v>
      </c>
      <c r="P27" s="288">
        <f>(1.486/$P$22*($P$25^(2/3))*($G$26/100)^0.5)</f>
        <v>1.0436891462227063</v>
      </c>
      <c r="Q27" s="104" t="s">
        <v>140</v>
      </c>
      <c r="R27" s="4"/>
      <c r="S27" s="4"/>
      <c r="AE27" t="s">
        <v>220</v>
      </c>
    </row>
    <row r="28" spans="2:27" ht="15.75" customHeight="1" thickBot="1">
      <c r="B28" s="502" t="s">
        <v>358</v>
      </c>
      <c r="C28" s="502"/>
      <c r="D28" s="502"/>
      <c r="E28" s="502"/>
      <c r="F28" s="502"/>
      <c r="G28" s="406">
        <v>1000</v>
      </c>
      <c r="H28" s="4" t="s">
        <v>282</v>
      </c>
      <c r="I28" s="4"/>
      <c r="J28" s="534" t="s">
        <v>227</v>
      </c>
      <c r="K28" s="535"/>
      <c r="L28" s="535"/>
      <c r="M28" s="535"/>
      <c r="N28" s="299">
        <f>N26*N27</f>
        <v>13.846591813695891</v>
      </c>
      <c r="O28" s="114" t="s">
        <v>137</v>
      </c>
      <c r="P28" s="299">
        <f>P26*P27</f>
        <v>10.000942989873115</v>
      </c>
      <c r="Q28" s="291" t="s">
        <v>137</v>
      </c>
      <c r="R28" s="4"/>
      <c r="S28" s="4"/>
      <c r="U28" s="122"/>
      <c r="V28" s="122"/>
      <c r="W28" s="122"/>
      <c r="X28" s="122"/>
      <c r="Y28" s="122"/>
      <c r="Z28" s="122"/>
      <c r="AA28" s="122"/>
    </row>
    <row r="29" spans="2:27" ht="15.75" customHeight="1">
      <c r="B29" s="502" t="s">
        <v>359</v>
      </c>
      <c r="C29" s="502"/>
      <c r="D29" s="502"/>
      <c r="E29" s="502"/>
      <c r="F29" s="502"/>
      <c r="G29" s="407">
        <v>3.5</v>
      </c>
      <c r="H29" s="4" t="s">
        <v>140</v>
      </c>
      <c r="I29" s="4"/>
      <c r="J29" s="267"/>
      <c r="K29" s="267"/>
      <c r="L29" s="267"/>
      <c r="M29" s="267"/>
      <c r="N29" s="284"/>
      <c r="O29" s="284"/>
      <c r="P29" s="284"/>
      <c r="Q29" s="284"/>
      <c r="R29" s="4"/>
      <c r="S29" s="4"/>
      <c r="U29" s="22"/>
      <c r="V29" s="22"/>
      <c r="W29" s="22"/>
      <c r="X29" s="22"/>
      <c r="Y29" s="22"/>
      <c r="Z29" s="122"/>
      <c r="AA29" s="272"/>
    </row>
    <row r="30" spans="2:27" ht="15.75" customHeight="1">
      <c r="B30" s="502" t="s">
        <v>329</v>
      </c>
      <c r="C30" s="502"/>
      <c r="D30" s="502"/>
      <c r="E30" s="502"/>
      <c r="F30" s="502"/>
      <c r="G30" s="406">
        <v>0.5</v>
      </c>
      <c r="H30" s="4" t="s">
        <v>282</v>
      </c>
      <c r="I30" s="4"/>
      <c r="J30" s="531" t="s">
        <v>366</v>
      </c>
      <c r="K30" s="531"/>
      <c r="L30" s="531"/>
      <c r="M30" s="531"/>
      <c r="N30" s="285">
        <f>((sp/200)*((BW+2*AS*DC)^2)/(1-SS1*sp/100))+BW*DC+AS*DC^2</f>
        <v>18.445281343000392</v>
      </c>
      <c r="O30" s="284" t="s">
        <v>364</v>
      </c>
      <c r="P30" s="284"/>
      <c r="Q30" s="284"/>
      <c r="R30" s="4"/>
      <c r="S30" s="4"/>
      <c r="U30" s="40"/>
      <c r="V30" s="38"/>
      <c r="W30" s="38"/>
      <c r="X30" s="122"/>
      <c r="Y30" s="122"/>
      <c r="Z30" s="122"/>
      <c r="AA30" s="40"/>
    </row>
    <row r="31" spans="2:27" ht="25.5" customHeight="1" thickBot="1">
      <c r="B31" s="542" t="s">
        <v>330</v>
      </c>
      <c r="C31" s="542"/>
      <c r="D31" s="542"/>
      <c r="E31" s="542"/>
      <c r="F31" s="542"/>
      <c r="G31" s="422">
        <v>2</v>
      </c>
      <c r="H31" s="423"/>
      <c r="I31" s="423"/>
      <c r="J31" s="538" t="s">
        <v>369</v>
      </c>
      <c r="K31" s="538"/>
      <c r="L31" s="538"/>
      <c r="M31" s="538"/>
      <c r="N31" s="426">
        <f>((sp/200)*((TW+2*SS4*DF)^2)/(1-SS3*sp/100))+TW*DF+SS4*DF^2</f>
        <v>13.663706238741462</v>
      </c>
      <c r="O31" s="425" t="s">
        <v>364</v>
      </c>
      <c r="P31" s="425"/>
      <c r="Q31" s="425"/>
      <c r="R31" s="423"/>
      <c r="S31" s="4"/>
      <c r="U31" s="36"/>
      <c r="V31" s="36"/>
      <c r="W31" s="36"/>
      <c r="X31" s="36"/>
      <c r="Y31" s="22"/>
      <c r="Z31" s="122"/>
      <c r="AA31" s="122"/>
    </row>
    <row r="32" spans="2:33" ht="15.75" customHeight="1">
      <c r="B32" s="502" t="s">
        <v>373</v>
      </c>
      <c r="C32" s="502"/>
      <c r="D32" s="502"/>
      <c r="E32" s="502"/>
      <c r="F32" s="502"/>
      <c r="G32" s="420">
        <v>0.5450272923841577</v>
      </c>
      <c r="H32" s="4" t="s">
        <v>282</v>
      </c>
      <c r="I32" s="4"/>
      <c r="J32" s="536" t="s">
        <v>370</v>
      </c>
      <c r="K32" s="537"/>
      <c r="L32" s="537"/>
      <c r="M32" s="537"/>
      <c r="N32" s="288">
        <f>N30/N31</f>
        <v>1.3499471534817886</v>
      </c>
      <c r="O32" s="351" t="s">
        <v>138</v>
      </c>
      <c r="P32" s="289"/>
      <c r="Q32" s="284"/>
      <c r="R32" s="4"/>
      <c r="S32" s="4"/>
      <c r="AC32" s="262"/>
      <c r="AD32" s="262"/>
      <c r="AE32" s="262"/>
      <c r="AG32" s="263"/>
    </row>
    <row r="33" spans="2:33" ht="15.75" customHeight="1" thickBot="1">
      <c r="B33" s="502" t="s">
        <v>371</v>
      </c>
      <c r="C33" s="502"/>
      <c r="D33" s="502"/>
      <c r="E33" s="502"/>
      <c r="F33" s="502"/>
      <c r="G33" s="269">
        <v>1.5</v>
      </c>
      <c r="H33" s="4" t="s">
        <v>282</v>
      </c>
      <c r="I33" s="4"/>
      <c r="J33" s="534" t="s">
        <v>271</v>
      </c>
      <c r="K33" s="535"/>
      <c r="L33" s="535"/>
      <c r="M33" s="535"/>
      <c r="N33" s="290">
        <f>N31*G28/27</f>
        <v>506.0631940274615</v>
      </c>
      <c r="O33" s="114" t="s">
        <v>363</v>
      </c>
      <c r="P33" s="429"/>
      <c r="Q33" s="284"/>
      <c r="R33" s="4"/>
      <c r="S33" s="4"/>
      <c r="AC33" s="262"/>
      <c r="AD33" s="262"/>
      <c r="AE33" s="262"/>
      <c r="AG33" s="263"/>
    </row>
    <row r="34" spans="2:19" ht="15.75" customHeight="1">
      <c r="B34" s="502" t="s">
        <v>360</v>
      </c>
      <c r="C34" s="502"/>
      <c r="D34" s="502"/>
      <c r="E34" s="502"/>
      <c r="F34" s="502"/>
      <c r="G34" s="26">
        <f>CH/1.1</f>
        <v>1.3636363636363635</v>
      </c>
      <c r="H34" s="4" t="s">
        <v>282</v>
      </c>
      <c r="I34" s="4"/>
      <c r="J34" s="4"/>
      <c r="K34" s="4"/>
      <c r="L34" s="4"/>
      <c r="M34" s="4"/>
      <c r="N34" s="4"/>
      <c r="O34" s="4"/>
      <c r="P34" s="4"/>
      <c r="Q34" s="4"/>
      <c r="R34" s="4"/>
      <c r="S34" s="4"/>
    </row>
    <row r="35" spans="2:27" ht="15.75" customHeight="1">
      <c r="B35" s="4"/>
      <c r="C35" s="4"/>
      <c r="D35" s="4"/>
      <c r="E35" s="4"/>
      <c r="F35" s="4"/>
      <c r="G35" s="4"/>
      <c r="H35" s="4"/>
      <c r="I35" s="4"/>
      <c r="J35" s="4"/>
      <c r="K35" s="4"/>
      <c r="L35" s="4"/>
      <c r="M35" s="4"/>
      <c r="N35" s="4"/>
      <c r="O35" s="4"/>
      <c r="P35" s="4"/>
      <c r="Q35" s="4"/>
      <c r="R35" s="4"/>
      <c r="S35" s="4"/>
      <c r="U35" s="262"/>
      <c r="V35" s="262"/>
      <c r="W35" s="262"/>
      <c r="X35" s="262"/>
      <c r="Y35" s="266"/>
      <c r="Z35" s="122"/>
      <c r="AA35" s="122"/>
    </row>
    <row r="36" spans="3:27" ht="15.75" customHeight="1">
      <c r="C36" s="44"/>
      <c r="D36" s="4"/>
      <c r="E36" s="4"/>
      <c r="F36" s="4"/>
      <c r="G36" s="4"/>
      <c r="U36" s="36"/>
      <c r="V36" s="36"/>
      <c r="W36" s="36"/>
      <c r="X36" s="36"/>
      <c r="Y36" s="122"/>
      <c r="Z36" s="122"/>
      <c r="AA36" s="122"/>
    </row>
    <row r="37" spans="3:11" ht="15.75" customHeight="1">
      <c r="C37" s="343">
        <f>IF('Hyd Sum'!AZ10=1,"",IF(G19=25,"AMC II Curve Numbers (CN) must be used for a 25-yr, 24-hr frequency storm",""))</f>
      </c>
      <c r="D37" s="4"/>
      <c r="E37" s="4"/>
      <c r="F37" s="4"/>
      <c r="H37" s="268"/>
      <c r="I37" s="4"/>
      <c r="J37" s="4"/>
      <c r="K37" s="4"/>
    </row>
    <row r="38" spans="3:11" ht="15.75" customHeight="1">
      <c r="C38" s="264">
        <f>IF($P$27&gt;$G$29+0.005,"WARNING:  Velocity exceeds the desired velocity.","")</f>
      </c>
      <c r="D38" s="4"/>
      <c r="E38" s="4"/>
      <c r="F38" s="4"/>
      <c r="G38" s="4"/>
      <c r="H38" s="4"/>
      <c r="I38" s="4"/>
      <c r="J38" s="4"/>
      <c r="K38" s="4"/>
    </row>
    <row r="39" spans="3:11" ht="15.75" customHeight="1">
      <c r="C39" s="264">
        <f>IF($P$27&gt;$G$29+0.005,"SUGGESTION:  Either decrease the minimum construction height (to reduce the hydraulic flow depth),","")</f>
      </c>
      <c r="D39" s="4"/>
      <c r="E39" s="4"/>
      <c r="F39" s="4"/>
      <c r="G39" s="4"/>
      <c r="H39" s="4"/>
      <c r="I39" s="4"/>
      <c r="J39" s="4"/>
      <c r="K39" s="4"/>
    </row>
    <row r="40" spans="3:11" ht="15.75" customHeight="1">
      <c r="C40" s="264">
        <f>IF($P$27&gt;$G$29+0.005,"decrease the channel grade, or adjust the channel width and side slope dimensions","")</f>
      </c>
      <c r="D40" s="4"/>
      <c r="E40" s="4"/>
      <c r="F40" s="4"/>
      <c r="G40" s="4"/>
      <c r="H40" s="4"/>
      <c r="I40" s="4"/>
      <c r="J40" s="4"/>
      <c r="K40" s="4"/>
    </row>
    <row r="41" spans="3:11" ht="15">
      <c r="C41" s="264"/>
      <c r="D41" s="4"/>
      <c r="E41" s="4"/>
      <c r="F41" s="4"/>
      <c r="G41" s="4"/>
      <c r="H41" s="4"/>
      <c r="I41" s="4"/>
      <c r="J41" s="4"/>
      <c r="K41" s="4"/>
    </row>
    <row r="42" spans="3:11" ht="15">
      <c r="C42" s="264">
        <f>IF($N$32&lt;1.346,"WARNING: The C/F ratio is less than 1.35.",IF($N$32&gt;1.354,"WARNING:  The C/F ratio if more than 1.35",""))</f>
      </c>
      <c r="D42" s="4"/>
      <c r="E42" s="4"/>
      <c r="F42" s="4"/>
      <c r="G42" s="4"/>
      <c r="H42" s="4"/>
      <c r="I42" s="4"/>
      <c r="J42" s="4"/>
      <c r="K42" s="4"/>
    </row>
    <row r="43" spans="3:11" ht="15">
      <c r="C43" s="264"/>
      <c r="D43" s="4"/>
      <c r="E43" s="4"/>
      <c r="F43" s="4"/>
      <c r="G43" s="4"/>
      <c r="H43" s="4"/>
      <c r="I43" s="4"/>
      <c r="J43" s="4"/>
      <c r="K43" s="4"/>
    </row>
    <row r="44" spans="3:16" ht="15">
      <c r="C44" s="264"/>
      <c r="P44" s="12" t="s">
        <v>141</v>
      </c>
    </row>
    <row r="45" spans="3:16" ht="15">
      <c r="C45" s="264"/>
      <c r="P45" s="12"/>
    </row>
    <row r="46" spans="3:16" ht="15">
      <c r="C46" s="264"/>
      <c r="P46" s="12"/>
    </row>
    <row r="47" spans="3:16" ht="15">
      <c r="C47" s="264"/>
      <c r="P47" s="12"/>
    </row>
    <row r="48" ht="12.75">
      <c r="P48" s="12"/>
    </row>
    <row r="49" spans="3:16" ht="15">
      <c r="C49" s="264"/>
      <c r="P49" s="12"/>
    </row>
    <row r="50" ht="12.75">
      <c r="P50" s="12"/>
    </row>
    <row r="51" ht="12.75">
      <c r="P51" s="12"/>
    </row>
    <row r="52" spans="3:16" ht="15">
      <c r="C52" s="264"/>
      <c r="P52" s="12"/>
    </row>
    <row r="53" ht="12.75">
      <c r="P53" s="12"/>
    </row>
    <row r="54" ht="12.75"/>
  </sheetData>
  <sheetProtection password="B271" sheet="1" objects="1" scenarios="1"/>
  <mergeCells count="48">
    <mergeCell ref="Q4:R4"/>
    <mergeCell ref="B34:F34"/>
    <mergeCell ref="B31:F31"/>
    <mergeCell ref="AE20:AF20"/>
    <mergeCell ref="B18:F18"/>
    <mergeCell ref="B21:F21"/>
    <mergeCell ref="B27:F27"/>
    <mergeCell ref="B26:F26"/>
    <mergeCell ref="B25:F25"/>
    <mergeCell ref="B24:F24"/>
    <mergeCell ref="B4:C4"/>
    <mergeCell ref="J21:M21"/>
    <mergeCell ref="Q3:R3"/>
    <mergeCell ref="K4:N4"/>
    <mergeCell ref="B20:F20"/>
    <mergeCell ref="K3:N3"/>
    <mergeCell ref="B19:F19"/>
    <mergeCell ref="D4:G4"/>
    <mergeCell ref="I4:J4"/>
    <mergeCell ref="I3:J3"/>
    <mergeCell ref="B3:C3"/>
    <mergeCell ref="K2:N2"/>
    <mergeCell ref="B2:C2"/>
    <mergeCell ref="B1:C1"/>
    <mergeCell ref="I2:J2"/>
    <mergeCell ref="B33:F33"/>
    <mergeCell ref="B28:F28"/>
    <mergeCell ref="B32:F32"/>
    <mergeCell ref="B30:F30"/>
    <mergeCell ref="B29:F29"/>
    <mergeCell ref="J32:M32"/>
    <mergeCell ref="J33:M33"/>
    <mergeCell ref="J31:M31"/>
    <mergeCell ref="J30:M30"/>
    <mergeCell ref="J28:M28"/>
    <mergeCell ref="J27:M27"/>
    <mergeCell ref="J26:M26"/>
    <mergeCell ref="J25:M25"/>
    <mergeCell ref="Q1:R1"/>
    <mergeCell ref="J24:M24"/>
    <mergeCell ref="J23:M23"/>
    <mergeCell ref="J22:M22"/>
    <mergeCell ref="F1:N1"/>
    <mergeCell ref="D2:G2"/>
    <mergeCell ref="D3:G3"/>
    <mergeCell ref="Q2:R2"/>
    <mergeCell ref="B23:F23"/>
    <mergeCell ref="B22:F22"/>
  </mergeCells>
  <conditionalFormatting sqref="N28 P28">
    <cfRule type="cellIs" priority="1" dxfId="1" operator="lessThan" stopIfTrue="1">
      <formula>$G$20</formula>
    </cfRule>
  </conditionalFormatting>
  <conditionalFormatting sqref="O28 Q28">
    <cfRule type="cellIs" priority="2" dxfId="2" operator="lessThan" stopIfTrue="1">
      <formula>$G$20</formula>
    </cfRule>
  </conditionalFormatting>
  <conditionalFormatting sqref="L18">
    <cfRule type="expression" priority="3" dxfId="3" stopIfTrue="1">
      <formula>$AK$14="farmed"</formula>
    </cfRule>
    <cfRule type="expression" priority="4" dxfId="0" stopIfTrue="1">
      <formula>$AK$14="vegetated"</formula>
    </cfRule>
  </conditionalFormatting>
  <conditionalFormatting sqref="O18">
    <cfRule type="expression" priority="5" dxfId="0" stopIfTrue="1">
      <formula>$AK$14="farmed"</formula>
    </cfRule>
    <cfRule type="expression" priority="6" dxfId="3" stopIfTrue="1">
      <formula>$AK$14="vegetated"</formula>
    </cfRule>
  </conditionalFormatting>
  <conditionalFormatting sqref="N27 P27">
    <cfRule type="cellIs" priority="7" dxfId="1" operator="greaterThan" stopIfTrue="1">
      <formula>$G$29</formula>
    </cfRule>
  </conditionalFormatting>
  <dataValidations count="6">
    <dataValidation type="decimal" operator="greaterThanOrEqual" allowBlank="1" showErrorMessage="1" prompt="Input the desired constructed height of the diversion." error="The minimum constructed diversion height is 1.5 feet." sqref="G33">
      <formula1>1.5</formula1>
    </dataValidation>
    <dataValidation type="decimal" operator="greaterThanOrEqual" allowBlank="1" showErrorMessage="1" errorTitle="Freeboard to low" error="Freeboard must be  0.5 foot or greater" sqref="G30">
      <formula1>0.5</formula1>
    </dataValidation>
    <dataValidation type="list" showDropDown="1" showErrorMessage="1" errorTitle="Error!" error="Design frequency storm may only be 2, 10, or 25." sqref="G19">
      <formula1>$AJ$2:$AL$2</formula1>
    </dataValidation>
    <dataValidation type="list" allowBlank="1" showDropDown="1" showErrorMessage="1" errorTitle="Error!" error="Enter B, C, D, or E." sqref="P21 N21">
      <formula1>$AJ$8:$AJ$11</formula1>
    </dataValidation>
    <dataValidation type="whole" showInputMessage="1" showErrorMessage="1" prompt="Enter Stake Method as 1, 2, or 3.&#10;Stake Method 1 places flag at downstream edge of channel.&#10;Stake Method 2 places flag at no-cut no-fill point on front slope.&#10;Stake Method 3 places flag at center of channel." errorTitle="Error!" error="Please enter 1, 2, or 3." sqref="G31">
      <formula1>1</formula1>
      <formula2>3</formula2>
    </dataValidation>
    <dataValidation type="decimal" showInputMessage="1" showErrorMessage="1" prompt="Input allowable maximum diversion velocity." errorTitle="Error!" error="The maximum allowable velocity for a vegetated gradient diversion is 5.0 fps." sqref="G29">
      <formula1>0</formula1>
      <formula2>5</formula2>
    </dataValidation>
  </dataValidations>
  <printOptions/>
  <pageMargins left="0.5" right="0.75" top="0.75" bottom="1" header="0.5" footer="0.5"/>
  <pageSetup blackAndWhite="1" fitToHeight="1" fitToWidth="1" horizontalDpi="600" verticalDpi="600" orientation="portrait" scale="86" r:id="rId4"/>
  <drawing r:id="rId3"/>
  <legacyDrawing r:id="rId2"/>
</worksheet>
</file>

<file path=xl/worksheets/sheet8.xml><?xml version="1.0" encoding="utf-8"?>
<worksheet xmlns="http://schemas.openxmlformats.org/spreadsheetml/2006/main" xmlns:r="http://schemas.openxmlformats.org/officeDocument/2006/relationships">
  <sheetPr codeName="Sheet12"/>
  <dimension ref="A1:DQ164"/>
  <sheetViews>
    <sheetView showGridLines="0" zoomScale="82" zoomScaleNormal="82" workbookViewId="0" topLeftCell="A1">
      <selection activeCell="J4" sqref="J4:AH5"/>
    </sheetView>
  </sheetViews>
  <sheetFormatPr defaultColWidth="9.140625" defaultRowHeight="9" customHeight="1"/>
  <cols>
    <col min="1" max="16384" width="1.57421875" style="45" customWidth="1"/>
  </cols>
  <sheetData>
    <row r="1" spans="1:121" ht="12" customHeight="1">
      <c r="A1" s="787" t="s">
        <v>125</v>
      </c>
      <c r="B1" s="787"/>
      <c r="C1" s="787"/>
      <c r="D1" s="787"/>
      <c r="E1" s="490"/>
      <c r="F1" s="490"/>
      <c r="G1" s="490"/>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K1" s="193"/>
      <c r="AL1" s="805" t="s">
        <v>221</v>
      </c>
      <c r="AM1" s="806"/>
      <c r="AN1" s="806"/>
      <c r="AO1" s="806"/>
      <c r="AP1" s="806"/>
      <c r="AQ1" s="806"/>
      <c r="AR1" s="806"/>
      <c r="AS1" s="806"/>
      <c r="AT1" s="806"/>
      <c r="AU1" s="806"/>
      <c r="AV1" s="806"/>
      <c r="AW1" s="806"/>
      <c r="AX1" s="806"/>
      <c r="AY1" s="806"/>
      <c r="AZ1" s="806"/>
      <c r="BA1" s="806"/>
      <c r="BB1" s="806"/>
      <c r="BC1" s="806"/>
      <c r="BD1" s="806"/>
      <c r="BE1" s="806"/>
      <c r="BF1" s="806"/>
      <c r="BG1" s="806"/>
      <c r="BH1" s="806"/>
      <c r="BI1" s="806"/>
      <c r="BJ1" s="806"/>
      <c r="BK1" s="806"/>
      <c r="BL1" s="806"/>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784" t="s">
        <v>189</v>
      </c>
      <c r="CU1" s="784"/>
      <c r="CV1" s="784"/>
      <c r="CW1" s="784"/>
      <c r="CX1" s="784"/>
      <c r="CY1" s="784"/>
      <c r="CZ1" s="784"/>
      <c r="DA1" s="200"/>
      <c r="DB1" s="201"/>
      <c r="DC1" s="201"/>
      <c r="DD1" s="202"/>
      <c r="DE1" s="202"/>
      <c r="DF1" s="202"/>
      <c r="DG1" s="202"/>
      <c r="DH1" s="202"/>
      <c r="DI1" s="202"/>
      <c r="DJ1" s="202"/>
      <c r="DK1" s="202"/>
      <c r="DL1" s="202"/>
      <c r="DM1" s="202"/>
      <c r="DN1" s="202"/>
      <c r="DO1" s="202"/>
      <c r="DP1" s="202"/>
      <c r="DQ1" s="202"/>
    </row>
    <row r="2" spans="1:121" ht="12" customHeight="1">
      <c r="A2" s="787" t="s">
        <v>126</v>
      </c>
      <c r="B2" s="787"/>
      <c r="C2" s="787"/>
      <c r="D2" s="787"/>
      <c r="E2" s="790"/>
      <c r="F2" s="790"/>
      <c r="G2" s="790"/>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806"/>
      <c r="AM2" s="806"/>
      <c r="AN2" s="806"/>
      <c r="AO2" s="806"/>
      <c r="AP2" s="806"/>
      <c r="AQ2" s="806"/>
      <c r="AR2" s="806"/>
      <c r="AS2" s="806"/>
      <c r="AT2" s="806"/>
      <c r="AU2" s="806"/>
      <c r="AV2" s="806"/>
      <c r="AW2" s="806"/>
      <c r="AX2" s="806"/>
      <c r="AY2" s="806"/>
      <c r="AZ2" s="806"/>
      <c r="BA2" s="806"/>
      <c r="BB2" s="806"/>
      <c r="BC2" s="806"/>
      <c r="BD2" s="806"/>
      <c r="BE2" s="806"/>
      <c r="BF2" s="806"/>
      <c r="BG2" s="806"/>
      <c r="BH2" s="806"/>
      <c r="BI2" s="806"/>
      <c r="BJ2" s="806"/>
      <c r="BK2" s="806"/>
      <c r="BL2" s="806"/>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784" t="s">
        <v>396</v>
      </c>
      <c r="CU2" s="784"/>
      <c r="CV2" s="784"/>
      <c r="CW2" s="784"/>
      <c r="CX2" s="784"/>
      <c r="CY2" s="784"/>
      <c r="CZ2" s="784"/>
      <c r="DA2" s="200"/>
      <c r="DB2" s="201"/>
      <c r="DC2" s="201"/>
      <c r="DD2" s="202"/>
      <c r="DE2" s="202"/>
      <c r="DF2" s="202"/>
      <c r="DG2" s="202"/>
      <c r="DH2" s="202"/>
      <c r="DI2" s="202"/>
      <c r="DJ2" s="202"/>
      <c r="DK2" s="202"/>
      <c r="DL2" s="202"/>
      <c r="DM2" s="202"/>
      <c r="DN2" s="202"/>
      <c r="DO2" s="202"/>
      <c r="DP2" s="202"/>
      <c r="DQ2" s="202"/>
    </row>
    <row r="3" spans="1:121" ht="9" customHeight="1">
      <c r="A3" s="200"/>
      <c r="B3" s="200"/>
      <c r="C3" s="200"/>
      <c r="D3" s="200"/>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55"/>
      <c r="AQ3" s="256"/>
      <c r="AR3" s="256"/>
      <c r="AS3" s="256"/>
      <c r="AT3" s="256"/>
      <c r="AU3" s="256"/>
      <c r="AV3" s="256"/>
      <c r="AW3" s="256"/>
      <c r="AX3" s="256"/>
      <c r="AY3" s="256"/>
      <c r="AZ3" s="256"/>
      <c r="BA3" s="256"/>
      <c r="BB3" s="256"/>
      <c r="BC3" s="256"/>
      <c r="BD3" s="256"/>
      <c r="BE3" s="256"/>
      <c r="BF3" s="256"/>
      <c r="BG3" s="256"/>
      <c r="BH3" s="256"/>
      <c r="BI3" s="203"/>
      <c r="BJ3" s="203"/>
      <c r="BK3" s="807" t="s">
        <v>191</v>
      </c>
      <c r="BL3" s="807"/>
      <c r="BM3" s="807"/>
      <c r="BN3" s="807"/>
      <c r="BO3" s="807"/>
      <c r="BP3" s="807"/>
      <c r="BQ3" s="807"/>
      <c r="BR3" s="807"/>
      <c r="BS3" s="807"/>
      <c r="BT3" s="807"/>
      <c r="BU3" s="807"/>
      <c r="BV3" s="807"/>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0"/>
      <c r="CU3" s="200"/>
      <c r="CV3" s="200"/>
      <c r="CW3" s="200"/>
      <c r="CX3" s="200"/>
      <c r="CY3" s="200"/>
      <c r="CZ3" s="200"/>
      <c r="DA3" s="200"/>
      <c r="DB3" s="201"/>
      <c r="DC3" s="201"/>
      <c r="DD3" s="202"/>
      <c r="DE3" s="202"/>
      <c r="DF3" s="202"/>
      <c r="DG3" s="202"/>
      <c r="DH3" s="202"/>
      <c r="DI3" s="202"/>
      <c r="DJ3" s="202"/>
      <c r="DK3" s="202"/>
      <c r="DL3" s="202"/>
      <c r="DM3" s="202"/>
      <c r="DN3" s="202"/>
      <c r="DO3" s="202"/>
      <c r="DP3" s="202"/>
      <c r="DQ3" s="202"/>
    </row>
    <row r="4" spans="1:121" ht="9" customHeight="1">
      <c r="A4" s="730" t="s">
        <v>127</v>
      </c>
      <c r="B4" s="730"/>
      <c r="C4" s="730"/>
      <c r="D4" s="730"/>
      <c r="E4" s="730"/>
      <c r="F4" s="730"/>
      <c r="G4" s="730"/>
      <c r="H4" s="730"/>
      <c r="I4" s="730"/>
      <c r="J4" s="785">
        <f>IF(OR(BW5="",'Hyd Sum'!G4=""),"",'Hyd Sum'!G4)</f>
      </c>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204"/>
      <c r="AJ4" s="204"/>
      <c r="AK4" s="204"/>
      <c r="AL4" s="204"/>
      <c r="AM4" s="204"/>
      <c r="AN4" s="204"/>
      <c r="AO4" s="204"/>
      <c r="AP4" s="256"/>
      <c r="AQ4" s="256"/>
      <c r="AR4" s="256"/>
      <c r="AS4" s="256"/>
      <c r="AT4" s="256"/>
      <c r="AU4" s="256"/>
      <c r="AV4" s="256"/>
      <c r="AW4" s="256"/>
      <c r="AX4" s="256"/>
      <c r="AY4" s="256"/>
      <c r="AZ4" s="256"/>
      <c r="BA4" s="256"/>
      <c r="BB4" s="256"/>
      <c r="BC4" s="256"/>
      <c r="BD4" s="256"/>
      <c r="BE4" s="256"/>
      <c r="BF4" s="256"/>
      <c r="BG4" s="256"/>
      <c r="BH4" s="256"/>
      <c r="BI4" s="203"/>
      <c r="BJ4" s="203"/>
      <c r="BK4" s="808"/>
      <c r="BL4" s="808"/>
      <c r="BM4" s="808"/>
      <c r="BN4" s="808"/>
      <c r="BO4" s="808"/>
      <c r="BP4" s="808"/>
      <c r="BQ4" s="808"/>
      <c r="BR4" s="808"/>
      <c r="BS4" s="808"/>
      <c r="BT4" s="808"/>
      <c r="BU4" s="808"/>
      <c r="BV4" s="808"/>
      <c r="BW4" s="203"/>
      <c r="BX4" s="203"/>
      <c r="BY4" s="203"/>
      <c r="BZ4" s="203"/>
      <c r="CA4" s="203"/>
      <c r="CB4" s="203"/>
      <c r="CC4" s="203"/>
      <c r="CD4" s="203"/>
      <c r="CE4" s="203"/>
      <c r="CF4" s="203"/>
      <c r="CG4" s="203"/>
      <c r="CH4" s="203"/>
      <c r="CI4" s="203"/>
      <c r="CJ4" s="203"/>
      <c r="CK4" s="203"/>
      <c r="CL4" s="203"/>
      <c r="CM4" s="200"/>
      <c r="CN4" s="200"/>
      <c r="CO4" s="200"/>
      <c r="CP4" s="200"/>
      <c r="CQ4" s="200"/>
      <c r="CR4" s="200"/>
      <c r="CS4" s="200"/>
      <c r="CT4" s="200"/>
      <c r="CU4" s="200"/>
      <c r="CV4" s="200"/>
      <c r="CW4" s="200"/>
      <c r="CX4" s="200"/>
      <c r="CY4" s="200"/>
      <c r="CZ4" s="200"/>
      <c r="DA4" s="200"/>
      <c r="DB4" s="201"/>
      <c r="DC4" s="201"/>
      <c r="DD4" s="202"/>
      <c r="DE4" s="202"/>
      <c r="DF4" s="202"/>
      <c r="DG4" s="202"/>
      <c r="DH4" s="202"/>
      <c r="DI4" s="202"/>
      <c r="DJ4" s="202"/>
      <c r="DK4" s="202"/>
      <c r="DL4" s="202"/>
      <c r="DM4" s="202"/>
      <c r="DN4" s="202"/>
      <c r="DO4" s="202"/>
      <c r="DP4" s="202"/>
      <c r="DQ4" s="202"/>
    </row>
    <row r="5" spans="1:110" ht="9" customHeight="1">
      <c r="A5" s="730"/>
      <c r="B5" s="730"/>
      <c r="C5" s="730"/>
      <c r="D5" s="730"/>
      <c r="E5" s="730"/>
      <c r="F5" s="730"/>
      <c r="G5" s="730"/>
      <c r="H5" s="730"/>
      <c r="I5" s="730"/>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204"/>
      <c r="AJ5" s="204"/>
      <c r="AK5" s="204"/>
      <c r="AL5" s="204"/>
      <c r="AM5" s="204"/>
      <c r="AN5" s="204"/>
      <c r="AO5" s="204"/>
      <c r="AP5" s="204"/>
      <c r="AQ5" s="204"/>
      <c r="AR5" s="204"/>
      <c r="AS5" s="204"/>
      <c r="AT5" s="204"/>
      <c r="AU5" s="200"/>
      <c r="AV5" s="576"/>
      <c r="AW5" s="577"/>
      <c r="AX5" s="735" t="s">
        <v>241</v>
      </c>
      <c r="AY5" s="735"/>
      <c r="AZ5" s="735"/>
      <c r="BA5" s="735"/>
      <c r="BB5" s="735"/>
      <c r="BC5" s="735"/>
      <c r="BD5" s="735"/>
      <c r="BE5" s="735"/>
      <c r="BF5" s="735"/>
      <c r="BG5" s="735"/>
      <c r="BH5" s="735"/>
      <c r="BI5" s="735"/>
      <c r="BJ5" s="735"/>
      <c r="BK5" s="735"/>
      <c r="BL5" s="735"/>
      <c r="BM5" s="735"/>
      <c r="BN5" s="735"/>
      <c r="BO5" s="735"/>
      <c r="BP5" s="735"/>
      <c r="BQ5" s="735"/>
      <c r="BR5" s="735"/>
      <c r="BS5" s="735"/>
      <c r="BT5" s="735"/>
      <c r="BU5" s="735"/>
      <c r="BV5" s="735"/>
      <c r="BW5" s="737">
        <f>'Design (1)'!G18</f>
      </c>
      <c r="BX5" s="737"/>
      <c r="BY5" s="737"/>
      <c r="BZ5" s="737"/>
      <c r="CA5" s="737"/>
      <c r="CB5" s="737"/>
      <c r="CC5" s="737"/>
      <c r="CD5" s="737"/>
      <c r="CE5" s="737">
        <f>'Design (2)'!G18</f>
      </c>
      <c r="CF5" s="737"/>
      <c r="CG5" s="737"/>
      <c r="CH5" s="737"/>
      <c r="CI5" s="737"/>
      <c r="CJ5" s="737"/>
      <c r="CK5" s="737"/>
      <c r="CL5" s="737"/>
      <c r="CM5" s="200"/>
      <c r="CN5" s="595" t="s">
        <v>190</v>
      </c>
      <c r="CO5" s="595"/>
      <c r="CP5" s="595"/>
      <c r="CQ5" s="595"/>
      <c r="CR5" s="595"/>
      <c r="CS5" s="595"/>
      <c r="CT5" s="595"/>
      <c r="CU5" s="595"/>
      <c r="CV5" s="595"/>
      <c r="CW5" s="595"/>
      <c r="CX5" s="595"/>
      <c r="CY5" s="595"/>
      <c r="CZ5" s="595"/>
      <c r="DA5" s="200"/>
      <c r="DB5" s="201"/>
      <c r="DC5" s="201"/>
      <c r="DD5" s="202"/>
      <c r="DE5" s="202"/>
      <c r="DF5" s="202"/>
    </row>
    <row r="6" spans="1:110" ht="9" customHeight="1">
      <c r="A6" s="730" t="s">
        <v>128</v>
      </c>
      <c r="B6" s="730"/>
      <c r="C6" s="730"/>
      <c r="D6" s="730"/>
      <c r="E6" s="730"/>
      <c r="F6" s="730"/>
      <c r="G6" s="730"/>
      <c r="H6" s="730"/>
      <c r="I6" s="498"/>
      <c r="J6" s="786">
        <f>IF(OR(BW5="",'Hyd Sum'!G6=""),"",'Hyd Sum'!G6)</f>
      </c>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205"/>
      <c r="AJ6" s="205"/>
      <c r="AK6" s="205"/>
      <c r="AL6" s="205"/>
      <c r="AM6" s="205"/>
      <c r="AN6" s="205"/>
      <c r="AO6" s="205"/>
      <c r="AP6" s="205"/>
      <c r="AQ6" s="205"/>
      <c r="AR6" s="205"/>
      <c r="AS6" s="205"/>
      <c r="AT6" s="205"/>
      <c r="AU6" s="200"/>
      <c r="AV6" s="576"/>
      <c r="AW6" s="577"/>
      <c r="AX6" s="735"/>
      <c r="AY6" s="735"/>
      <c r="AZ6" s="735"/>
      <c r="BA6" s="735"/>
      <c r="BB6" s="735"/>
      <c r="BC6" s="735"/>
      <c r="BD6" s="735"/>
      <c r="BE6" s="735"/>
      <c r="BF6" s="735"/>
      <c r="BG6" s="735"/>
      <c r="BH6" s="735"/>
      <c r="BI6" s="735"/>
      <c r="BJ6" s="735"/>
      <c r="BK6" s="735"/>
      <c r="BL6" s="735"/>
      <c r="BM6" s="735"/>
      <c r="BN6" s="735"/>
      <c r="BO6" s="735"/>
      <c r="BP6" s="735"/>
      <c r="BQ6" s="735"/>
      <c r="BR6" s="735"/>
      <c r="BS6" s="735"/>
      <c r="BT6" s="735"/>
      <c r="BU6" s="735"/>
      <c r="BV6" s="735"/>
      <c r="BW6" s="737"/>
      <c r="BX6" s="737"/>
      <c r="BY6" s="737"/>
      <c r="BZ6" s="737"/>
      <c r="CA6" s="737"/>
      <c r="CB6" s="737"/>
      <c r="CC6" s="737"/>
      <c r="CD6" s="737"/>
      <c r="CE6" s="737"/>
      <c r="CF6" s="737"/>
      <c r="CG6" s="737"/>
      <c r="CH6" s="737"/>
      <c r="CI6" s="737"/>
      <c r="CJ6" s="737"/>
      <c r="CK6" s="737"/>
      <c r="CL6" s="737"/>
      <c r="CM6" s="200"/>
      <c r="CN6" s="736"/>
      <c r="CO6" s="736"/>
      <c r="CP6" s="736"/>
      <c r="CQ6" s="736"/>
      <c r="CR6" s="736"/>
      <c r="CS6" s="736"/>
      <c r="CT6" s="736"/>
      <c r="CU6" s="736"/>
      <c r="CV6" s="736"/>
      <c r="CW6" s="736"/>
      <c r="CX6" s="736"/>
      <c r="CY6" s="736"/>
      <c r="CZ6" s="736"/>
      <c r="DA6" s="200"/>
      <c r="DB6" s="201"/>
      <c r="DC6" s="201"/>
      <c r="DD6" s="202"/>
      <c r="DE6" s="202"/>
      <c r="DF6" s="202"/>
    </row>
    <row r="7" spans="1:110" ht="9" customHeight="1">
      <c r="A7" s="730"/>
      <c r="B7" s="730"/>
      <c r="C7" s="730"/>
      <c r="D7" s="730"/>
      <c r="E7" s="730"/>
      <c r="F7" s="730"/>
      <c r="G7" s="730"/>
      <c r="H7" s="730"/>
      <c r="I7" s="498"/>
      <c r="J7" s="753"/>
      <c r="K7" s="753"/>
      <c r="L7" s="753"/>
      <c r="M7" s="753"/>
      <c r="N7" s="753"/>
      <c r="O7" s="753"/>
      <c r="P7" s="753"/>
      <c r="Q7" s="753"/>
      <c r="R7" s="753"/>
      <c r="S7" s="753"/>
      <c r="T7" s="753"/>
      <c r="U7" s="753"/>
      <c r="V7" s="753"/>
      <c r="W7" s="753"/>
      <c r="X7" s="753"/>
      <c r="Y7" s="753"/>
      <c r="Z7" s="753"/>
      <c r="AA7" s="753"/>
      <c r="AB7" s="753"/>
      <c r="AC7" s="753"/>
      <c r="AD7" s="753"/>
      <c r="AE7" s="753"/>
      <c r="AF7" s="753"/>
      <c r="AG7" s="753"/>
      <c r="AH7" s="753"/>
      <c r="AI7" s="205"/>
      <c r="AJ7" s="205"/>
      <c r="AK7" s="205"/>
      <c r="AL7" s="205"/>
      <c r="AM7" s="205"/>
      <c r="AN7" s="205"/>
      <c r="AO7" s="205"/>
      <c r="AP7" s="205"/>
      <c r="AQ7" s="205"/>
      <c r="AR7" s="205"/>
      <c r="AS7" s="205"/>
      <c r="AT7" s="205"/>
      <c r="AU7" s="200"/>
      <c r="AV7" s="782"/>
      <c r="AW7" s="783"/>
      <c r="AX7" s="573" t="s">
        <v>142</v>
      </c>
      <c r="AY7" s="574"/>
      <c r="AZ7" s="574"/>
      <c r="BA7" s="574"/>
      <c r="BB7" s="574"/>
      <c r="BC7" s="574"/>
      <c r="BD7" s="574"/>
      <c r="BE7" s="574"/>
      <c r="BF7" s="574"/>
      <c r="BG7" s="574"/>
      <c r="BH7" s="574"/>
      <c r="BI7" s="574"/>
      <c r="BJ7" s="574"/>
      <c r="BK7" s="574"/>
      <c r="BL7" s="574"/>
      <c r="BM7" s="574"/>
      <c r="BN7" s="574"/>
      <c r="BO7" s="574"/>
      <c r="BP7" s="732" t="s">
        <v>143</v>
      </c>
      <c r="BQ7" s="574"/>
      <c r="BR7" s="574"/>
      <c r="BS7" s="574"/>
      <c r="BT7" s="574"/>
      <c r="BU7" s="574"/>
      <c r="BV7" s="761"/>
      <c r="BW7" s="760">
        <f>IF('Hyd Sum'!H15="","",0)</f>
      </c>
      <c r="BX7" s="760"/>
      <c r="BY7" s="760"/>
      <c r="BZ7" s="760"/>
      <c r="CA7" s="760"/>
      <c r="CB7" s="760"/>
      <c r="CC7" s="760"/>
      <c r="CD7" s="760"/>
      <c r="CE7" s="760">
        <f>IF(ISBLANK('Hyd Sum'!H28),"",IF('Hyd Sum'!H28='Hyd Sum'!H15,'KS-ENG-8'!BW9,0))</f>
      </c>
      <c r="CF7" s="760"/>
      <c r="CG7" s="760"/>
      <c r="CH7" s="760"/>
      <c r="CI7" s="760"/>
      <c r="CJ7" s="760"/>
      <c r="CK7" s="760"/>
      <c r="CL7" s="760"/>
      <c r="CM7" s="200"/>
      <c r="CN7" s="773" t="s">
        <v>153</v>
      </c>
      <c r="CO7" s="774"/>
      <c r="CP7" s="774"/>
      <c r="CQ7" s="774"/>
      <c r="CR7" s="775"/>
      <c r="CS7" s="628">
        <f>IF($BW$5="","",$BW$5)</f>
      </c>
      <c r="CT7" s="628"/>
      <c r="CU7" s="628"/>
      <c r="CV7" s="628"/>
      <c r="CW7" s="628">
        <f>IF($CE$5="","",$CE$5)</f>
      </c>
      <c r="CX7" s="628"/>
      <c r="CY7" s="628"/>
      <c r="CZ7" s="628"/>
      <c r="DA7" s="200"/>
      <c r="DB7" s="201"/>
      <c r="DC7" s="201"/>
      <c r="DD7" s="202"/>
      <c r="DE7" s="202"/>
      <c r="DF7" s="202"/>
    </row>
    <row r="8" spans="1:110" ht="9" customHeight="1">
      <c r="A8" s="730" t="s">
        <v>129</v>
      </c>
      <c r="B8" s="490"/>
      <c r="C8" s="490"/>
      <c r="D8" s="490"/>
      <c r="E8" s="490"/>
      <c r="F8" s="490"/>
      <c r="G8" s="490"/>
      <c r="H8" s="490"/>
      <c r="I8" s="490"/>
      <c r="J8" s="786">
        <f>IF(OR(BW5="",'Hyd Sum'!W6=""),"",'Hyd Sum'!W6)</f>
      </c>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208"/>
      <c r="AJ8" s="208"/>
      <c r="AK8" s="208"/>
      <c r="AL8" s="207"/>
      <c r="AM8" s="207"/>
      <c r="AN8" s="207"/>
      <c r="AO8" s="207"/>
      <c r="AP8" s="207"/>
      <c r="AQ8" s="207"/>
      <c r="AR8" s="207"/>
      <c r="AS8" s="207"/>
      <c r="AT8" s="207"/>
      <c r="AU8" s="206"/>
      <c r="AV8" s="782"/>
      <c r="AW8" s="783"/>
      <c r="AX8" s="575"/>
      <c r="AY8" s="498"/>
      <c r="AZ8" s="498"/>
      <c r="BA8" s="498"/>
      <c r="BB8" s="498"/>
      <c r="BC8" s="498"/>
      <c r="BD8" s="498"/>
      <c r="BE8" s="498"/>
      <c r="BF8" s="498"/>
      <c r="BG8" s="498"/>
      <c r="BH8" s="498"/>
      <c r="BI8" s="498"/>
      <c r="BJ8" s="498"/>
      <c r="BK8" s="498"/>
      <c r="BL8" s="498"/>
      <c r="BM8" s="498"/>
      <c r="BN8" s="498"/>
      <c r="BO8" s="498"/>
      <c r="BP8" s="519"/>
      <c r="BQ8" s="519"/>
      <c r="BR8" s="519"/>
      <c r="BS8" s="519"/>
      <c r="BT8" s="519"/>
      <c r="BU8" s="519"/>
      <c r="BV8" s="762"/>
      <c r="BW8" s="760"/>
      <c r="BX8" s="760"/>
      <c r="BY8" s="760"/>
      <c r="BZ8" s="760"/>
      <c r="CA8" s="760"/>
      <c r="CB8" s="760"/>
      <c r="CC8" s="760"/>
      <c r="CD8" s="760"/>
      <c r="CE8" s="760"/>
      <c r="CF8" s="760"/>
      <c r="CG8" s="760"/>
      <c r="CH8" s="760"/>
      <c r="CI8" s="760"/>
      <c r="CJ8" s="760"/>
      <c r="CK8" s="760"/>
      <c r="CL8" s="760"/>
      <c r="CM8" s="200"/>
      <c r="CN8" s="776" t="s">
        <v>242</v>
      </c>
      <c r="CO8" s="777"/>
      <c r="CP8" s="777"/>
      <c r="CQ8" s="777"/>
      <c r="CR8" s="778"/>
      <c r="CS8" s="628"/>
      <c r="CT8" s="628"/>
      <c r="CU8" s="628"/>
      <c r="CV8" s="628"/>
      <c r="CW8" s="628"/>
      <c r="CX8" s="628"/>
      <c r="CY8" s="628"/>
      <c r="CZ8" s="628"/>
      <c r="DA8" s="200"/>
      <c r="DB8" s="201"/>
      <c r="DC8" s="201"/>
      <c r="DD8" s="202"/>
      <c r="DE8" s="202"/>
      <c r="DF8" s="202"/>
    </row>
    <row r="9" spans="1:110" ht="9" customHeight="1">
      <c r="A9" s="490"/>
      <c r="B9" s="490"/>
      <c r="C9" s="490"/>
      <c r="D9" s="490"/>
      <c r="E9" s="490"/>
      <c r="F9" s="490"/>
      <c r="G9" s="490"/>
      <c r="H9" s="490"/>
      <c r="I9" s="490"/>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208"/>
      <c r="AJ9" s="208"/>
      <c r="AK9" s="208"/>
      <c r="AL9" s="207"/>
      <c r="AM9" s="207"/>
      <c r="AN9" s="207"/>
      <c r="AO9" s="207"/>
      <c r="AP9" s="207"/>
      <c r="AQ9" s="207"/>
      <c r="AR9" s="207"/>
      <c r="AS9" s="207"/>
      <c r="AT9" s="207"/>
      <c r="AU9" s="206"/>
      <c r="AV9" s="782"/>
      <c r="AW9" s="783"/>
      <c r="AX9" s="346"/>
      <c r="AY9" s="347"/>
      <c r="AZ9" s="347"/>
      <c r="BA9" s="347"/>
      <c r="BB9" s="347"/>
      <c r="BC9" s="347"/>
      <c r="BD9" s="347"/>
      <c r="BF9" s="345"/>
      <c r="BG9" s="345"/>
      <c r="BH9" s="345"/>
      <c r="BI9" s="345"/>
      <c r="BJ9" s="345"/>
      <c r="BK9" s="345"/>
      <c r="BL9" s="345"/>
      <c r="BM9" s="345"/>
      <c r="BN9" s="345"/>
      <c r="BO9" s="345"/>
      <c r="BP9" s="732" t="s">
        <v>144</v>
      </c>
      <c r="BQ9" s="574"/>
      <c r="BR9" s="574"/>
      <c r="BS9" s="574"/>
      <c r="BT9" s="574"/>
      <c r="BU9" s="574"/>
      <c r="BV9" s="761"/>
      <c r="BW9" s="760">
        <f>IF('Hyd Sum'!H15="","",'Design (1)'!G28+BW7)</f>
      </c>
      <c r="BX9" s="760"/>
      <c r="BY9" s="760"/>
      <c r="BZ9" s="760"/>
      <c r="CA9" s="760"/>
      <c r="CB9" s="760"/>
      <c r="CC9" s="760"/>
      <c r="CD9" s="760"/>
      <c r="CE9" s="760">
        <f>IF('Hyd Sum'!H28="","",'Design (2)'!G28+'KS-ENG-8'!CE7)</f>
      </c>
      <c r="CF9" s="760"/>
      <c r="CG9" s="760"/>
      <c r="CH9" s="760"/>
      <c r="CI9" s="760"/>
      <c r="CJ9" s="760"/>
      <c r="CK9" s="760"/>
      <c r="CL9" s="760"/>
      <c r="CM9" s="200"/>
      <c r="CN9" s="779" t="s">
        <v>145</v>
      </c>
      <c r="CO9" s="780"/>
      <c r="CP9" s="780"/>
      <c r="CQ9" s="780"/>
      <c r="CR9" s="781"/>
      <c r="CS9" s="772"/>
      <c r="CT9" s="772"/>
      <c r="CU9" s="772"/>
      <c r="CV9" s="772"/>
      <c r="CW9" s="772"/>
      <c r="CX9" s="772"/>
      <c r="CY9" s="772"/>
      <c r="CZ9" s="772"/>
      <c r="DA9" s="200"/>
      <c r="DB9" s="201"/>
      <c r="DC9" s="201"/>
      <c r="DD9" s="202"/>
      <c r="DE9" s="202"/>
      <c r="DF9" s="202"/>
    </row>
    <row r="10" spans="1:110" ht="9" customHeight="1">
      <c r="A10" s="795" t="s">
        <v>184</v>
      </c>
      <c r="B10" s="796"/>
      <c r="C10" s="796"/>
      <c r="D10" s="796"/>
      <c r="E10" s="796"/>
      <c r="F10" s="796"/>
      <c r="G10" s="796"/>
      <c r="H10" s="796"/>
      <c r="I10" s="796"/>
      <c r="J10" s="786">
        <f>IF(OR(BW5="",'Hyd Sum'!W4=""),"",'Hyd Sum'!W4)</f>
      </c>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209"/>
      <c r="AJ10" s="209"/>
      <c r="AK10" s="209"/>
      <c r="AL10" s="209"/>
      <c r="AM10" s="209"/>
      <c r="AN10" s="209"/>
      <c r="AO10" s="209"/>
      <c r="AP10" s="209"/>
      <c r="AQ10" s="209"/>
      <c r="AR10" s="209"/>
      <c r="AS10" s="209"/>
      <c r="AT10" s="209"/>
      <c r="AU10" s="200"/>
      <c r="AV10" s="782"/>
      <c r="AW10" s="783"/>
      <c r="AX10" s="348"/>
      <c r="AY10" s="344"/>
      <c r="AZ10" s="344"/>
      <c r="BA10" s="344"/>
      <c r="BB10" s="344"/>
      <c r="BC10" s="344"/>
      <c r="BD10" s="344"/>
      <c r="BF10" s="349"/>
      <c r="BG10" s="349"/>
      <c r="BH10" s="349"/>
      <c r="BI10" s="349"/>
      <c r="BJ10" s="349"/>
      <c r="BK10" s="349"/>
      <c r="BL10" s="349"/>
      <c r="BM10" s="349"/>
      <c r="BN10" s="349"/>
      <c r="BO10" s="349"/>
      <c r="BP10" s="519"/>
      <c r="BQ10" s="519"/>
      <c r="BR10" s="519"/>
      <c r="BS10" s="519"/>
      <c r="BT10" s="519"/>
      <c r="BU10" s="519"/>
      <c r="BV10" s="762"/>
      <c r="BW10" s="760"/>
      <c r="BX10" s="760"/>
      <c r="BY10" s="760"/>
      <c r="BZ10" s="760"/>
      <c r="CA10" s="760"/>
      <c r="CB10" s="760"/>
      <c r="CC10" s="760"/>
      <c r="CD10" s="760"/>
      <c r="CE10" s="760"/>
      <c r="CF10" s="760"/>
      <c r="CG10" s="760"/>
      <c r="CH10" s="760"/>
      <c r="CI10" s="760"/>
      <c r="CJ10" s="760"/>
      <c r="CK10" s="760"/>
      <c r="CL10" s="760"/>
      <c r="CM10" s="200"/>
      <c r="CN10" s="703" t="s">
        <v>142</v>
      </c>
      <c r="CO10" s="703"/>
      <c r="CP10" s="703"/>
      <c r="CQ10" s="703"/>
      <c r="CR10" s="703"/>
      <c r="CS10" s="759" t="s">
        <v>146</v>
      </c>
      <c r="CT10" s="759"/>
      <c r="CU10" s="759"/>
      <c r="CV10" s="759"/>
      <c r="CW10" s="759" t="s">
        <v>146</v>
      </c>
      <c r="CX10" s="759"/>
      <c r="CY10" s="759"/>
      <c r="CZ10" s="759"/>
      <c r="DA10" s="200"/>
      <c r="DB10" s="201"/>
      <c r="DC10" s="201"/>
      <c r="DD10" s="202"/>
      <c r="DE10" s="202"/>
      <c r="DF10" s="202"/>
    </row>
    <row r="11" spans="1:110" ht="9" customHeight="1">
      <c r="A11" s="796"/>
      <c r="B11" s="796"/>
      <c r="C11" s="796"/>
      <c r="D11" s="796"/>
      <c r="E11" s="796"/>
      <c r="F11" s="796"/>
      <c r="G11" s="796"/>
      <c r="H11" s="796"/>
      <c r="I11" s="796"/>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209"/>
      <c r="AJ11" s="209"/>
      <c r="AK11" s="209"/>
      <c r="AL11" s="209"/>
      <c r="AM11" s="209"/>
      <c r="AN11" s="209"/>
      <c r="AO11" s="209"/>
      <c r="AP11" s="209"/>
      <c r="AQ11" s="209"/>
      <c r="AR11" s="209"/>
      <c r="AS11" s="209"/>
      <c r="AT11" s="209"/>
      <c r="AU11" s="200"/>
      <c r="AV11" s="576"/>
      <c r="AW11" s="577"/>
      <c r="AX11" s="735" t="s">
        <v>299</v>
      </c>
      <c r="AY11" s="735"/>
      <c r="AZ11" s="735"/>
      <c r="BA11" s="735"/>
      <c r="BB11" s="735"/>
      <c r="BC11" s="735"/>
      <c r="BD11" s="735"/>
      <c r="BE11" s="735"/>
      <c r="BF11" s="735"/>
      <c r="BG11" s="735"/>
      <c r="BH11" s="735"/>
      <c r="BI11" s="735"/>
      <c r="BJ11" s="735"/>
      <c r="BK11" s="735"/>
      <c r="BL11" s="735"/>
      <c r="BM11" s="735"/>
      <c r="BN11" s="735"/>
      <c r="BO11" s="735"/>
      <c r="BP11" s="735"/>
      <c r="BQ11" s="735"/>
      <c r="BR11" s="735"/>
      <c r="BS11" s="735"/>
      <c r="BT11" s="735"/>
      <c r="BU11" s="735"/>
      <c r="BV11" s="735"/>
      <c r="BW11" s="723">
        <f>IF(BW5="","",'Hyd Sum'!H19)</f>
      </c>
      <c r="BX11" s="723"/>
      <c r="BY11" s="723"/>
      <c r="BZ11" s="723"/>
      <c r="CA11" s="723"/>
      <c r="CB11" s="723"/>
      <c r="CC11" s="723"/>
      <c r="CD11" s="723"/>
      <c r="CE11" s="723">
        <f>IF(CE5="","",'Hyd Sum'!H32)</f>
      </c>
      <c r="CF11" s="723"/>
      <c r="CG11" s="723"/>
      <c r="CH11" s="723"/>
      <c r="CI11" s="723"/>
      <c r="CJ11" s="723"/>
      <c r="CK11" s="723"/>
      <c r="CL11" s="723"/>
      <c r="CM11" s="200"/>
      <c r="CN11" s="703"/>
      <c r="CO11" s="703"/>
      <c r="CP11" s="703"/>
      <c r="CQ11" s="703"/>
      <c r="CR11" s="703"/>
      <c r="CS11" s="703"/>
      <c r="CT11" s="703"/>
      <c r="CU11" s="703"/>
      <c r="CV11" s="703"/>
      <c r="CW11" s="703"/>
      <c r="CX11" s="703"/>
      <c r="CY11" s="703"/>
      <c r="CZ11" s="703"/>
      <c r="DA11" s="200"/>
      <c r="DB11" s="201"/>
      <c r="DC11" s="201"/>
      <c r="DD11" s="202"/>
      <c r="DE11" s="202"/>
      <c r="DF11" s="202"/>
    </row>
    <row r="12" spans="1:110" ht="9" customHeight="1">
      <c r="A12" s="210"/>
      <c r="B12" s="210"/>
      <c r="C12" s="210"/>
      <c r="D12" s="210"/>
      <c r="E12" s="210"/>
      <c r="F12" s="211"/>
      <c r="G12" s="211"/>
      <c r="H12" s="211"/>
      <c r="I12" s="211"/>
      <c r="J12" s="211"/>
      <c r="K12" s="211"/>
      <c r="L12" s="211"/>
      <c r="M12" s="211"/>
      <c r="N12" s="211"/>
      <c r="O12" s="211"/>
      <c r="P12" s="210"/>
      <c r="Q12" s="210"/>
      <c r="R12" s="210"/>
      <c r="S12" s="210"/>
      <c r="T12" s="210"/>
      <c r="U12" s="211"/>
      <c r="V12" s="211"/>
      <c r="W12" s="211"/>
      <c r="X12" s="211"/>
      <c r="Y12" s="211"/>
      <c r="Z12" s="211"/>
      <c r="AA12" s="211"/>
      <c r="AB12" s="211"/>
      <c r="AC12" s="211"/>
      <c r="AD12" s="211"/>
      <c r="AE12" s="210"/>
      <c r="AF12" s="210"/>
      <c r="AG12" s="210"/>
      <c r="AH12" s="210"/>
      <c r="AI12" s="212"/>
      <c r="AJ12" s="212"/>
      <c r="AK12" s="212"/>
      <c r="AL12" s="212"/>
      <c r="AM12" s="212"/>
      <c r="AN12" s="212"/>
      <c r="AO12" s="212"/>
      <c r="AP12" s="212"/>
      <c r="AQ12" s="212"/>
      <c r="AR12" s="212"/>
      <c r="AS12" s="212"/>
      <c r="AT12" s="212"/>
      <c r="AU12" s="200"/>
      <c r="AV12" s="576"/>
      <c r="AW12" s="577"/>
      <c r="AX12" s="735"/>
      <c r="AY12" s="735"/>
      <c r="AZ12" s="735"/>
      <c r="BA12" s="735"/>
      <c r="BB12" s="735"/>
      <c r="BC12" s="735"/>
      <c r="BD12" s="735"/>
      <c r="BE12" s="735"/>
      <c r="BF12" s="735"/>
      <c r="BG12" s="735"/>
      <c r="BH12" s="735"/>
      <c r="BI12" s="735"/>
      <c r="BJ12" s="735"/>
      <c r="BK12" s="735"/>
      <c r="BL12" s="735"/>
      <c r="BM12" s="735"/>
      <c r="BN12" s="735"/>
      <c r="BO12" s="735"/>
      <c r="BP12" s="735"/>
      <c r="BQ12" s="735"/>
      <c r="BR12" s="735"/>
      <c r="BS12" s="735"/>
      <c r="BT12" s="735"/>
      <c r="BU12" s="735"/>
      <c r="BV12" s="735"/>
      <c r="BW12" s="723"/>
      <c r="BX12" s="723"/>
      <c r="BY12" s="723"/>
      <c r="BZ12" s="723"/>
      <c r="CA12" s="723"/>
      <c r="CB12" s="723"/>
      <c r="CC12" s="723"/>
      <c r="CD12" s="723"/>
      <c r="CE12" s="723"/>
      <c r="CF12" s="723"/>
      <c r="CG12" s="723"/>
      <c r="CH12" s="723"/>
      <c r="CI12" s="723"/>
      <c r="CJ12" s="723"/>
      <c r="CK12" s="723"/>
      <c r="CL12" s="723"/>
      <c r="CM12" s="200"/>
      <c r="CN12" s="739"/>
      <c r="CO12" s="739"/>
      <c r="CP12" s="739"/>
      <c r="CQ12" s="739"/>
      <c r="CR12" s="739"/>
      <c r="CS12" s="738"/>
      <c r="CT12" s="738"/>
      <c r="CU12" s="738"/>
      <c r="CV12" s="738"/>
      <c r="CW12" s="738"/>
      <c r="CX12" s="738"/>
      <c r="CY12" s="738"/>
      <c r="CZ12" s="738"/>
      <c r="DA12" s="200"/>
      <c r="DB12" s="201"/>
      <c r="DC12" s="201"/>
      <c r="DD12" s="202"/>
      <c r="DE12" s="202"/>
      <c r="DF12" s="202"/>
    </row>
    <row r="13" spans="1:110" ht="9" customHeight="1">
      <c r="A13" s="230"/>
      <c r="B13" s="312"/>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257"/>
      <c r="AT13" s="258"/>
      <c r="AU13" s="231"/>
      <c r="AV13" s="576"/>
      <c r="AW13" s="577"/>
      <c r="AX13" s="735" t="s">
        <v>300</v>
      </c>
      <c r="AY13" s="735"/>
      <c r="AZ13" s="735"/>
      <c r="BA13" s="735"/>
      <c r="BB13" s="735"/>
      <c r="BC13" s="735"/>
      <c r="BD13" s="735"/>
      <c r="BE13" s="735"/>
      <c r="BF13" s="735"/>
      <c r="BG13" s="735"/>
      <c r="BH13" s="735"/>
      <c r="BI13" s="735"/>
      <c r="BJ13" s="735"/>
      <c r="BK13" s="735"/>
      <c r="BL13" s="735"/>
      <c r="BM13" s="735"/>
      <c r="BN13" s="735"/>
      <c r="BO13" s="735"/>
      <c r="BP13" s="735"/>
      <c r="BQ13" s="735"/>
      <c r="BR13" s="735"/>
      <c r="BS13" s="735"/>
      <c r="BT13" s="735"/>
      <c r="BU13" s="735"/>
      <c r="BV13" s="735"/>
      <c r="BW13" s="723">
        <f>IF(BW5="","",'Hyd Sum'!M20)</f>
      </c>
      <c r="BX13" s="723"/>
      <c r="BY13" s="723"/>
      <c r="BZ13" s="723"/>
      <c r="CA13" s="723"/>
      <c r="CB13" s="723"/>
      <c r="CC13" s="723"/>
      <c r="CD13" s="723"/>
      <c r="CE13" s="723">
        <f>IF(CE5="","",'Hyd Sum'!M33)</f>
      </c>
      <c r="CF13" s="723"/>
      <c r="CG13" s="723"/>
      <c r="CH13" s="723"/>
      <c r="CI13" s="723"/>
      <c r="CJ13" s="723"/>
      <c r="CK13" s="723"/>
      <c r="CL13" s="723"/>
      <c r="CM13" s="200"/>
      <c r="CN13" s="739"/>
      <c r="CO13" s="739"/>
      <c r="CP13" s="739"/>
      <c r="CQ13" s="739"/>
      <c r="CR13" s="739"/>
      <c r="CS13" s="738"/>
      <c r="CT13" s="738"/>
      <c r="CU13" s="738"/>
      <c r="CV13" s="738"/>
      <c r="CW13" s="738"/>
      <c r="CX13" s="738"/>
      <c r="CY13" s="738"/>
      <c r="CZ13" s="738"/>
      <c r="DA13" s="200"/>
      <c r="DB13" s="201"/>
      <c r="DC13" s="201"/>
      <c r="DD13" s="202"/>
      <c r="DE13" s="202"/>
      <c r="DF13" s="202"/>
    </row>
    <row r="14" spans="1:110" ht="9" customHeight="1">
      <c r="A14" s="232"/>
      <c r="B14" s="791" t="s">
        <v>410</v>
      </c>
      <c r="C14" s="792"/>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259"/>
      <c r="AU14" s="231"/>
      <c r="AV14" s="576"/>
      <c r="AW14" s="577"/>
      <c r="AX14" s="735"/>
      <c r="AY14" s="735"/>
      <c r="AZ14" s="735"/>
      <c r="BA14" s="735"/>
      <c r="BB14" s="735"/>
      <c r="BC14" s="735"/>
      <c r="BD14" s="735"/>
      <c r="BE14" s="735"/>
      <c r="BF14" s="735"/>
      <c r="BG14" s="735"/>
      <c r="BH14" s="735"/>
      <c r="BI14" s="735"/>
      <c r="BJ14" s="735"/>
      <c r="BK14" s="735"/>
      <c r="BL14" s="735"/>
      <c r="BM14" s="735"/>
      <c r="BN14" s="735"/>
      <c r="BO14" s="735"/>
      <c r="BP14" s="735"/>
      <c r="BQ14" s="735"/>
      <c r="BR14" s="735"/>
      <c r="BS14" s="735"/>
      <c r="BT14" s="735"/>
      <c r="BU14" s="735"/>
      <c r="BV14" s="735"/>
      <c r="BW14" s="723"/>
      <c r="BX14" s="723"/>
      <c r="BY14" s="723"/>
      <c r="BZ14" s="723"/>
      <c r="CA14" s="723"/>
      <c r="CB14" s="723"/>
      <c r="CC14" s="723"/>
      <c r="CD14" s="723"/>
      <c r="CE14" s="723"/>
      <c r="CF14" s="723"/>
      <c r="CG14" s="723"/>
      <c r="CH14" s="723"/>
      <c r="CI14" s="723"/>
      <c r="CJ14" s="723"/>
      <c r="CK14" s="723"/>
      <c r="CL14" s="723"/>
      <c r="CM14" s="200"/>
      <c r="CN14" s="739"/>
      <c r="CO14" s="739"/>
      <c r="CP14" s="739"/>
      <c r="CQ14" s="739"/>
      <c r="CR14" s="739"/>
      <c r="CS14" s="738"/>
      <c r="CT14" s="738"/>
      <c r="CU14" s="738"/>
      <c r="CV14" s="738"/>
      <c r="CW14" s="738"/>
      <c r="CX14" s="738"/>
      <c r="CY14" s="738"/>
      <c r="CZ14" s="738"/>
      <c r="DA14" s="200"/>
      <c r="DB14" s="201"/>
      <c r="DC14" s="201"/>
      <c r="DD14" s="202"/>
      <c r="DE14" s="202"/>
      <c r="DF14" s="202"/>
    </row>
    <row r="15" spans="1:110" ht="9" customHeight="1">
      <c r="A15" s="232"/>
      <c r="B15" s="792"/>
      <c r="C15" s="792"/>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259"/>
      <c r="AU15" s="231"/>
      <c r="AV15" s="576"/>
      <c r="AW15" s="577"/>
      <c r="AX15" s="573" t="s">
        <v>301</v>
      </c>
      <c r="AY15" s="732"/>
      <c r="AZ15" s="732"/>
      <c r="BA15" s="732"/>
      <c r="BB15" s="732"/>
      <c r="BC15" s="732"/>
      <c r="BD15" s="732"/>
      <c r="BE15" s="732"/>
      <c r="BF15" s="732"/>
      <c r="BG15" s="809"/>
      <c r="BH15" s="809"/>
      <c r="BI15" s="574"/>
      <c r="BJ15" s="763" t="s">
        <v>195</v>
      </c>
      <c r="BK15" s="769">
        <f>IF('Design (1)'!G19="","",'Design (1)'!G19)</f>
        <v>10</v>
      </c>
      <c r="BL15" s="770"/>
      <c r="BM15" s="765" t="s">
        <v>273</v>
      </c>
      <c r="BN15" s="765"/>
      <c r="BO15" s="765"/>
      <c r="BP15" s="765"/>
      <c r="BQ15" s="765"/>
      <c r="BR15" s="765"/>
      <c r="BS15" s="765"/>
      <c r="BT15" s="765"/>
      <c r="BU15" s="765"/>
      <c r="BV15" s="766"/>
      <c r="BW15" s="718">
        <f>IF(BW5="","",'Design (1)'!G20)</f>
      </c>
      <c r="BX15" s="723"/>
      <c r="BY15" s="723"/>
      <c r="BZ15" s="723"/>
      <c r="CA15" s="723"/>
      <c r="CB15" s="723"/>
      <c r="CC15" s="723"/>
      <c r="CD15" s="723"/>
      <c r="CE15" s="718">
        <f>IF(CE5="","",'Design (2)'!G20)</f>
      </c>
      <c r="CF15" s="723"/>
      <c r="CG15" s="723"/>
      <c r="CH15" s="723"/>
      <c r="CI15" s="723"/>
      <c r="CJ15" s="723"/>
      <c r="CK15" s="723"/>
      <c r="CL15" s="723"/>
      <c r="CM15" s="200"/>
      <c r="CN15" s="739"/>
      <c r="CO15" s="739"/>
      <c r="CP15" s="739"/>
      <c r="CQ15" s="739"/>
      <c r="CR15" s="739"/>
      <c r="CS15" s="738"/>
      <c r="CT15" s="738"/>
      <c r="CU15" s="738"/>
      <c r="CV15" s="738"/>
      <c r="CW15" s="738"/>
      <c r="CX15" s="738"/>
      <c r="CY15" s="738"/>
      <c r="CZ15" s="738"/>
      <c r="DA15" s="200"/>
      <c r="DB15" s="201"/>
      <c r="DC15" s="201"/>
      <c r="DD15" s="202"/>
      <c r="DE15" s="202"/>
      <c r="DF15" s="202"/>
    </row>
    <row r="16" spans="1:110" ht="9" customHeight="1">
      <c r="A16" s="232"/>
      <c r="B16" s="792"/>
      <c r="C16" s="792"/>
      <c r="D16" s="792"/>
      <c r="E16" s="792"/>
      <c r="F16" s="792"/>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2"/>
      <c r="AI16" s="792"/>
      <c r="AJ16" s="792"/>
      <c r="AK16" s="792"/>
      <c r="AL16" s="792"/>
      <c r="AM16" s="792"/>
      <c r="AN16" s="792"/>
      <c r="AO16" s="792"/>
      <c r="AP16" s="792"/>
      <c r="AQ16" s="792"/>
      <c r="AR16" s="792"/>
      <c r="AS16" s="792"/>
      <c r="AT16" s="259"/>
      <c r="AU16" s="231"/>
      <c r="AV16" s="576"/>
      <c r="AW16" s="577"/>
      <c r="AX16" s="581"/>
      <c r="AY16" s="582"/>
      <c r="AZ16" s="582"/>
      <c r="BA16" s="582"/>
      <c r="BB16" s="582"/>
      <c r="BC16" s="582"/>
      <c r="BD16" s="582"/>
      <c r="BE16" s="582"/>
      <c r="BF16" s="582"/>
      <c r="BG16" s="810"/>
      <c r="BH16" s="810"/>
      <c r="BI16" s="519"/>
      <c r="BJ16" s="764"/>
      <c r="BK16" s="771"/>
      <c r="BL16" s="771"/>
      <c r="BM16" s="767"/>
      <c r="BN16" s="767"/>
      <c r="BO16" s="767"/>
      <c r="BP16" s="767"/>
      <c r="BQ16" s="767"/>
      <c r="BR16" s="767"/>
      <c r="BS16" s="767"/>
      <c r="BT16" s="767"/>
      <c r="BU16" s="767"/>
      <c r="BV16" s="768"/>
      <c r="BW16" s="723"/>
      <c r="BX16" s="723"/>
      <c r="BY16" s="723"/>
      <c r="BZ16" s="723"/>
      <c r="CA16" s="723"/>
      <c r="CB16" s="723"/>
      <c r="CC16" s="723"/>
      <c r="CD16" s="723"/>
      <c r="CE16" s="723"/>
      <c r="CF16" s="723"/>
      <c r="CG16" s="723"/>
      <c r="CH16" s="723"/>
      <c r="CI16" s="723"/>
      <c r="CJ16" s="723"/>
      <c r="CK16" s="723"/>
      <c r="CL16" s="723"/>
      <c r="CM16" s="200"/>
      <c r="CN16" s="739"/>
      <c r="CO16" s="739"/>
      <c r="CP16" s="739"/>
      <c r="CQ16" s="739"/>
      <c r="CR16" s="739"/>
      <c r="CS16" s="738"/>
      <c r="CT16" s="738"/>
      <c r="CU16" s="738"/>
      <c r="CV16" s="738"/>
      <c r="CW16" s="738"/>
      <c r="CX16" s="738"/>
      <c r="CY16" s="738"/>
      <c r="CZ16" s="738"/>
      <c r="DA16" s="200"/>
      <c r="DB16" s="201"/>
      <c r="DC16" s="201"/>
      <c r="DD16" s="202"/>
      <c r="DE16" s="202"/>
      <c r="DF16" s="202"/>
    </row>
    <row r="17" spans="1:110" ht="9" customHeight="1">
      <c r="A17" s="233"/>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260"/>
      <c r="AU17" s="231"/>
      <c r="AV17" s="576"/>
      <c r="AW17" s="577"/>
      <c r="AX17" s="735" t="s">
        <v>302</v>
      </c>
      <c r="AY17" s="735"/>
      <c r="AZ17" s="735"/>
      <c r="BA17" s="735"/>
      <c r="BB17" s="735"/>
      <c r="BC17" s="735"/>
      <c r="BD17" s="735"/>
      <c r="BE17" s="735"/>
      <c r="BF17" s="735"/>
      <c r="BG17" s="735"/>
      <c r="BH17" s="735"/>
      <c r="BI17" s="735"/>
      <c r="BJ17" s="735"/>
      <c r="BK17" s="735"/>
      <c r="BL17" s="735"/>
      <c r="BM17" s="735"/>
      <c r="BN17" s="735"/>
      <c r="BO17" s="735"/>
      <c r="BP17" s="735"/>
      <c r="BQ17" s="735"/>
      <c r="BR17" s="735"/>
      <c r="BS17" s="735"/>
      <c r="BT17" s="735"/>
      <c r="BU17" s="735"/>
      <c r="BV17" s="735"/>
      <c r="BW17" s="737">
        <f>IF(BW5="","",'Design (1)'!G26)</f>
      </c>
      <c r="BX17" s="737"/>
      <c r="BY17" s="737"/>
      <c r="BZ17" s="737"/>
      <c r="CA17" s="737"/>
      <c r="CB17" s="737"/>
      <c r="CC17" s="737"/>
      <c r="CD17" s="737"/>
      <c r="CE17" s="737">
        <f>IF(CE5="","",'Design (2)'!G26)</f>
      </c>
      <c r="CF17" s="737"/>
      <c r="CG17" s="737"/>
      <c r="CH17" s="737"/>
      <c r="CI17" s="737"/>
      <c r="CJ17" s="737"/>
      <c r="CK17" s="737"/>
      <c r="CL17" s="737"/>
      <c r="CM17" s="200"/>
      <c r="CN17" s="739"/>
      <c r="CO17" s="739"/>
      <c r="CP17" s="739"/>
      <c r="CQ17" s="739"/>
      <c r="CR17" s="739"/>
      <c r="CS17" s="738"/>
      <c r="CT17" s="738"/>
      <c r="CU17" s="738"/>
      <c r="CV17" s="738"/>
      <c r="CW17" s="738"/>
      <c r="CX17" s="738"/>
      <c r="CY17" s="738"/>
      <c r="CZ17" s="738"/>
      <c r="DA17" s="200"/>
      <c r="DB17" s="201"/>
      <c r="DC17" s="201"/>
      <c r="DD17" s="202"/>
      <c r="DE17" s="202"/>
      <c r="DF17" s="202"/>
    </row>
    <row r="18" spans="1:110" ht="9" customHeight="1">
      <c r="A18" s="307"/>
      <c r="B18" s="306"/>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257"/>
      <c r="AT18" s="257"/>
      <c r="AU18" s="314"/>
      <c r="AV18" s="576"/>
      <c r="AW18" s="577"/>
      <c r="AX18" s="735"/>
      <c r="AY18" s="735"/>
      <c r="AZ18" s="735"/>
      <c r="BA18" s="735"/>
      <c r="BB18" s="735"/>
      <c r="BC18" s="735"/>
      <c r="BD18" s="735"/>
      <c r="BE18" s="735"/>
      <c r="BF18" s="735"/>
      <c r="BG18" s="735"/>
      <c r="BH18" s="735"/>
      <c r="BI18" s="735"/>
      <c r="BJ18" s="735"/>
      <c r="BK18" s="735"/>
      <c r="BL18" s="735"/>
      <c r="BM18" s="735"/>
      <c r="BN18" s="735"/>
      <c r="BO18" s="735"/>
      <c r="BP18" s="735"/>
      <c r="BQ18" s="735"/>
      <c r="BR18" s="735"/>
      <c r="BS18" s="735"/>
      <c r="BT18" s="735"/>
      <c r="BU18" s="735"/>
      <c r="BV18" s="735"/>
      <c r="BW18" s="737"/>
      <c r="BX18" s="737"/>
      <c r="BY18" s="737"/>
      <c r="BZ18" s="737"/>
      <c r="CA18" s="737"/>
      <c r="CB18" s="737"/>
      <c r="CC18" s="737"/>
      <c r="CD18" s="737"/>
      <c r="CE18" s="737"/>
      <c r="CF18" s="737"/>
      <c r="CG18" s="737"/>
      <c r="CH18" s="737"/>
      <c r="CI18" s="737"/>
      <c r="CJ18" s="737"/>
      <c r="CK18" s="737"/>
      <c r="CL18" s="737"/>
      <c r="CM18" s="200"/>
      <c r="CN18" s="739"/>
      <c r="CO18" s="739"/>
      <c r="CP18" s="739"/>
      <c r="CQ18" s="739"/>
      <c r="CR18" s="739"/>
      <c r="CS18" s="738"/>
      <c r="CT18" s="738"/>
      <c r="CU18" s="738"/>
      <c r="CV18" s="738"/>
      <c r="CW18" s="738"/>
      <c r="CX18" s="738"/>
      <c r="CY18" s="738"/>
      <c r="CZ18" s="738"/>
      <c r="DA18" s="200"/>
      <c r="DB18" s="201"/>
      <c r="DC18" s="201"/>
      <c r="DD18" s="202"/>
      <c r="DE18" s="202"/>
      <c r="DF18" s="202"/>
    </row>
    <row r="19" spans="1:110" ht="9" customHeight="1">
      <c r="A19" s="200"/>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U19" s="200"/>
      <c r="AV19" s="576"/>
      <c r="AW19" s="577"/>
      <c r="AX19" s="735" t="s">
        <v>318</v>
      </c>
      <c r="AY19" s="735"/>
      <c r="AZ19" s="735"/>
      <c r="BA19" s="735"/>
      <c r="BB19" s="735"/>
      <c r="BC19" s="735"/>
      <c r="BD19" s="735"/>
      <c r="BE19" s="735"/>
      <c r="BF19" s="735"/>
      <c r="BG19" s="735"/>
      <c r="BH19" s="735"/>
      <c r="BI19" s="735"/>
      <c r="BJ19" s="735"/>
      <c r="BK19" s="735"/>
      <c r="BL19" s="735"/>
      <c r="BM19" s="735"/>
      <c r="BN19" s="735"/>
      <c r="BO19" s="735"/>
      <c r="BP19" s="735"/>
      <c r="BQ19" s="735"/>
      <c r="BR19" s="735"/>
      <c r="BS19" s="735"/>
      <c r="BT19" s="735"/>
      <c r="BU19" s="735"/>
      <c r="BV19" s="735"/>
      <c r="BW19" s="737">
        <f>IF(BW5="","",type1)</f>
      </c>
      <c r="BX19" s="737"/>
      <c r="BY19" s="737"/>
      <c r="BZ19" s="737"/>
      <c r="CA19" s="737"/>
      <c r="CB19" s="737"/>
      <c r="CC19" s="737"/>
      <c r="CD19" s="737"/>
      <c r="CE19" s="737">
        <f>IF(CE5="","",type2)</f>
      </c>
      <c r="CF19" s="737"/>
      <c r="CG19" s="737"/>
      <c r="CH19" s="737"/>
      <c r="CI19" s="737"/>
      <c r="CJ19" s="737"/>
      <c r="CK19" s="737"/>
      <c r="CL19" s="737"/>
      <c r="CM19" s="200"/>
      <c r="CN19" s="739"/>
      <c r="CO19" s="739"/>
      <c r="CP19" s="739"/>
      <c r="CQ19" s="739"/>
      <c r="CR19" s="739"/>
      <c r="CS19" s="738"/>
      <c r="CT19" s="738"/>
      <c r="CU19" s="738"/>
      <c r="CV19" s="738"/>
      <c r="CW19" s="738"/>
      <c r="CX19" s="738"/>
      <c r="CY19" s="738"/>
      <c r="CZ19" s="738"/>
      <c r="DA19" s="200"/>
      <c r="DB19" s="201"/>
      <c r="DC19" s="201"/>
      <c r="DD19" s="202"/>
      <c r="DE19" s="202"/>
      <c r="DF19" s="202"/>
    </row>
    <row r="20" spans="1:110" ht="9" customHeight="1">
      <c r="A20" s="315"/>
      <c r="B20" s="316"/>
      <c r="C20" s="316"/>
      <c r="D20" s="316"/>
      <c r="E20" s="316"/>
      <c r="F20" s="316"/>
      <c r="G20" s="316"/>
      <c r="H20" s="316"/>
      <c r="I20" s="316"/>
      <c r="J20" s="316"/>
      <c r="K20" s="316"/>
      <c r="L20" s="316"/>
      <c r="M20" s="316"/>
      <c r="N20" s="316"/>
      <c r="O20" s="316"/>
      <c r="P20" s="316"/>
      <c r="Q20" s="316"/>
      <c r="R20" s="316"/>
      <c r="S20" s="316"/>
      <c r="T20" s="316"/>
      <c r="U20" s="317"/>
      <c r="V20" s="316"/>
      <c r="W20" s="316"/>
      <c r="X20" s="316"/>
      <c r="Y20" s="316"/>
      <c r="Z20" s="316"/>
      <c r="AA20" s="316"/>
      <c r="AB20" s="316"/>
      <c r="AC20" s="316"/>
      <c r="AD20" s="316"/>
      <c r="AE20" s="316"/>
      <c r="AF20" s="316"/>
      <c r="AG20" s="316"/>
      <c r="AH20" s="316"/>
      <c r="AI20" s="316"/>
      <c r="AJ20" s="316"/>
      <c r="AK20" s="316"/>
      <c r="AL20" s="316"/>
      <c r="AM20" s="316"/>
      <c r="AN20" s="316"/>
      <c r="AO20" s="312"/>
      <c r="AP20" s="408"/>
      <c r="AU20" s="200"/>
      <c r="AV20" s="576"/>
      <c r="AW20" s="577"/>
      <c r="AX20" s="735"/>
      <c r="AY20" s="735"/>
      <c r="AZ20" s="735"/>
      <c r="BA20" s="735"/>
      <c r="BB20" s="735"/>
      <c r="BC20" s="735"/>
      <c r="BD20" s="735"/>
      <c r="BE20" s="735"/>
      <c r="BF20" s="735"/>
      <c r="BG20" s="735"/>
      <c r="BH20" s="735"/>
      <c r="BI20" s="735"/>
      <c r="BJ20" s="735"/>
      <c r="BK20" s="735"/>
      <c r="BL20" s="735"/>
      <c r="BM20" s="735"/>
      <c r="BN20" s="735"/>
      <c r="BO20" s="735"/>
      <c r="BP20" s="735"/>
      <c r="BQ20" s="735"/>
      <c r="BR20" s="735"/>
      <c r="BS20" s="735"/>
      <c r="BT20" s="735"/>
      <c r="BU20" s="735"/>
      <c r="BV20" s="735"/>
      <c r="BW20" s="737"/>
      <c r="BX20" s="737"/>
      <c r="BY20" s="737"/>
      <c r="BZ20" s="737"/>
      <c r="CA20" s="737"/>
      <c r="CB20" s="737"/>
      <c r="CC20" s="737"/>
      <c r="CD20" s="737"/>
      <c r="CE20" s="737"/>
      <c r="CF20" s="737"/>
      <c r="CG20" s="737"/>
      <c r="CH20" s="737"/>
      <c r="CI20" s="737"/>
      <c r="CJ20" s="737"/>
      <c r="CK20" s="737"/>
      <c r="CL20" s="737"/>
      <c r="CM20" s="200"/>
      <c r="CN20" s="739"/>
      <c r="CO20" s="739"/>
      <c r="CP20" s="739"/>
      <c r="CQ20" s="739"/>
      <c r="CR20" s="739"/>
      <c r="CS20" s="738"/>
      <c r="CT20" s="738"/>
      <c r="CU20" s="738"/>
      <c r="CV20" s="738"/>
      <c r="CW20" s="738"/>
      <c r="CX20" s="738"/>
      <c r="CY20" s="738"/>
      <c r="CZ20" s="738"/>
      <c r="DA20" s="200"/>
      <c r="DB20" s="201"/>
      <c r="DC20" s="201"/>
      <c r="DD20" s="202"/>
      <c r="DE20" s="202"/>
      <c r="DF20" s="202"/>
    </row>
    <row r="21" spans="1:110" ht="9" customHeight="1">
      <c r="A21" s="318"/>
      <c r="B21" s="319"/>
      <c r="C21" s="319"/>
      <c r="D21" s="319"/>
      <c r="E21" s="319"/>
      <c r="F21" s="319"/>
      <c r="G21" s="319"/>
      <c r="H21" s="319"/>
      <c r="I21" s="319"/>
      <c r="J21" s="319"/>
      <c r="K21" s="319"/>
      <c r="L21" s="319"/>
      <c r="M21" s="319"/>
      <c r="N21" s="319"/>
      <c r="O21" s="319"/>
      <c r="P21" s="319"/>
      <c r="Q21" s="319"/>
      <c r="R21" s="319"/>
      <c r="S21" s="319"/>
      <c r="T21" s="319"/>
      <c r="U21" s="320"/>
      <c r="V21" s="319"/>
      <c r="W21" s="319"/>
      <c r="X21" s="319"/>
      <c r="Y21" s="319"/>
      <c r="Z21" s="319"/>
      <c r="AA21" s="319"/>
      <c r="AB21" s="319"/>
      <c r="AC21" s="319"/>
      <c r="AD21" s="319"/>
      <c r="AE21" s="319"/>
      <c r="AF21" s="319"/>
      <c r="AG21" s="319"/>
      <c r="AH21" s="319"/>
      <c r="AI21" s="319"/>
      <c r="AJ21" s="319"/>
      <c r="AK21" s="319"/>
      <c r="AL21" s="319"/>
      <c r="AM21" s="319"/>
      <c r="AN21" s="319"/>
      <c r="AO21" s="340"/>
      <c r="AP21" s="409"/>
      <c r="AU21" s="200"/>
      <c r="AV21" s="608"/>
      <c r="AW21" s="608"/>
      <c r="AX21" s="735" t="s">
        <v>303</v>
      </c>
      <c r="AY21" s="735"/>
      <c r="AZ21" s="735"/>
      <c r="BA21" s="735"/>
      <c r="BB21" s="735"/>
      <c r="BC21" s="735"/>
      <c r="BD21" s="735"/>
      <c r="BE21" s="735"/>
      <c r="BF21" s="735"/>
      <c r="BG21" s="735"/>
      <c r="BH21" s="735"/>
      <c r="BI21" s="735"/>
      <c r="BJ21" s="735"/>
      <c r="BK21" s="735"/>
      <c r="BL21" s="735"/>
      <c r="BM21" s="735"/>
      <c r="BN21" s="735"/>
      <c r="BO21" s="735"/>
      <c r="BP21" s="735"/>
      <c r="BQ21" s="735"/>
      <c r="BR21" s="735"/>
      <c r="BS21" s="735"/>
      <c r="BT21" s="735"/>
      <c r="BU21" s="735"/>
      <c r="BV21" s="735"/>
      <c r="BW21" s="723">
        <f>IF(BW5="","",IF(BW19="farmed",CONCATENATE(ROUND('Design (1)'!N22,3),"~",ROUND('Design (1)'!P22,3)),CONCATENATE('Design (1)'!N21," ~ ",'Design (1)'!P21)))</f>
      </c>
      <c r="BX21" s="723"/>
      <c r="BY21" s="723"/>
      <c r="BZ21" s="723"/>
      <c r="CA21" s="723"/>
      <c r="CB21" s="723"/>
      <c r="CC21" s="723"/>
      <c r="CD21" s="723"/>
      <c r="CE21" s="723">
        <f>IF(CE5="","",IF(CE19="farmed",CONCATENATE(ROUND('Design (2)'!N22,3),"~",ROUND('Design (2)'!P22,3)),CONCATENATE('Design (2)'!N21," ~ ",'Design (2)'!P21)))</f>
      </c>
      <c r="CF21" s="723"/>
      <c r="CG21" s="723"/>
      <c r="CH21" s="723"/>
      <c r="CI21" s="723"/>
      <c r="CJ21" s="723"/>
      <c r="CK21" s="723"/>
      <c r="CL21" s="723"/>
      <c r="CM21" s="200"/>
      <c r="CN21" s="739"/>
      <c r="CO21" s="739"/>
      <c r="CP21" s="739"/>
      <c r="CQ21" s="739"/>
      <c r="CR21" s="739"/>
      <c r="CS21" s="738"/>
      <c r="CT21" s="738"/>
      <c r="CU21" s="738"/>
      <c r="CV21" s="738"/>
      <c r="CW21" s="738"/>
      <c r="CX21" s="738"/>
      <c r="CY21" s="738"/>
      <c r="CZ21" s="738"/>
      <c r="DA21" s="200"/>
      <c r="DB21" s="201"/>
      <c r="DC21" s="201"/>
      <c r="DD21" s="202"/>
      <c r="DE21" s="202"/>
      <c r="DF21" s="202"/>
    </row>
    <row r="22" spans="1:110" ht="9" customHeight="1">
      <c r="A22" s="318"/>
      <c r="B22" s="319"/>
      <c r="C22" s="319"/>
      <c r="D22" s="319"/>
      <c r="E22" s="319"/>
      <c r="F22" s="319"/>
      <c r="G22" s="319"/>
      <c r="H22" s="319"/>
      <c r="I22" s="319"/>
      <c r="J22" s="319"/>
      <c r="K22" s="319"/>
      <c r="L22" s="319"/>
      <c r="M22" s="319"/>
      <c r="N22" s="319"/>
      <c r="O22" s="319"/>
      <c r="P22" s="319"/>
      <c r="Q22" s="319"/>
      <c r="R22" s="319"/>
      <c r="S22" s="319"/>
      <c r="T22" s="319"/>
      <c r="U22" s="320"/>
      <c r="V22" s="319"/>
      <c r="W22" s="319"/>
      <c r="X22" s="319"/>
      <c r="Y22" s="319"/>
      <c r="Z22" s="319"/>
      <c r="AA22" s="319"/>
      <c r="AB22" s="319"/>
      <c r="AC22" s="319"/>
      <c r="AD22" s="319"/>
      <c r="AE22" s="319"/>
      <c r="AF22" s="319"/>
      <c r="AG22" s="319"/>
      <c r="AH22" s="319"/>
      <c r="AI22" s="319"/>
      <c r="AJ22" s="319"/>
      <c r="AK22" s="319"/>
      <c r="AL22" s="319"/>
      <c r="AM22" s="319"/>
      <c r="AN22" s="319"/>
      <c r="AO22" s="340"/>
      <c r="AP22" s="409"/>
      <c r="AU22" s="200"/>
      <c r="AV22" s="608"/>
      <c r="AW22" s="608"/>
      <c r="AX22" s="735"/>
      <c r="AY22" s="735"/>
      <c r="AZ22" s="735"/>
      <c r="BA22" s="735"/>
      <c r="BB22" s="735"/>
      <c r="BC22" s="735"/>
      <c r="BD22" s="735"/>
      <c r="BE22" s="735"/>
      <c r="BF22" s="735"/>
      <c r="BG22" s="735"/>
      <c r="BH22" s="735"/>
      <c r="BI22" s="735"/>
      <c r="BJ22" s="735"/>
      <c r="BK22" s="735"/>
      <c r="BL22" s="735"/>
      <c r="BM22" s="735"/>
      <c r="BN22" s="735"/>
      <c r="BO22" s="735"/>
      <c r="BP22" s="735"/>
      <c r="BQ22" s="735"/>
      <c r="BR22" s="735"/>
      <c r="BS22" s="735"/>
      <c r="BT22" s="735"/>
      <c r="BU22" s="735"/>
      <c r="BV22" s="735"/>
      <c r="BW22" s="723"/>
      <c r="BX22" s="723"/>
      <c r="BY22" s="723"/>
      <c r="BZ22" s="723"/>
      <c r="CA22" s="723"/>
      <c r="CB22" s="723"/>
      <c r="CC22" s="723"/>
      <c r="CD22" s="723"/>
      <c r="CE22" s="723"/>
      <c r="CF22" s="723"/>
      <c r="CG22" s="723"/>
      <c r="CH22" s="723"/>
      <c r="CI22" s="723"/>
      <c r="CJ22" s="723"/>
      <c r="CK22" s="723"/>
      <c r="CL22" s="723"/>
      <c r="CM22" s="200"/>
      <c r="CN22" s="739"/>
      <c r="CO22" s="739"/>
      <c r="CP22" s="739"/>
      <c r="CQ22" s="739"/>
      <c r="CR22" s="739"/>
      <c r="CS22" s="738"/>
      <c r="CT22" s="738"/>
      <c r="CU22" s="738"/>
      <c r="CV22" s="738"/>
      <c r="CW22" s="738"/>
      <c r="CX22" s="738"/>
      <c r="CY22" s="738"/>
      <c r="CZ22" s="738"/>
      <c r="DA22" s="200"/>
      <c r="DB22" s="201"/>
      <c r="DC22" s="201"/>
      <c r="DD22" s="202"/>
      <c r="DE22" s="202"/>
      <c r="DF22" s="202"/>
    </row>
    <row r="23" spans="1:110" ht="9" customHeight="1">
      <c r="A23" s="318"/>
      <c r="B23" s="319"/>
      <c r="C23" s="319"/>
      <c r="D23" s="319"/>
      <c r="E23" s="319"/>
      <c r="F23" s="319"/>
      <c r="G23" s="319"/>
      <c r="H23" s="319"/>
      <c r="I23" s="319"/>
      <c r="J23" s="319"/>
      <c r="K23" s="319"/>
      <c r="L23" s="319"/>
      <c r="M23" s="319"/>
      <c r="N23" s="319"/>
      <c r="O23" s="319"/>
      <c r="P23" s="319"/>
      <c r="Q23" s="319"/>
      <c r="R23" s="319"/>
      <c r="S23" s="319"/>
      <c r="T23" s="319"/>
      <c r="U23" s="320"/>
      <c r="V23" s="319"/>
      <c r="W23" s="319"/>
      <c r="X23" s="319"/>
      <c r="Y23" s="319"/>
      <c r="Z23" s="319"/>
      <c r="AA23" s="319"/>
      <c r="AB23" s="319"/>
      <c r="AC23" s="319"/>
      <c r="AD23" s="319"/>
      <c r="AE23" s="319"/>
      <c r="AF23" s="319"/>
      <c r="AG23" s="319"/>
      <c r="AH23" s="319"/>
      <c r="AI23" s="319"/>
      <c r="AJ23" s="319"/>
      <c r="AK23" s="319"/>
      <c r="AL23" s="319"/>
      <c r="AM23" s="319"/>
      <c r="AN23" s="319"/>
      <c r="AO23" s="340"/>
      <c r="AP23" s="409"/>
      <c r="AU23" s="200"/>
      <c r="AV23" s="608"/>
      <c r="AW23" s="608"/>
      <c r="AX23" s="573" t="s">
        <v>304</v>
      </c>
      <c r="AY23" s="732"/>
      <c r="AZ23" s="732"/>
      <c r="BA23" s="732"/>
      <c r="BB23" s="732"/>
      <c r="BC23" s="732"/>
      <c r="BD23" s="732"/>
      <c r="BE23" s="732"/>
      <c r="BF23" s="732"/>
      <c r="BG23" s="732"/>
      <c r="BH23" s="732"/>
      <c r="BI23" s="732"/>
      <c r="BJ23" s="732"/>
      <c r="BK23" s="732"/>
      <c r="BL23" s="732"/>
      <c r="BM23" s="732"/>
      <c r="BN23" s="732"/>
      <c r="BO23" s="732"/>
      <c r="BP23" s="732" t="s">
        <v>305</v>
      </c>
      <c r="BQ23" s="732"/>
      <c r="BR23" s="732"/>
      <c r="BS23" s="732"/>
      <c r="BT23" s="732"/>
      <c r="BU23" s="732"/>
      <c r="BV23" s="756"/>
      <c r="BW23" s="746">
        <f>IF(BW5="","",'Design (1)'!G23)</f>
      </c>
      <c r="BX23" s="757"/>
      <c r="BY23" s="757"/>
      <c r="BZ23" s="757"/>
      <c r="CA23" s="750" t="s">
        <v>138</v>
      </c>
      <c r="CB23" s="751"/>
      <c r="CC23" s="751"/>
      <c r="CD23" s="752"/>
      <c r="CE23" s="746">
        <f>IF(CE5="","",'Design (2)'!G23)</f>
      </c>
      <c r="CF23" s="747"/>
      <c r="CG23" s="747"/>
      <c r="CH23" s="747"/>
      <c r="CI23" s="750" t="s">
        <v>138</v>
      </c>
      <c r="CJ23" s="751"/>
      <c r="CK23" s="751"/>
      <c r="CL23" s="752"/>
      <c r="CM23" s="200"/>
      <c r="CN23" s="739"/>
      <c r="CO23" s="739"/>
      <c r="CP23" s="739"/>
      <c r="CQ23" s="739"/>
      <c r="CR23" s="739"/>
      <c r="CS23" s="738"/>
      <c r="CT23" s="738"/>
      <c r="CU23" s="738"/>
      <c r="CV23" s="738"/>
      <c r="CW23" s="738"/>
      <c r="CX23" s="738"/>
      <c r="CY23" s="738"/>
      <c r="CZ23" s="738"/>
      <c r="DA23" s="200"/>
      <c r="DB23" s="201"/>
      <c r="DC23" s="201"/>
      <c r="DD23" s="202"/>
      <c r="DE23" s="202"/>
      <c r="DF23" s="202"/>
    </row>
    <row r="24" spans="1:109" ht="9" customHeight="1">
      <c r="A24" s="318"/>
      <c r="B24" s="319"/>
      <c r="C24" s="319"/>
      <c r="D24" s="319"/>
      <c r="E24" s="319"/>
      <c r="F24" s="319"/>
      <c r="G24" s="319"/>
      <c r="H24" s="319"/>
      <c r="I24" s="319"/>
      <c r="J24" s="319"/>
      <c r="K24" s="319"/>
      <c r="L24" s="319"/>
      <c r="M24" s="319"/>
      <c r="N24" s="319"/>
      <c r="O24" s="319"/>
      <c r="P24" s="319"/>
      <c r="Q24" s="319"/>
      <c r="R24" s="319"/>
      <c r="S24" s="319"/>
      <c r="T24" s="319"/>
      <c r="U24" s="320"/>
      <c r="V24" s="319"/>
      <c r="W24" s="319"/>
      <c r="X24" s="319"/>
      <c r="Y24" s="319"/>
      <c r="Z24" s="319"/>
      <c r="AA24" s="319"/>
      <c r="AB24" s="319"/>
      <c r="AC24" s="319"/>
      <c r="AD24" s="319"/>
      <c r="AE24" s="319"/>
      <c r="AF24" s="319"/>
      <c r="AG24" s="319"/>
      <c r="AH24" s="319"/>
      <c r="AI24" s="319"/>
      <c r="AJ24" s="319"/>
      <c r="AK24" s="319"/>
      <c r="AL24" s="319"/>
      <c r="AM24" s="319"/>
      <c r="AN24" s="319"/>
      <c r="AO24" s="340"/>
      <c r="AP24" s="409"/>
      <c r="AU24" s="200"/>
      <c r="AV24" s="608"/>
      <c r="AW24" s="608"/>
      <c r="AX24" s="578"/>
      <c r="AY24" s="579"/>
      <c r="AZ24" s="579"/>
      <c r="BA24" s="579"/>
      <c r="BB24" s="579"/>
      <c r="BC24" s="579"/>
      <c r="BD24" s="579"/>
      <c r="BE24" s="579"/>
      <c r="BF24" s="579"/>
      <c r="BG24" s="579"/>
      <c r="BH24" s="579"/>
      <c r="BI24" s="579"/>
      <c r="BJ24" s="579"/>
      <c r="BK24" s="579"/>
      <c r="BL24" s="579"/>
      <c r="BM24" s="579"/>
      <c r="BN24" s="579"/>
      <c r="BO24" s="579"/>
      <c r="BP24" s="582"/>
      <c r="BQ24" s="582"/>
      <c r="BR24" s="582"/>
      <c r="BS24" s="582"/>
      <c r="BT24" s="582"/>
      <c r="BU24" s="582"/>
      <c r="BV24" s="583"/>
      <c r="BW24" s="758"/>
      <c r="BX24" s="528"/>
      <c r="BY24" s="528"/>
      <c r="BZ24" s="528"/>
      <c r="CA24" s="753"/>
      <c r="CB24" s="753"/>
      <c r="CC24" s="753"/>
      <c r="CD24" s="754"/>
      <c r="CE24" s="748"/>
      <c r="CF24" s="749"/>
      <c r="CG24" s="749"/>
      <c r="CH24" s="749"/>
      <c r="CI24" s="753"/>
      <c r="CJ24" s="753"/>
      <c r="CK24" s="753"/>
      <c r="CL24" s="754"/>
      <c r="CM24" s="200"/>
      <c r="CN24" s="739"/>
      <c r="CO24" s="739"/>
      <c r="CP24" s="739"/>
      <c r="CQ24" s="739"/>
      <c r="CR24" s="739"/>
      <c r="CS24" s="738"/>
      <c r="CT24" s="738"/>
      <c r="CU24" s="738"/>
      <c r="CV24" s="738"/>
      <c r="CW24" s="738"/>
      <c r="CX24" s="738"/>
      <c r="CY24" s="738"/>
      <c r="CZ24" s="738"/>
      <c r="DA24" s="200"/>
      <c r="DB24" s="201"/>
      <c r="DC24" s="201"/>
      <c r="DD24" s="202"/>
      <c r="DE24" s="202"/>
    </row>
    <row r="25" spans="1:109" ht="9" customHeight="1">
      <c r="A25" s="318"/>
      <c r="B25" s="319"/>
      <c r="C25" s="319"/>
      <c r="D25" s="319"/>
      <c r="E25" s="319"/>
      <c r="F25" s="319"/>
      <c r="G25" s="319"/>
      <c r="H25" s="319"/>
      <c r="I25" s="319"/>
      <c r="J25" s="319"/>
      <c r="K25" s="319"/>
      <c r="L25" s="319"/>
      <c r="M25" s="319"/>
      <c r="N25" s="319"/>
      <c r="O25" s="319"/>
      <c r="P25" s="319"/>
      <c r="Q25" s="319"/>
      <c r="R25" s="319"/>
      <c r="S25" s="319"/>
      <c r="T25" s="319"/>
      <c r="U25" s="320"/>
      <c r="V25" s="319"/>
      <c r="W25" s="319"/>
      <c r="X25" s="319"/>
      <c r="Y25" s="319"/>
      <c r="Z25" s="319"/>
      <c r="AA25" s="319"/>
      <c r="AB25" s="319"/>
      <c r="AC25" s="319"/>
      <c r="AD25" s="319"/>
      <c r="AE25" s="319"/>
      <c r="AF25" s="319"/>
      <c r="AG25" s="319"/>
      <c r="AH25" s="319"/>
      <c r="AI25" s="319"/>
      <c r="AJ25" s="319"/>
      <c r="AK25" s="319"/>
      <c r="AL25" s="319"/>
      <c r="AM25" s="319"/>
      <c r="AN25" s="319"/>
      <c r="AO25" s="340"/>
      <c r="AP25" s="409"/>
      <c r="AU25" s="200"/>
      <c r="AV25" s="608"/>
      <c r="AW25" s="608"/>
      <c r="AX25" s="755"/>
      <c r="AY25" s="566"/>
      <c r="AZ25" s="566"/>
      <c r="BA25" s="566"/>
      <c r="BB25" s="566"/>
      <c r="BC25" s="566"/>
      <c r="BD25" s="566"/>
      <c r="BE25" s="566"/>
      <c r="BF25" s="566"/>
      <c r="BG25" s="566"/>
      <c r="BH25" s="566"/>
      <c r="BI25" s="566"/>
      <c r="BJ25" s="566"/>
      <c r="BK25" s="566"/>
      <c r="BL25" s="566"/>
      <c r="BM25" s="566"/>
      <c r="BN25" s="566"/>
      <c r="BO25" s="566"/>
      <c r="BP25" s="732" t="s">
        <v>306</v>
      </c>
      <c r="BQ25" s="732"/>
      <c r="BR25" s="732"/>
      <c r="BS25" s="732"/>
      <c r="BT25" s="732"/>
      <c r="BU25" s="732"/>
      <c r="BV25" s="756"/>
      <c r="BW25" s="746">
        <f>IF(BW5="","",'Design (1)'!G24)</f>
      </c>
      <c r="BX25" s="747"/>
      <c r="BY25" s="747"/>
      <c r="BZ25" s="747"/>
      <c r="CA25" s="750" t="s">
        <v>138</v>
      </c>
      <c r="CB25" s="751"/>
      <c r="CC25" s="751"/>
      <c r="CD25" s="752"/>
      <c r="CE25" s="746">
        <f>IF(CE5="","",'Design (2)'!G24)</f>
      </c>
      <c r="CF25" s="747"/>
      <c r="CG25" s="747"/>
      <c r="CH25" s="747"/>
      <c r="CI25" s="750" t="s">
        <v>138</v>
      </c>
      <c r="CJ25" s="751"/>
      <c r="CK25" s="751"/>
      <c r="CL25" s="752"/>
      <c r="CM25" s="200"/>
      <c r="CN25" s="739"/>
      <c r="CO25" s="739"/>
      <c r="CP25" s="739"/>
      <c r="CQ25" s="739"/>
      <c r="CR25" s="739"/>
      <c r="CS25" s="738"/>
      <c r="CT25" s="738"/>
      <c r="CU25" s="738"/>
      <c r="CV25" s="738"/>
      <c r="CW25" s="738"/>
      <c r="CX25" s="738"/>
      <c r="CY25" s="738"/>
      <c r="CZ25" s="738"/>
      <c r="DA25" s="200"/>
      <c r="DB25" s="201"/>
      <c r="DC25" s="201"/>
      <c r="DD25" s="202"/>
      <c r="DE25" s="202"/>
    </row>
    <row r="26" spans="1:109" ht="9" customHeight="1">
      <c r="A26" s="318"/>
      <c r="B26" s="319"/>
      <c r="C26" s="319"/>
      <c r="D26" s="319"/>
      <c r="E26" s="319"/>
      <c r="F26" s="319"/>
      <c r="G26" s="319"/>
      <c r="H26" s="319"/>
      <c r="I26" s="319"/>
      <c r="J26" s="319"/>
      <c r="K26" s="319"/>
      <c r="L26" s="319"/>
      <c r="M26" s="319"/>
      <c r="N26" s="319"/>
      <c r="O26" s="319"/>
      <c r="P26" s="319"/>
      <c r="Q26" s="319"/>
      <c r="R26" s="319"/>
      <c r="S26" s="319"/>
      <c r="T26" s="319"/>
      <c r="U26" s="320"/>
      <c r="V26" s="319"/>
      <c r="W26" s="319"/>
      <c r="X26" s="319"/>
      <c r="Y26" s="319"/>
      <c r="Z26" s="319"/>
      <c r="AA26" s="319"/>
      <c r="AB26" s="319"/>
      <c r="AC26" s="319"/>
      <c r="AD26" s="319"/>
      <c r="AE26" s="319"/>
      <c r="AF26" s="319"/>
      <c r="AG26" s="319"/>
      <c r="AH26" s="319"/>
      <c r="AI26" s="319"/>
      <c r="AJ26" s="319"/>
      <c r="AK26" s="319"/>
      <c r="AL26" s="319"/>
      <c r="AM26" s="319"/>
      <c r="AN26" s="319"/>
      <c r="AO26" s="340"/>
      <c r="AP26" s="409"/>
      <c r="AU26" s="200"/>
      <c r="AV26" s="608"/>
      <c r="AW26" s="608"/>
      <c r="AX26" s="755"/>
      <c r="AY26" s="566"/>
      <c r="AZ26" s="566"/>
      <c r="BA26" s="566"/>
      <c r="BB26" s="566"/>
      <c r="BC26" s="566"/>
      <c r="BD26" s="566"/>
      <c r="BE26" s="566"/>
      <c r="BF26" s="566"/>
      <c r="BG26" s="566"/>
      <c r="BH26" s="566"/>
      <c r="BI26" s="566"/>
      <c r="BJ26" s="566"/>
      <c r="BK26" s="566"/>
      <c r="BL26" s="566"/>
      <c r="BM26" s="566"/>
      <c r="BN26" s="566"/>
      <c r="BO26" s="566"/>
      <c r="BP26" s="582"/>
      <c r="BQ26" s="582"/>
      <c r="BR26" s="582"/>
      <c r="BS26" s="582"/>
      <c r="BT26" s="582"/>
      <c r="BU26" s="582"/>
      <c r="BV26" s="583"/>
      <c r="BW26" s="748"/>
      <c r="BX26" s="749"/>
      <c r="BY26" s="749"/>
      <c r="BZ26" s="749"/>
      <c r="CA26" s="753"/>
      <c r="CB26" s="753"/>
      <c r="CC26" s="753"/>
      <c r="CD26" s="754"/>
      <c r="CE26" s="748"/>
      <c r="CF26" s="749"/>
      <c r="CG26" s="749"/>
      <c r="CH26" s="749"/>
      <c r="CI26" s="753"/>
      <c r="CJ26" s="753"/>
      <c r="CK26" s="753"/>
      <c r="CL26" s="754"/>
      <c r="CM26" s="200"/>
      <c r="CN26" s="739"/>
      <c r="CO26" s="739"/>
      <c r="CP26" s="739"/>
      <c r="CQ26" s="739"/>
      <c r="CR26" s="739"/>
      <c r="CS26" s="738"/>
      <c r="CT26" s="738"/>
      <c r="CU26" s="738"/>
      <c r="CV26" s="738"/>
      <c r="CW26" s="738"/>
      <c r="CX26" s="738"/>
      <c r="CY26" s="738"/>
      <c r="CZ26" s="738"/>
      <c r="DA26" s="200"/>
      <c r="DB26" s="201"/>
      <c r="DC26" s="201"/>
      <c r="DD26" s="202"/>
      <c r="DE26" s="202"/>
    </row>
    <row r="27" spans="1:109" ht="9" customHeight="1">
      <c r="A27" s="318"/>
      <c r="B27" s="319"/>
      <c r="C27" s="319"/>
      <c r="D27" s="319"/>
      <c r="E27" s="319"/>
      <c r="F27" s="319"/>
      <c r="G27" s="319"/>
      <c r="H27" s="319"/>
      <c r="I27" s="319"/>
      <c r="J27" s="319"/>
      <c r="K27" s="319"/>
      <c r="L27" s="319"/>
      <c r="M27" s="319"/>
      <c r="N27" s="319"/>
      <c r="O27" s="319"/>
      <c r="P27" s="319"/>
      <c r="Q27" s="319"/>
      <c r="R27" s="319"/>
      <c r="S27" s="319"/>
      <c r="T27" s="319"/>
      <c r="U27" s="320"/>
      <c r="V27" s="319"/>
      <c r="W27" s="319"/>
      <c r="X27" s="319"/>
      <c r="Y27" s="319"/>
      <c r="Z27" s="319"/>
      <c r="AA27" s="319"/>
      <c r="AB27" s="319"/>
      <c r="AC27" s="319"/>
      <c r="AD27" s="319"/>
      <c r="AE27" s="319"/>
      <c r="AF27" s="319"/>
      <c r="AG27" s="319"/>
      <c r="AH27" s="319"/>
      <c r="AI27" s="319"/>
      <c r="AJ27" s="319"/>
      <c r="AK27" s="319"/>
      <c r="AL27" s="319"/>
      <c r="AM27" s="319"/>
      <c r="AN27" s="319"/>
      <c r="AO27" s="340"/>
      <c r="AP27" s="409"/>
      <c r="AU27" s="200"/>
      <c r="AV27" s="576"/>
      <c r="AW27" s="577"/>
      <c r="AX27" s="234"/>
      <c r="AY27" s="213"/>
      <c r="AZ27" s="213"/>
      <c r="BA27" s="213"/>
      <c r="BB27" s="213"/>
      <c r="BC27" s="213"/>
      <c r="BD27" s="213"/>
      <c r="BE27" s="213"/>
      <c r="BF27" s="213"/>
      <c r="BG27" s="213"/>
      <c r="BH27" s="213"/>
      <c r="BI27" s="213"/>
      <c r="BJ27" s="213"/>
      <c r="BK27" s="213"/>
      <c r="BL27" s="213"/>
      <c r="BM27" s="213"/>
      <c r="BN27" s="213"/>
      <c r="BO27" s="213"/>
      <c r="BP27" s="732" t="s">
        <v>307</v>
      </c>
      <c r="BQ27" s="732"/>
      <c r="BR27" s="732"/>
      <c r="BS27" s="732"/>
      <c r="BT27" s="732"/>
      <c r="BU27" s="732"/>
      <c r="BV27" s="756"/>
      <c r="BW27" s="746">
        <f>IF(BW5="","",'Design (1)'!G25)</f>
      </c>
      <c r="BX27" s="747"/>
      <c r="BY27" s="747"/>
      <c r="BZ27" s="747"/>
      <c r="CA27" s="750" t="s">
        <v>138</v>
      </c>
      <c r="CB27" s="751"/>
      <c r="CC27" s="751"/>
      <c r="CD27" s="752"/>
      <c r="CE27" s="746">
        <f>IF(CE5="","",'Design (2)'!G25)</f>
      </c>
      <c r="CF27" s="747"/>
      <c r="CG27" s="747"/>
      <c r="CH27" s="747"/>
      <c r="CI27" s="750" t="s">
        <v>138</v>
      </c>
      <c r="CJ27" s="751"/>
      <c r="CK27" s="751"/>
      <c r="CL27" s="752"/>
      <c r="CM27" s="200"/>
      <c r="CN27" s="739"/>
      <c r="CO27" s="739"/>
      <c r="CP27" s="739"/>
      <c r="CQ27" s="739"/>
      <c r="CR27" s="739"/>
      <c r="CS27" s="738"/>
      <c r="CT27" s="738"/>
      <c r="CU27" s="738"/>
      <c r="CV27" s="738"/>
      <c r="CW27" s="738"/>
      <c r="CX27" s="738"/>
      <c r="CY27" s="738"/>
      <c r="CZ27" s="738"/>
      <c r="DA27" s="200"/>
      <c r="DB27" s="201"/>
      <c r="DC27" s="201"/>
      <c r="DD27" s="202"/>
      <c r="DE27" s="202"/>
    </row>
    <row r="28" spans="1:109" ht="9" customHeight="1">
      <c r="A28" s="318"/>
      <c r="B28" s="319"/>
      <c r="C28" s="319"/>
      <c r="D28" s="319"/>
      <c r="E28" s="319"/>
      <c r="F28" s="319"/>
      <c r="G28" s="319"/>
      <c r="H28" s="319"/>
      <c r="I28" s="319"/>
      <c r="J28" s="319"/>
      <c r="K28" s="319"/>
      <c r="L28" s="319"/>
      <c r="M28" s="319"/>
      <c r="N28" s="319"/>
      <c r="O28" s="319"/>
      <c r="P28" s="319"/>
      <c r="Q28" s="319"/>
      <c r="R28" s="319"/>
      <c r="S28" s="319"/>
      <c r="T28" s="319"/>
      <c r="U28" s="320"/>
      <c r="V28" s="319"/>
      <c r="W28" s="319"/>
      <c r="X28" s="319"/>
      <c r="Y28" s="319"/>
      <c r="Z28" s="319"/>
      <c r="AA28" s="319"/>
      <c r="AB28" s="319"/>
      <c r="AC28" s="319"/>
      <c r="AD28" s="319"/>
      <c r="AE28" s="319"/>
      <c r="AF28" s="319"/>
      <c r="AG28" s="319"/>
      <c r="AH28" s="319"/>
      <c r="AI28" s="319"/>
      <c r="AJ28" s="319"/>
      <c r="AK28" s="319"/>
      <c r="AL28" s="319"/>
      <c r="AM28" s="319"/>
      <c r="AN28" s="319"/>
      <c r="AO28" s="340"/>
      <c r="AP28" s="409"/>
      <c r="AU28" s="200"/>
      <c r="AV28" s="576"/>
      <c r="AW28" s="577"/>
      <c r="AX28" s="235"/>
      <c r="AY28" s="214"/>
      <c r="AZ28" s="214"/>
      <c r="BA28" s="214"/>
      <c r="BB28" s="214"/>
      <c r="BC28" s="214"/>
      <c r="BD28" s="214"/>
      <c r="BE28" s="214"/>
      <c r="BF28" s="214"/>
      <c r="BG28" s="214"/>
      <c r="BH28" s="214"/>
      <c r="BI28" s="214"/>
      <c r="BJ28" s="214"/>
      <c r="BK28" s="214"/>
      <c r="BL28" s="214"/>
      <c r="BM28" s="214"/>
      <c r="BN28" s="214"/>
      <c r="BO28" s="214"/>
      <c r="BP28" s="582"/>
      <c r="BQ28" s="582"/>
      <c r="BR28" s="582"/>
      <c r="BS28" s="582"/>
      <c r="BT28" s="582"/>
      <c r="BU28" s="582"/>
      <c r="BV28" s="583"/>
      <c r="BW28" s="748"/>
      <c r="BX28" s="749"/>
      <c r="BY28" s="749"/>
      <c r="BZ28" s="749"/>
      <c r="CA28" s="753"/>
      <c r="CB28" s="753"/>
      <c r="CC28" s="753"/>
      <c r="CD28" s="754"/>
      <c r="CE28" s="748"/>
      <c r="CF28" s="749"/>
      <c r="CG28" s="749"/>
      <c r="CH28" s="749"/>
      <c r="CI28" s="753"/>
      <c r="CJ28" s="753"/>
      <c r="CK28" s="753"/>
      <c r="CL28" s="754"/>
      <c r="CM28" s="200"/>
      <c r="CN28" s="739"/>
      <c r="CO28" s="739"/>
      <c r="CP28" s="739"/>
      <c r="CQ28" s="739"/>
      <c r="CR28" s="739"/>
      <c r="CS28" s="738"/>
      <c r="CT28" s="738"/>
      <c r="CU28" s="738"/>
      <c r="CV28" s="738"/>
      <c r="CW28" s="738"/>
      <c r="CX28" s="738"/>
      <c r="CY28" s="738"/>
      <c r="CZ28" s="738"/>
      <c r="DA28" s="200"/>
      <c r="DB28" s="201"/>
      <c r="DC28" s="201"/>
      <c r="DD28" s="202"/>
      <c r="DE28" s="202"/>
    </row>
    <row r="29" spans="1:109" ht="9" customHeight="1">
      <c r="A29" s="318"/>
      <c r="B29" s="319"/>
      <c r="C29" s="319"/>
      <c r="D29" s="319"/>
      <c r="E29" s="319"/>
      <c r="F29" s="319"/>
      <c r="G29" s="319"/>
      <c r="H29" s="319"/>
      <c r="I29" s="319"/>
      <c r="J29" s="319"/>
      <c r="K29" s="319"/>
      <c r="L29" s="319"/>
      <c r="M29" s="319"/>
      <c r="N29" s="319"/>
      <c r="O29" s="319"/>
      <c r="P29" s="319"/>
      <c r="Q29" s="319"/>
      <c r="R29" s="319"/>
      <c r="S29" s="319"/>
      <c r="T29" s="319"/>
      <c r="U29" s="320"/>
      <c r="V29" s="319"/>
      <c r="W29" s="319"/>
      <c r="X29" s="319"/>
      <c r="Y29" s="319"/>
      <c r="Z29" s="319"/>
      <c r="AA29" s="319"/>
      <c r="AB29" s="319"/>
      <c r="AC29" s="319"/>
      <c r="AD29" s="319"/>
      <c r="AE29" s="319"/>
      <c r="AF29" s="319"/>
      <c r="AG29" s="319"/>
      <c r="AH29" s="319"/>
      <c r="AI29" s="319"/>
      <c r="AJ29" s="319"/>
      <c r="AK29" s="319"/>
      <c r="AL29" s="319"/>
      <c r="AM29" s="319"/>
      <c r="AN29" s="319"/>
      <c r="AO29" s="340"/>
      <c r="AP29" s="409"/>
      <c r="AU29" s="200"/>
      <c r="AV29" s="576"/>
      <c r="AW29" s="577"/>
      <c r="AX29" s="735" t="s">
        <v>308</v>
      </c>
      <c r="AY29" s="735"/>
      <c r="AZ29" s="735"/>
      <c r="BA29" s="735"/>
      <c r="BB29" s="735"/>
      <c r="BC29" s="735"/>
      <c r="BD29" s="735"/>
      <c r="BE29" s="735"/>
      <c r="BF29" s="735"/>
      <c r="BG29" s="735"/>
      <c r="BH29" s="735"/>
      <c r="BI29" s="735"/>
      <c r="BJ29" s="735"/>
      <c r="BK29" s="735"/>
      <c r="BL29" s="735"/>
      <c r="BM29" s="735"/>
      <c r="BN29" s="735"/>
      <c r="BO29" s="735"/>
      <c r="BP29" s="735"/>
      <c r="BQ29" s="735"/>
      <c r="BR29" s="735"/>
      <c r="BS29" s="735"/>
      <c r="BT29" s="735"/>
      <c r="BU29" s="735"/>
      <c r="BV29" s="735"/>
      <c r="BW29" s="559">
        <f>IF(BW5="","",'Design (1)'!G21)</f>
      </c>
      <c r="BX29" s="559"/>
      <c r="BY29" s="559"/>
      <c r="BZ29" s="559"/>
      <c r="CA29" s="559"/>
      <c r="CB29" s="559"/>
      <c r="CC29" s="559"/>
      <c r="CD29" s="559"/>
      <c r="CE29" s="559">
        <f>IF(CE5="","",'Design (2)'!G21)</f>
      </c>
      <c r="CF29" s="559"/>
      <c r="CG29" s="559"/>
      <c r="CH29" s="559"/>
      <c r="CI29" s="559"/>
      <c r="CJ29" s="559"/>
      <c r="CK29" s="559"/>
      <c r="CL29" s="559"/>
      <c r="CM29" s="200"/>
      <c r="CN29" s="739"/>
      <c r="CO29" s="739"/>
      <c r="CP29" s="739"/>
      <c r="CQ29" s="739"/>
      <c r="CR29" s="739"/>
      <c r="CS29" s="738"/>
      <c r="CT29" s="738"/>
      <c r="CU29" s="738"/>
      <c r="CV29" s="738"/>
      <c r="CW29" s="738"/>
      <c r="CX29" s="738"/>
      <c r="CY29" s="738"/>
      <c r="CZ29" s="738"/>
      <c r="DA29" s="200"/>
      <c r="DB29" s="201"/>
      <c r="DC29" s="201"/>
      <c r="DD29" s="202"/>
      <c r="DE29" s="202"/>
    </row>
    <row r="30" spans="1:109" ht="9" customHeight="1">
      <c r="A30" s="318"/>
      <c r="B30" s="319"/>
      <c r="C30" s="319"/>
      <c r="D30" s="319"/>
      <c r="E30" s="319"/>
      <c r="F30" s="319"/>
      <c r="G30" s="319"/>
      <c r="H30" s="319"/>
      <c r="I30" s="319"/>
      <c r="J30" s="319"/>
      <c r="K30" s="319"/>
      <c r="L30" s="319"/>
      <c r="M30" s="319"/>
      <c r="N30" s="319"/>
      <c r="O30" s="319"/>
      <c r="P30" s="319"/>
      <c r="Q30" s="319"/>
      <c r="R30" s="319"/>
      <c r="S30" s="319"/>
      <c r="T30" s="319"/>
      <c r="U30" s="320"/>
      <c r="V30" s="319"/>
      <c r="W30" s="319"/>
      <c r="X30" s="319"/>
      <c r="Y30" s="319"/>
      <c r="Z30" s="319"/>
      <c r="AA30" s="319"/>
      <c r="AB30" s="319"/>
      <c r="AC30" s="319"/>
      <c r="AD30" s="319"/>
      <c r="AE30" s="319"/>
      <c r="AF30" s="319"/>
      <c r="AG30" s="319"/>
      <c r="AH30" s="319"/>
      <c r="AI30" s="319"/>
      <c r="AJ30" s="319"/>
      <c r="AK30" s="319"/>
      <c r="AL30" s="319"/>
      <c r="AM30" s="319"/>
      <c r="AN30" s="319"/>
      <c r="AO30" s="340"/>
      <c r="AP30" s="409"/>
      <c r="AU30" s="200"/>
      <c r="AV30" s="576"/>
      <c r="AW30" s="577"/>
      <c r="AX30" s="735"/>
      <c r="AY30" s="735"/>
      <c r="AZ30" s="735"/>
      <c r="BA30" s="735"/>
      <c r="BB30" s="735"/>
      <c r="BC30" s="735"/>
      <c r="BD30" s="735"/>
      <c r="BE30" s="735"/>
      <c r="BF30" s="735"/>
      <c r="BG30" s="735"/>
      <c r="BH30" s="735"/>
      <c r="BI30" s="735"/>
      <c r="BJ30" s="735"/>
      <c r="BK30" s="735"/>
      <c r="BL30" s="735"/>
      <c r="BM30" s="735"/>
      <c r="BN30" s="735"/>
      <c r="BO30" s="735"/>
      <c r="BP30" s="735"/>
      <c r="BQ30" s="735"/>
      <c r="BR30" s="735"/>
      <c r="BS30" s="735"/>
      <c r="BT30" s="735"/>
      <c r="BU30" s="735"/>
      <c r="BV30" s="735"/>
      <c r="BW30" s="559"/>
      <c r="BX30" s="559"/>
      <c r="BY30" s="559"/>
      <c r="BZ30" s="559"/>
      <c r="CA30" s="559"/>
      <c r="CB30" s="559"/>
      <c r="CC30" s="559"/>
      <c r="CD30" s="559"/>
      <c r="CE30" s="559"/>
      <c r="CF30" s="559"/>
      <c r="CG30" s="559"/>
      <c r="CH30" s="559"/>
      <c r="CI30" s="559"/>
      <c r="CJ30" s="559"/>
      <c r="CK30" s="559"/>
      <c r="CL30" s="559"/>
      <c r="CM30" s="200"/>
      <c r="CN30" s="739"/>
      <c r="CO30" s="739"/>
      <c r="CP30" s="739"/>
      <c r="CQ30" s="739"/>
      <c r="CR30" s="739"/>
      <c r="CS30" s="738"/>
      <c r="CT30" s="738"/>
      <c r="CU30" s="738"/>
      <c r="CV30" s="738"/>
      <c r="CW30" s="738"/>
      <c r="CX30" s="738"/>
      <c r="CY30" s="738"/>
      <c r="CZ30" s="738"/>
      <c r="DA30" s="200"/>
      <c r="DB30" s="201"/>
      <c r="DC30" s="201"/>
      <c r="DD30" s="202"/>
      <c r="DE30" s="202"/>
    </row>
    <row r="31" spans="1:109" ht="9" customHeight="1">
      <c r="A31" s="318"/>
      <c r="B31" s="319"/>
      <c r="C31" s="319"/>
      <c r="D31" s="319"/>
      <c r="E31" s="319"/>
      <c r="F31" s="319"/>
      <c r="G31" s="319"/>
      <c r="H31" s="319"/>
      <c r="I31" s="319"/>
      <c r="J31" s="319"/>
      <c r="K31" s="319"/>
      <c r="L31" s="319"/>
      <c r="M31" s="319"/>
      <c r="N31" s="319"/>
      <c r="O31" s="319"/>
      <c r="P31" s="319"/>
      <c r="Q31" s="319"/>
      <c r="R31" s="319"/>
      <c r="S31" s="319"/>
      <c r="T31" s="319"/>
      <c r="U31" s="320"/>
      <c r="V31" s="319"/>
      <c r="W31" s="319"/>
      <c r="X31" s="319"/>
      <c r="Y31" s="319"/>
      <c r="Z31" s="319"/>
      <c r="AA31" s="319"/>
      <c r="AB31" s="319"/>
      <c r="AC31" s="319"/>
      <c r="AD31" s="319"/>
      <c r="AE31" s="319"/>
      <c r="AF31" s="319"/>
      <c r="AG31" s="319"/>
      <c r="AH31" s="319"/>
      <c r="AI31" s="319"/>
      <c r="AJ31" s="319"/>
      <c r="AK31" s="319"/>
      <c r="AL31" s="319"/>
      <c r="AM31" s="319"/>
      <c r="AN31" s="319"/>
      <c r="AO31" s="340"/>
      <c r="AP31" s="409"/>
      <c r="AU31" s="200"/>
      <c r="AV31" s="576"/>
      <c r="AW31" s="577"/>
      <c r="AX31" s="735" t="s">
        <v>309</v>
      </c>
      <c r="AY31" s="735"/>
      <c r="AZ31" s="735"/>
      <c r="BA31" s="735"/>
      <c r="BB31" s="735"/>
      <c r="BC31" s="735"/>
      <c r="BD31" s="735"/>
      <c r="BE31" s="735"/>
      <c r="BF31" s="735"/>
      <c r="BG31" s="735"/>
      <c r="BH31" s="735"/>
      <c r="BI31" s="735"/>
      <c r="BJ31" s="735"/>
      <c r="BK31" s="735"/>
      <c r="BL31" s="735"/>
      <c r="BM31" s="735"/>
      <c r="BN31" s="735"/>
      <c r="BO31" s="735"/>
      <c r="BP31" s="735"/>
      <c r="BQ31" s="735"/>
      <c r="BR31" s="735"/>
      <c r="BS31" s="735"/>
      <c r="BT31" s="735"/>
      <c r="BU31" s="735"/>
      <c r="BV31" s="735"/>
      <c r="BW31" s="724">
        <f>IF(BW5="","",'Design (1)'!N23)</f>
      </c>
      <c r="BX31" s="724"/>
      <c r="BY31" s="724"/>
      <c r="BZ31" s="724"/>
      <c r="CA31" s="724"/>
      <c r="CB31" s="724"/>
      <c r="CC31" s="724"/>
      <c r="CD31" s="724"/>
      <c r="CE31" s="724">
        <f>IF(CE5="","",'Design (2)'!N23)</f>
      </c>
      <c r="CF31" s="724"/>
      <c r="CG31" s="724"/>
      <c r="CH31" s="724"/>
      <c r="CI31" s="724"/>
      <c r="CJ31" s="724"/>
      <c r="CK31" s="724"/>
      <c r="CL31" s="724"/>
      <c r="CM31" s="200"/>
      <c r="CN31" s="739"/>
      <c r="CO31" s="739"/>
      <c r="CP31" s="739"/>
      <c r="CQ31" s="739"/>
      <c r="CR31" s="739"/>
      <c r="CS31" s="738"/>
      <c r="CT31" s="738"/>
      <c r="CU31" s="738"/>
      <c r="CV31" s="738"/>
      <c r="CW31" s="738"/>
      <c r="CX31" s="738"/>
      <c r="CY31" s="738"/>
      <c r="CZ31" s="738"/>
      <c r="DA31" s="200"/>
      <c r="DB31" s="201"/>
      <c r="DC31" s="201"/>
      <c r="DD31" s="202"/>
      <c r="DE31" s="202"/>
    </row>
    <row r="32" spans="1:109" ht="9" customHeight="1">
      <c r="A32" s="318"/>
      <c r="B32" s="319"/>
      <c r="C32" s="319"/>
      <c r="D32" s="319"/>
      <c r="E32" s="319"/>
      <c r="F32" s="319"/>
      <c r="G32" s="319"/>
      <c r="H32" s="319"/>
      <c r="I32" s="319"/>
      <c r="J32" s="319"/>
      <c r="K32" s="319"/>
      <c r="L32" s="319"/>
      <c r="M32" s="319"/>
      <c r="N32" s="319"/>
      <c r="O32" s="319"/>
      <c r="P32" s="319"/>
      <c r="Q32" s="319"/>
      <c r="R32" s="319"/>
      <c r="S32" s="319"/>
      <c r="T32" s="319"/>
      <c r="U32" s="320"/>
      <c r="V32" s="319"/>
      <c r="W32" s="319"/>
      <c r="X32" s="319"/>
      <c r="Y32" s="319"/>
      <c r="Z32" s="319"/>
      <c r="AA32" s="319"/>
      <c r="AB32" s="319"/>
      <c r="AC32" s="319"/>
      <c r="AD32" s="319"/>
      <c r="AE32" s="319"/>
      <c r="AF32" s="319"/>
      <c r="AG32" s="319"/>
      <c r="AH32" s="319"/>
      <c r="AI32" s="319"/>
      <c r="AJ32" s="319"/>
      <c r="AK32" s="319"/>
      <c r="AL32" s="319"/>
      <c r="AM32" s="319"/>
      <c r="AN32" s="319"/>
      <c r="AO32" s="340"/>
      <c r="AP32" s="409"/>
      <c r="AU32" s="200"/>
      <c r="AV32" s="576"/>
      <c r="AW32" s="577"/>
      <c r="AX32" s="735"/>
      <c r="AY32" s="735"/>
      <c r="AZ32" s="735"/>
      <c r="BA32" s="735"/>
      <c r="BB32" s="735"/>
      <c r="BC32" s="735"/>
      <c r="BD32" s="735"/>
      <c r="BE32" s="735"/>
      <c r="BF32" s="735"/>
      <c r="BG32" s="735"/>
      <c r="BH32" s="735"/>
      <c r="BI32" s="735"/>
      <c r="BJ32" s="735"/>
      <c r="BK32" s="735"/>
      <c r="BL32" s="735"/>
      <c r="BM32" s="735"/>
      <c r="BN32" s="735"/>
      <c r="BO32" s="735"/>
      <c r="BP32" s="735"/>
      <c r="BQ32" s="735"/>
      <c r="BR32" s="735"/>
      <c r="BS32" s="735"/>
      <c r="BT32" s="735"/>
      <c r="BU32" s="735"/>
      <c r="BV32" s="735"/>
      <c r="BW32" s="724"/>
      <c r="BX32" s="724"/>
      <c r="BY32" s="724"/>
      <c r="BZ32" s="724"/>
      <c r="CA32" s="724"/>
      <c r="CB32" s="724"/>
      <c r="CC32" s="724"/>
      <c r="CD32" s="724"/>
      <c r="CE32" s="724"/>
      <c r="CF32" s="724"/>
      <c r="CG32" s="724"/>
      <c r="CH32" s="724"/>
      <c r="CI32" s="724"/>
      <c r="CJ32" s="724"/>
      <c r="CK32" s="724"/>
      <c r="CL32" s="724"/>
      <c r="CM32" s="200"/>
      <c r="CN32" s="739"/>
      <c r="CO32" s="739"/>
      <c r="CP32" s="739"/>
      <c r="CQ32" s="739"/>
      <c r="CR32" s="739"/>
      <c r="CS32" s="738"/>
      <c r="CT32" s="738"/>
      <c r="CU32" s="738"/>
      <c r="CV32" s="738"/>
      <c r="CW32" s="738"/>
      <c r="CX32" s="738"/>
      <c r="CY32" s="738"/>
      <c r="CZ32" s="738"/>
      <c r="DA32" s="200"/>
      <c r="DB32" s="201"/>
      <c r="DC32" s="201"/>
      <c r="DD32" s="202"/>
      <c r="DE32" s="202"/>
    </row>
    <row r="33" spans="1:109" ht="9" customHeight="1">
      <c r="A33" s="318"/>
      <c r="B33" s="319"/>
      <c r="C33" s="319"/>
      <c r="D33" s="319"/>
      <c r="E33" s="319"/>
      <c r="F33" s="319"/>
      <c r="G33" s="319"/>
      <c r="H33" s="319"/>
      <c r="I33" s="319"/>
      <c r="J33" s="319"/>
      <c r="K33" s="319"/>
      <c r="L33" s="319"/>
      <c r="M33" s="319"/>
      <c r="N33" s="319"/>
      <c r="O33" s="319"/>
      <c r="P33" s="319"/>
      <c r="Q33" s="319"/>
      <c r="R33" s="319"/>
      <c r="S33" s="319"/>
      <c r="T33" s="319"/>
      <c r="U33" s="320"/>
      <c r="V33" s="319"/>
      <c r="W33" s="319"/>
      <c r="X33" s="319"/>
      <c r="Y33" s="319"/>
      <c r="Z33" s="319"/>
      <c r="AA33" s="319"/>
      <c r="AB33" s="319"/>
      <c r="AC33" s="319"/>
      <c r="AD33" s="319"/>
      <c r="AE33" s="319"/>
      <c r="AF33" s="319"/>
      <c r="AG33" s="319"/>
      <c r="AH33" s="319"/>
      <c r="AI33" s="319"/>
      <c r="AJ33" s="319"/>
      <c r="AK33" s="319"/>
      <c r="AL33" s="319"/>
      <c r="AM33" s="319"/>
      <c r="AN33" s="319"/>
      <c r="AO33" s="340"/>
      <c r="AP33" s="409"/>
      <c r="AR33" s="215"/>
      <c r="AS33" s="215"/>
      <c r="AT33" s="215"/>
      <c r="AU33" s="200"/>
      <c r="AV33" s="576"/>
      <c r="AW33" s="577"/>
      <c r="AX33" s="735" t="s">
        <v>395</v>
      </c>
      <c r="AY33" s="735"/>
      <c r="AZ33" s="735"/>
      <c r="BA33" s="735"/>
      <c r="BB33" s="735"/>
      <c r="BC33" s="735"/>
      <c r="BD33" s="735"/>
      <c r="BE33" s="735"/>
      <c r="BF33" s="735"/>
      <c r="BG33" s="735"/>
      <c r="BH33" s="735"/>
      <c r="BI33" s="735"/>
      <c r="BJ33" s="735"/>
      <c r="BK33" s="735"/>
      <c r="BL33" s="735"/>
      <c r="BM33" s="735"/>
      <c r="BN33" s="735"/>
      <c r="BO33" s="735"/>
      <c r="BP33" s="735"/>
      <c r="BQ33" s="735"/>
      <c r="BR33" s="735"/>
      <c r="BS33" s="735"/>
      <c r="BT33" s="735"/>
      <c r="BU33" s="735"/>
      <c r="BV33" s="735"/>
      <c r="BW33" s="724">
        <f>IF(BW5="","",'Design (1)'!N26)</f>
      </c>
      <c r="BX33" s="724"/>
      <c r="BY33" s="724"/>
      <c r="BZ33" s="724"/>
      <c r="CA33" s="724"/>
      <c r="CB33" s="724"/>
      <c r="CC33" s="724"/>
      <c r="CD33" s="724"/>
      <c r="CE33" s="724">
        <f>IF(CE5="","",'Design (2)'!N26)</f>
      </c>
      <c r="CF33" s="724"/>
      <c r="CG33" s="724"/>
      <c r="CH33" s="724"/>
      <c r="CI33" s="724"/>
      <c r="CJ33" s="724"/>
      <c r="CK33" s="724"/>
      <c r="CL33" s="724"/>
      <c r="CM33" s="200"/>
      <c r="CN33" s="739"/>
      <c r="CO33" s="739"/>
      <c r="CP33" s="739"/>
      <c r="CQ33" s="739"/>
      <c r="CR33" s="739"/>
      <c r="CS33" s="738"/>
      <c r="CT33" s="738"/>
      <c r="CU33" s="738"/>
      <c r="CV33" s="738"/>
      <c r="CW33" s="738"/>
      <c r="CX33" s="738"/>
      <c r="CY33" s="738"/>
      <c r="CZ33" s="738"/>
      <c r="DA33" s="200"/>
      <c r="DB33" s="201"/>
      <c r="DC33" s="201"/>
      <c r="DD33" s="202"/>
      <c r="DE33" s="202"/>
    </row>
    <row r="34" spans="1:109" ht="9" customHeight="1">
      <c r="A34" s="318"/>
      <c r="B34" s="319"/>
      <c r="C34" s="319"/>
      <c r="D34" s="319"/>
      <c r="E34" s="319"/>
      <c r="F34" s="319"/>
      <c r="G34" s="319"/>
      <c r="H34" s="319"/>
      <c r="I34" s="319"/>
      <c r="J34" s="319"/>
      <c r="K34" s="319"/>
      <c r="L34" s="319"/>
      <c r="M34" s="319"/>
      <c r="N34" s="319"/>
      <c r="O34" s="319"/>
      <c r="P34" s="319"/>
      <c r="Q34" s="319"/>
      <c r="R34" s="319"/>
      <c r="S34" s="319"/>
      <c r="T34" s="319"/>
      <c r="U34" s="320"/>
      <c r="V34" s="319"/>
      <c r="W34" s="319"/>
      <c r="X34" s="319"/>
      <c r="Y34" s="319"/>
      <c r="Z34" s="319"/>
      <c r="AA34" s="319"/>
      <c r="AB34" s="319"/>
      <c r="AC34" s="319"/>
      <c r="AD34" s="319"/>
      <c r="AE34" s="319"/>
      <c r="AF34" s="319"/>
      <c r="AG34" s="319"/>
      <c r="AH34" s="319"/>
      <c r="AI34" s="319"/>
      <c r="AJ34" s="319"/>
      <c r="AK34" s="319"/>
      <c r="AL34" s="319"/>
      <c r="AM34" s="319"/>
      <c r="AN34" s="319"/>
      <c r="AO34" s="340"/>
      <c r="AP34" s="409"/>
      <c r="AR34" s="216"/>
      <c r="AS34" s="216"/>
      <c r="AT34" s="216"/>
      <c r="AU34" s="200"/>
      <c r="AV34" s="576"/>
      <c r="AW34" s="577"/>
      <c r="AX34" s="735"/>
      <c r="AY34" s="735"/>
      <c r="AZ34" s="735"/>
      <c r="BA34" s="735"/>
      <c r="BB34" s="735"/>
      <c r="BC34" s="735"/>
      <c r="BD34" s="735"/>
      <c r="BE34" s="735"/>
      <c r="BF34" s="735"/>
      <c r="BG34" s="735"/>
      <c r="BH34" s="735"/>
      <c r="BI34" s="735"/>
      <c r="BJ34" s="735"/>
      <c r="BK34" s="735"/>
      <c r="BL34" s="735"/>
      <c r="BM34" s="735"/>
      <c r="BN34" s="735"/>
      <c r="BO34" s="735"/>
      <c r="BP34" s="735"/>
      <c r="BQ34" s="735"/>
      <c r="BR34" s="735"/>
      <c r="BS34" s="735"/>
      <c r="BT34" s="735"/>
      <c r="BU34" s="735"/>
      <c r="BV34" s="735"/>
      <c r="BW34" s="724"/>
      <c r="BX34" s="724"/>
      <c r="BY34" s="724"/>
      <c r="BZ34" s="724"/>
      <c r="CA34" s="724"/>
      <c r="CB34" s="724"/>
      <c r="CC34" s="724"/>
      <c r="CD34" s="724"/>
      <c r="CE34" s="724"/>
      <c r="CF34" s="724"/>
      <c r="CG34" s="724"/>
      <c r="CH34" s="724"/>
      <c r="CI34" s="724"/>
      <c r="CJ34" s="724"/>
      <c r="CK34" s="724"/>
      <c r="CL34" s="724"/>
      <c r="CM34" s="200"/>
      <c r="CN34" s="739"/>
      <c r="CO34" s="739"/>
      <c r="CP34" s="739"/>
      <c r="CQ34" s="739"/>
      <c r="CR34" s="739"/>
      <c r="CS34" s="738"/>
      <c r="CT34" s="738"/>
      <c r="CU34" s="738"/>
      <c r="CV34" s="738"/>
      <c r="CW34" s="738"/>
      <c r="CX34" s="738"/>
      <c r="CY34" s="738"/>
      <c r="CZ34" s="738"/>
      <c r="DA34" s="200"/>
      <c r="DB34" s="201"/>
      <c r="DC34" s="201"/>
      <c r="DD34" s="202"/>
      <c r="DE34" s="217"/>
    </row>
    <row r="35" spans="1:109" ht="9" customHeight="1">
      <c r="A35" s="318"/>
      <c r="B35" s="319"/>
      <c r="C35" s="319"/>
      <c r="D35" s="319"/>
      <c r="E35" s="319"/>
      <c r="F35" s="319"/>
      <c r="G35" s="319"/>
      <c r="H35" s="319"/>
      <c r="I35" s="319"/>
      <c r="J35" s="319"/>
      <c r="K35" s="319"/>
      <c r="L35" s="319"/>
      <c r="M35" s="319"/>
      <c r="N35" s="319"/>
      <c r="O35" s="319"/>
      <c r="P35" s="319"/>
      <c r="Q35" s="319"/>
      <c r="R35" s="319"/>
      <c r="S35" s="319"/>
      <c r="T35" s="319"/>
      <c r="U35" s="320"/>
      <c r="V35" s="319"/>
      <c r="W35" s="319"/>
      <c r="X35" s="319"/>
      <c r="Y35" s="319"/>
      <c r="Z35" s="319"/>
      <c r="AA35" s="319"/>
      <c r="AB35" s="319"/>
      <c r="AC35" s="319"/>
      <c r="AD35" s="319"/>
      <c r="AE35" s="319"/>
      <c r="AF35" s="319"/>
      <c r="AG35" s="319"/>
      <c r="AH35" s="319"/>
      <c r="AI35" s="319"/>
      <c r="AJ35" s="319"/>
      <c r="AK35" s="319"/>
      <c r="AL35" s="319"/>
      <c r="AM35" s="319"/>
      <c r="AN35" s="319"/>
      <c r="AO35" s="340"/>
      <c r="AP35" s="409"/>
      <c r="AR35" s="216"/>
      <c r="AS35" s="216"/>
      <c r="AT35" s="216"/>
      <c r="AU35" s="200"/>
      <c r="AV35" s="576"/>
      <c r="AW35" s="577"/>
      <c r="AX35" s="735" t="s">
        <v>310</v>
      </c>
      <c r="AY35" s="735"/>
      <c r="AZ35" s="735"/>
      <c r="BA35" s="735"/>
      <c r="BB35" s="735"/>
      <c r="BC35" s="735"/>
      <c r="BD35" s="735"/>
      <c r="BE35" s="735"/>
      <c r="BF35" s="735"/>
      <c r="BG35" s="735"/>
      <c r="BH35" s="735"/>
      <c r="BI35" s="735"/>
      <c r="BJ35" s="735"/>
      <c r="BK35" s="735"/>
      <c r="BL35" s="735"/>
      <c r="BM35" s="735"/>
      <c r="BN35" s="735"/>
      <c r="BO35" s="735"/>
      <c r="BP35" s="735"/>
      <c r="BQ35" s="735"/>
      <c r="BR35" s="735"/>
      <c r="BS35" s="735"/>
      <c r="BT35" s="735"/>
      <c r="BU35" s="735"/>
      <c r="BV35" s="735"/>
      <c r="BW35" s="724">
        <f>IF(BW5="","",'Design (1)'!P27)</f>
      </c>
      <c r="BX35" s="724"/>
      <c r="BY35" s="724"/>
      <c r="BZ35" s="724"/>
      <c r="CA35" s="724"/>
      <c r="CB35" s="724"/>
      <c r="CC35" s="724"/>
      <c r="CD35" s="724"/>
      <c r="CE35" s="724">
        <f>IF(CE5="","",'Design (2)'!P27)</f>
      </c>
      <c r="CF35" s="724"/>
      <c r="CG35" s="724"/>
      <c r="CH35" s="724"/>
      <c r="CI35" s="724"/>
      <c r="CJ35" s="724"/>
      <c r="CK35" s="724"/>
      <c r="CL35" s="724"/>
      <c r="CM35" s="200"/>
      <c r="CN35" s="739"/>
      <c r="CO35" s="739"/>
      <c r="CP35" s="739"/>
      <c r="CQ35" s="739"/>
      <c r="CR35" s="739"/>
      <c r="CS35" s="738"/>
      <c r="CT35" s="738"/>
      <c r="CU35" s="738"/>
      <c r="CV35" s="738"/>
      <c r="CW35" s="738"/>
      <c r="CX35" s="738"/>
      <c r="CY35" s="738"/>
      <c r="CZ35" s="738"/>
      <c r="DA35" s="200"/>
      <c r="DB35" s="201"/>
      <c r="DC35" s="201"/>
      <c r="DD35" s="202"/>
      <c r="DE35" s="217"/>
    </row>
    <row r="36" spans="1:109" ht="9" customHeight="1">
      <c r="A36" s="318"/>
      <c r="B36" s="319"/>
      <c r="C36" s="319"/>
      <c r="D36" s="319"/>
      <c r="E36" s="319"/>
      <c r="F36" s="319"/>
      <c r="G36" s="319"/>
      <c r="H36" s="319"/>
      <c r="I36" s="319"/>
      <c r="J36" s="319"/>
      <c r="K36" s="319"/>
      <c r="L36" s="319"/>
      <c r="M36" s="319"/>
      <c r="N36" s="319"/>
      <c r="O36" s="319"/>
      <c r="P36" s="319"/>
      <c r="Q36" s="319"/>
      <c r="R36" s="319"/>
      <c r="S36" s="319"/>
      <c r="T36" s="319"/>
      <c r="U36" s="320"/>
      <c r="V36" s="319"/>
      <c r="W36" s="319"/>
      <c r="X36" s="319"/>
      <c r="Y36" s="319"/>
      <c r="Z36" s="319"/>
      <c r="AA36" s="319"/>
      <c r="AB36" s="319"/>
      <c r="AC36" s="319"/>
      <c r="AD36" s="319"/>
      <c r="AE36" s="319"/>
      <c r="AF36" s="319"/>
      <c r="AG36" s="319"/>
      <c r="AH36" s="319"/>
      <c r="AI36" s="319"/>
      <c r="AJ36" s="319"/>
      <c r="AK36" s="319"/>
      <c r="AL36" s="319"/>
      <c r="AM36" s="319"/>
      <c r="AN36" s="319"/>
      <c r="AO36" s="340"/>
      <c r="AP36" s="409"/>
      <c r="AR36" s="216"/>
      <c r="AS36" s="216"/>
      <c r="AT36" s="216"/>
      <c r="AU36" s="200"/>
      <c r="AV36" s="576"/>
      <c r="AW36" s="577"/>
      <c r="AX36" s="735"/>
      <c r="AY36" s="735"/>
      <c r="AZ36" s="735"/>
      <c r="BA36" s="735"/>
      <c r="BB36" s="735"/>
      <c r="BC36" s="735"/>
      <c r="BD36" s="735"/>
      <c r="BE36" s="735"/>
      <c r="BF36" s="735"/>
      <c r="BG36" s="735"/>
      <c r="BH36" s="735"/>
      <c r="BI36" s="735"/>
      <c r="BJ36" s="735"/>
      <c r="BK36" s="735"/>
      <c r="BL36" s="735"/>
      <c r="BM36" s="735"/>
      <c r="BN36" s="735"/>
      <c r="BO36" s="735"/>
      <c r="BP36" s="735"/>
      <c r="BQ36" s="735"/>
      <c r="BR36" s="735"/>
      <c r="BS36" s="735"/>
      <c r="BT36" s="735"/>
      <c r="BU36" s="735"/>
      <c r="BV36" s="735"/>
      <c r="BW36" s="724"/>
      <c r="BX36" s="724"/>
      <c r="BY36" s="724"/>
      <c r="BZ36" s="724"/>
      <c r="CA36" s="724"/>
      <c r="CB36" s="724"/>
      <c r="CC36" s="724"/>
      <c r="CD36" s="724"/>
      <c r="CE36" s="724"/>
      <c r="CF36" s="724"/>
      <c r="CG36" s="724"/>
      <c r="CH36" s="724"/>
      <c r="CI36" s="724"/>
      <c r="CJ36" s="724"/>
      <c r="CK36" s="724"/>
      <c r="CL36" s="724"/>
      <c r="CM36" s="200"/>
      <c r="CN36" s="739"/>
      <c r="CO36" s="739"/>
      <c r="CP36" s="739"/>
      <c r="CQ36" s="739"/>
      <c r="CR36" s="739"/>
      <c r="CS36" s="738"/>
      <c r="CT36" s="738"/>
      <c r="CU36" s="738"/>
      <c r="CV36" s="738"/>
      <c r="CW36" s="738"/>
      <c r="CX36" s="738"/>
      <c r="CY36" s="738"/>
      <c r="CZ36" s="738"/>
      <c r="DA36" s="200"/>
      <c r="DB36" s="201"/>
      <c r="DC36" s="201"/>
      <c r="DD36" s="202"/>
      <c r="DE36" s="217"/>
    </row>
    <row r="37" spans="1:110" ht="9" customHeight="1">
      <c r="A37" s="318"/>
      <c r="B37" s="319"/>
      <c r="C37" s="319"/>
      <c r="D37" s="319"/>
      <c r="E37" s="319"/>
      <c r="F37" s="319"/>
      <c r="G37" s="319"/>
      <c r="H37" s="319"/>
      <c r="I37" s="319"/>
      <c r="J37" s="319"/>
      <c r="K37" s="319"/>
      <c r="L37" s="319"/>
      <c r="M37" s="319"/>
      <c r="N37" s="319"/>
      <c r="O37" s="319"/>
      <c r="P37" s="319"/>
      <c r="Q37" s="319"/>
      <c r="R37" s="319"/>
      <c r="S37" s="319"/>
      <c r="T37" s="319"/>
      <c r="U37" s="320"/>
      <c r="V37" s="319"/>
      <c r="W37" s="319"/>
      <c r="X37" s="319"/>
      <c r="Y37" s="319"/>
      <c r="Z37" s="319"/>
      <c r="AA37" s="319"/>
      <c r="AB37" s="319"/>
      <c r="AC37" s="319"/>
      <c r="AD37" s="319"/>
      <c r="AE37" s="319"/>
      <c r="AF37" s="319"/>
      <c r="AG37" s="319"/>
      <c r="AH37" s="319"/>
      <c r="AI37" s="319"/>
      <c r="AJ37" s="319"/>
      <c r="AK37" s="319"/>
      <c r="AL37" s="319"/>
      <c r="AM37" s="319"/>
      <c r="AN37" s="319"/>
      <c r="AO37" s="340"/>
      <c r="AP37" s="409"/>
      <c r="AR37" s="216"/>
      <c r="AS37" s="216"/>
      <c r="AT37" s="216"/>
      <c r="AU37" s="200"/>
      <c r="AV37" s="608"/>
      <c r="AW37" s="609"/>
      <c r="AX37" s="735" t="s">
        <v>319</v>
      </c>
      <c r="AY37" s="735"/>
      <c r="AZ37" s="735"/>
      <c r="BA37" s="735"/>
      <c r="BB37" s="735"/>
      <c r="BC37" s="735"/>
      <c r="BD37" s="735"/>
      <c r="BE37" s="735"/>
      <c r="BF37" s="735"/>
      <c r="BG37" s="735"/>
      <c r="BH37" s="735"/>
      <c r="BI37" s="735"/>
      <c r="BJ37" s="735"/>
      <c r="BK37" s="735"/>
      <c r="BL37" s="735"/>
      <c r="BM37" s="735"/>
      <c r="BN37" s="735"/>
      <c r="BO37" s="735"/>
      <c r="BP37" s="735"/>
      <c r="BQ37" s="735"/>
      <c r="BR37" s="735"/>
      <c r="BS37" s="735"/>
      <c r="BT37" s="735"/>
      <c r="BU37" s="735"/>
      <c r="BV37" s="735"/>
      <c r="BW37" s="559">
        <f>IF(BW5="","",'Design (1)'!G22)</f>
      </c>
      <c r="BX37" s="559"/>
      <c r="BY37" s="559"/>
      <c r="BZ37" s="559"/>
      <c r="CA37" s="559"/>
      <c r="CB37" s="559"/>
      <c r="CC37" s="559"/>
      <c r="CD37" s="559"/>
      <c r="CE37" s="559">
        <f>IF(CE5="","",'Design (2)'!G22)</f>
      </c>
      <c r="CF37" s="559"/>
      <c r="CG37" s="559"/>
      <c r="CH37" s="559"/>
      <c r="CI37" s="559"/>
      <c r="CJ37" s="559"/>
      <c r="CK37" s="559"/>
      <c r="CL37" s="559"/>
      <c r="CM37" s="200"/>
      <c r="CN37" s="739"/>
      <c r="CO37" s="739"/>
      <c r="CP37" s="739"/>
      <c r="CQ37" s="739"/>
      <c r="CR37" s="739"/>
      <c r="CS37" s="738"/>
      <c r="CT37" s="738"/>
      <c r="CU37" s="738"/>
      <c r="CV37" s="738"/>
      <c r="CW37" s="738"/>
      <c r="CX37" s="738"/>
      <c r="CY37" s="738"/>
      <c r="CZ37" s="738"/>
      <c r="DA37" s="200"/>
      <c r="DB37" s="201"/>
      <c r="DC37" s="201"/>
      <c r="DD37" s="202"/>
      <c r="DE37" s="217"/>
      <c r="DF37" s="217"/>
    </row>
    <row r="38" spans="1:110" ht="9" customHeight="1">
      <c r="A38" s="318"/>
      <c r="B38" s="319"/>
      <c r="C38" s="319"/>
      <c r="D38" s="319"/>
      <c r="E38" s="319"/>
      <c r="F38" s="319"/>
      <c r="G38" s="319"/>
      <c r="H38" s="319"/>
      <c r="I38" s="319"/>
      <c r="J38" s="319"/>
      <c r="K38" s="319"/>
      <c r="L38" s="319"/>
      <c r="M38" s="319"/>
      <c r="N38" s="319"/>
      <c r="O38" s="319"/>
      <c r="P38" s="319"/>
      <c r="Q38" s="319"/>
      <c r="R38" s="319"/>
      <c r="S38" s="319"/>
      <c r="T38" s="319"/>
      <c r="U38" s="320"/>
      <c r="V38" s="319"/>
      <c r="W38" s="319"/>
      <c r="X38" s="319"/>
      <c r="Y38" s="319"/>
      <c r="Z38" s="319"/>
      <c r="AA38" s="319"/>
      <c r="AB38" s="319"/>
      <c r="AC38" s="319"/>
      <c r="AD38" s="319"/>
      <c r="AE38" s="319"/>
      <c r="AF38" s="319"/>
      <c r="AG38" s="319"/>
      <c r="AH38" s="319"/>
      <c r="AI38" s="319"/>
      <c r="AJ38" s="319"/>
      <c r="AK38" s="319"/>
      <c r="AL38" s="319"/>
      <c r="AM38" s="319"/>
      <c r="AN38" s="319"/>
      <c r="AO38" s="340"/>
      <c r="AP38" s="409"/>
      <c r="AR38" s="584" t="s">
        <v>188</v>
      </c>
      <c r="AS38" s="584"/>
      <c r="AT38" s="584"/>
      <c r="AU38" s="200"/>
      <c r="AV38" s="608"/>
      <c r="AW38" s="609"/>
      <c r="AX38" s="735"/>
      <c r="AY38" s="735"/>
      <c r="AZ38" s="735"/>
      <c r="BA38" s="735"/>
      <c r="BB38" s="735"/>
      <c r="BC38" s="735"/>
      <c r="BD38" s="735"/>
      <c r="BE38" s="735"/>
      <c r="BF38" s="735"/>
      <c r="BG38" s="735"/>
      <c r="BH38" s="735"/>
      <c r="BI38" s="735"/>
      <c r="BJ38" s="735"/>
      <c r="BK38" s="735"/>
      <c r="BL38" s="735"/>
      <c r="BM38" s="735"/>
      <c r="BN38" s="735"/>
      <c r="BO38" s="735"/>
      <c r="BP38" s="735"/>
      <c r="BQ38" s="735"/>
      <c r="BR38" s="735"/>
      <c r="BS38" s="735"/>
      <c r="BT38" s="735"/>
      <c r="BU38" s="735"/>
      <c r="BV38" s="735"/>
      <c r="BW38" s="559"/>
      <c r="BX38" s="559"/>
      <c r="BY38" s="559"/>
      <c r="BZ38" s="559"/>
      <c r="CA38" s="559"/>
      <c r="CB38" s="559"/>
      <c r="CC38" s="559"/>
      <c r="CD38" s="559"/>
      <c r="CE38" s="559"/>
      <c r="CF38" s="559"/>
      <c r="CG38" s="559"/>
      <c r="CH38" s="559"/>
      <c r="CI38" s="559"/>
      <c r="CJ38" s="559"/>
      <c r="CK38" s="559"/>
      <c r="CL38" s="559"/>
      <c r="CM38" s="200"/>
      <c r="CN38" s="739"/>
      <c r="CO38" s="739"/>
      <c r="CP38" s="739"/>
      <c r="CQ38" s="739"/>
      <c r="CR38" s="739"/>
      <c r="CS38" s="738"/>
      <c r="CT38" s="738"/>
      <c r="CU38" s="738"/>
      <c r="CV38" s="738"/>
      <c r="CW38" s="738"/>
      <c r="CX38" s="738"/>
      <c r="CY38" s="738"/>
      <c r="CZ38" s="738"/>
      <c r="DA38" s="200"/>
      <c r="DB38" s="201"/>
      <c r="DC38" s="201"/>
      <c r="DD38" s="202"/>
      <c r="DE38" s="217"/>
      <c r="DF38" s="217"/>
    </row>
    <row r="39" spans="1:110" ht="9" customHeight="1">
      <c r="A39" s="321"/>
      <c r="B39" s="322"/>
      <c r="C39" s="322"/>
      <c r="D39" s="322"/>
      <c r="E39" s="322"/>
      <c r="F39" s="322"/>
      <c r="G39" s="322"/>
      <c r="H39" s="322"/>
      <c r="I39" s="322"/>
      <c r="J39" s="322"/>
      <c r="K39" s="322"/>
      <c r="L39" s="322"/>
      <c r="M39" s="322"/>
      <c r="N39" s="322"/>
      <c r="O39" s="322"/>
      <c r="P39" s="322"/>
      <c r="Q39" s="322"/>
      <c r="R39" s="322"/>
      <c r="S39" s="322"/>
      <c r="T39" s="322"/>
      <c r="U39" s="323"/>
      <c r="V39" s="322"/>
      <c r="W39" s="322"/>
      <c r="X39" s="322"/>
      <c r="Y39" s="322"/>
      <c r="Z39" s="322"/>
      <c r="AA39" s="322"/>
      <c r="AB39" s="322"/>
      <c r="AC39" s="322"/>
      <c r="AD39" s="322"/>
      <c r="AE39" s="322"/>
      <c r="AF39" s="322"/>
      <c r="AG39" s="322"/>
      <c r="AH39" s="322"/>
      <c r="AI39" s="322"/>
      <c r="AJ39" s="322"/>
      <c r="AK39" s="322"/>
      <c r="AL39" s="322"/>
      <c r="AM39" s="322"/>
      <c r="AN39" s="322"/>
      <c r="AO39" s="340"/>
      <c r="AP39" s="409"/>
      <c r="AR39" s="584"/>
      <c r="AS39" s="584"/>
      <c r="AT39" s="584"/>
      <c r="AU39" s="200"/>
      <c r="AV39" s="608"/>
      <c r="AW39" s="609"/>
      <c r="AX39" s="578" t="s">
        <v>311</v>
      </c>
      <c r="AY39" s="579"/>
      <c r="AZ39" s="579"/>
      <c r="BA39" s="579"/>
      <c r="BB39" s="579"/>
      <c r="BC39" s="579"/>
      <c r="BD39" s="579"/>
      <c r="BE39" s="579"/>
      <c r="BF39" s="579"/>
      <c r="BG39" s="579"/>
      <c r="BH39" s="579"/>
      <c r="BI39" s="579"/>
      <c r="BJ39" s="579"/>
      <c r="BK39" s="579"/>
      <c r="BL39" s="579"/>
      <c r="BM39" s="579"/>
      <c r="BN39" s="579"/>
      <c r="BO39" s="579"/>
      <c r="BP39" s="579"/>
      <c r="BQ39" s="579"/>
      <c r="BR39" s="579"/>
      <c r="BS39" s="579"/>
      <c r="BT39" s="579"/>
      <c r="BU39" s="579"/>
      <c r="BV39" s="580"/>
      <c r="BW39" s="740">
        <f>IF(BW5="","",'Design (1)'!G30)</f>
      </c>
      <c r="BX39" s="741"/>
      <c r="BY39" s="741"/>
      <c r="BZ39" s="741"/>
      <c r="CA39" s="741"/>
      <c r="CB39" s="741"/>
      <c r="CC39" s="741"/>
      <c r="CD39" s="742"/>
      <c r="CE39" s="740">
        <f>IF(CE5="","",'Design (2)'!G30)</f>
      </c>
      <c r="CF39" s="741"/>
      <c r="CG39" s="741"/>
      <c r="CH39" s="741"/>
      <c r="CI39" s="741"/>
      <c r="CJ39" s="741"/>
      <c r="CK39" s="741"/>
      <c r="CL39" s="742"/>
      <c r="CM39" s="200"/>
      <c r="CN39" s="739"/>
      <c r="CO39" s="739"/>
      <c r="CP39" s="739"/>
      <c r="CQ39" s="739"/>
      <c r="CR39" s="739"/>
      <c r="CS39" s="738"/>
      <c r="CT39" s="738"/>
      <c r="CU39" s="738"/>
      <c r="CV39" s="738"/>
      <c r="CW39" s="738"/>
      <c r="CX39" s="738"/>
      <c r="CY39" s="738"/>
      <c r="CZ39" s="738"/>
      <c r="DA39" s="200"/>
      <c r="DB39" s="201"/>
      <c r="DC39" s="201"/>
      <c r="DD39" s="202"/>
      <c r="DE39" s="217"/>
      <c r="DF39" s="217"/>
    </row>
    <row r="40" spans="1:110" ht="9" customHeight="1">
      <c r="A40" s="315"/>
      <c r="B40" s="316"/>
      <c r="C40" s="316"/>
      <c r="D40" s="316"/>
      <c r="E40" s="316"/>
      <c r="F40" s="316"/>
      <c r="G40" s="316"/>
      <c r="H40" s="316"/>
      <c r="I40" s="316"/>
      <c r="J40" s="316"/>
      <c r="K40" s="316"/>
      <c r="L40" s="316"/>
      <c r="M40" s="316"/>
      <c r="N40" s="316"/>
      <c r="O40" s="316"/>
      <c r="P40" s="316"/>
      <c r="Q40" s="316"/>
      <c r="R40" s="316"/>
      <c r="S40" s="316"/>
      <c r="T40" s="316"/>
      <c r="U40" s="317"/>
      <c r="V40" s="316"/>
      <c r="W40" s="316"/>
      <c r="X40" s="316"/>
      <c r="Y40" s="316"/>
      <c r="Z40" s="316"/>
      <c r="AA40" s="316"/>
      <c r="AB40" s="316"/>
      <c r="AC40" s="316"/>
      <c r="AD40" s="316"/>
      <c r="AE40" s="316"/>
      <c r="AF40" s="316"/>
      <c r="AG40" s="316"/>
      <c r="AH40" s="316"/>
      <c r="AI40" s="316"/>
      <c r="AJ40" s="316"/>
      <c r="AK40" s="316"/>
      <c r="AL40" s="316"/>
      <c r="AM40" s="316"/>
      <c r="AN40" s="316"/>
      <c r="AO40" s="312"/>
      <c r="AP40" s="408"/>
      <c r="AR40" s="584"/>
      <c r="AS40" s="584"/>
      <c r="AT40" s="584"/>
      <c r="AU40" s="200"/>
      <c r="AV40" s="608"/>
      <c r="AW40" s="609"/>
      <c r="AX40" s="581"/>
      <c r="AY40" s="582"/>
      <c r="AZ40" s="582"/>
      <c r="BA40" s="582"/>
      <c r="BB40" s="582"/>
      <c r="BC40" s="582"/>
      <c r="BD40" s="582"/>
      <c r="BE40" s="582"/>
      <c r="BF40" s="582"/>
      <c r="BG40" s="582"/>
      <c r="BH40" s="582"/>
      <c r="BI40" s="582"/>
      <c r="BJ40" s="582"/>
      <c r="BK40" s="582"/>
      <c r="BL40" s="582"/>
      <c r="BM40" s="582"/>
      <c r="BN40" s="582"/>
      <c r="BO40" s="582"/>
      <c r="BP40" s="582"/>
      <c r="BQ40" s="582"/>
      <c r="BR40" s="582"/>
      <c r="BS40" s="582"/>
      <c r="BT40" s="582"/>
      <c r="BU40" s="582"/>
      <c r="BV40" s="583"/>
      <c r="BW40" s="743"/>
      <c r="BX40" s="744"/>
      <c r="BY40" s="744"/>
      <c r="BZ40" s="744"/>
      <c r="CA40" s="744"/>
      <c r="CB40" s="744"/>
      <c r="CC40" s="744"/>
      <c r="CD40" s="745"/>
      <c r="CE40" s="743"/>
      <c r="CF40" s="744"/>
      <c r="CG40" s="744"/>
      <c r="CH40" s="744"/>
      <c r="CI40" s="744"/>
      <c r="CJ40" s="744"/>
      <c r="CK40" s="744"/>
      <c r="CL40" s="745"/>
      <c r="CM40" s="200"/>
      <c r="CN40" s="739"/>
      <c r="CO40" s="739"/>
      <c r="CP40" s="739"/>
      <c r="CQ40" s="739"/>
      <c r="CR40" s="739"/>
      <c r="CS40" s="738"/>
      <c r="CT40" s="738"/>
      <c r="CU40" s="738"/>
      <c r="CV40" s="738"/>
      <c r="CW40" s="738"/>
      <c r="CX40" s="738"/>
      <c r="CY40" s="738"/>
      <c r="CZ40" s="738"/>
      <c r="DA40" s="200"/>
      <c r="DB40" s="201"/>
      <c r="DC40" s="201"/>
      <c r="DD40" s="202"/>
      <c r="DE40" s="217"/>
      <c r="DF40" s="217"/>
    </row>
    <row r="41" spans="1:110" ht="9" customHeight="1">
      <c r="A41" s="318"/>
      <c r="B41" s="319"/>
      <c r="C41" s="319"/>
      <c r="D41" s="319"/>
      <c r="E41" s="319"/>
      <c r="F41" s="319"/>
      <c r="G41" s="319"/>
      <c r="H41" s="319"/>
      <c r="I41" s="319"/>
      <c r="J41" s="319"/>
      <c r="K41" s="319"/>
      <c r="L41" s="319"/>
      <c r="M41" s="319"/>
      <c r="N41" s="319"/>
      <c r="O41" s="319"/>
      <c r="P41" s="319"/>
      <c r="Q41" s="319"/>
      <c r="R41" s="319"/>
      <c r="S41" s="319"/>
      <c r="T41" s="319"/>
      <c r="U41" s="320"/>
      <c r="V41" s="319"/>
      <c r="W41" s="319"/>
      <c r="X41" s="319"/>
      <c r="Y41" s="319"/>
      <c r="Z41" s="319"/>
      <c r="AA41" s="319"/>
      <c r="AB41" s="319"/>
      <c r="AC41" s="319"/>
      <c r="AD41" s="319"/>
      <c r="AE41" s="319"/>
      <c r="AF41" s="319"/>
      <c r="AG41" s="319"/>
      <c r="AH41" s="319"/>
      <c r="AI41" s="319"/>
      <c r="AJ41" s="319"/>
      <c r="AK41" s="319"/>
      <c r="AL41" s="319"/>
      <c r="AM41" s="319"/>
      <c r="AN41" s="319"/>
      <c r="AO41" s="340"/>
      <c r="AP41" s="409"/>
      <c r="AR41" s="216"/>
      <c r="AS41" s="216"/>
      <c r="AT41" s="216"/>
      <c r="AU41" s="200"/>
      <c r="AV41" s="608"/>
      <c r="AW41" s="609"/>
      <c r="AX41" s="599" t="s">
        <v>312</v>
      </c>
      <c r="AY41" s="600"/>
      <c r="AZ41" s="600"/>
      <c r="BA41" s="600"/>
      <c r="BB41" s="600"/>
      <c r="BC41" s="600"/>
      <c r="BD41" s="600"/>
      <c r="BE41" s="600"/>
      <c r="BF41" s="600"/>
      <c r="BG41" s="600"/>
      <c r="BH41" s="600"/>
      <c r="BI41" s="600"/>
      <c r="BJ41" s="600"/>
      <c r="BK41" s="600"/>
      <c r="BL41" s="600"/>
      <c r="BM41" s="600"/>
      <c r="BN41" s="600"/>
      <c r="BO41" s="600"/>
      <c r="BP41" s="600"/>
      <c r="BQ41" s="600"/>
      <c r="BR41" s="600"/>
      <c r="BS41" s="600"/>
      <c r="BT41" s="600"/>
      <c r="BU41" s="600"/>
      <c r="BV41" s="601"/>
      <c r="BW41" s="740">
        <f>IF(BW5="","",'Design (1)'!G34)</f>
      </c>
      <c r="BX41" s="741"/>
      <c r="BY41" s="741"/>
      <c r="BZ41" s="741"/>
      <c r="CA41" s="741"/>
      <c r="CB41" s="741"/>
      <c r="CC41" s="741"/>
      <c r="CD41" s="742"/>
      <c r="CE41" s="740">
        <f>IF(CE5="","",'Design (2)'!G34)</f>
      </c>
      <c r="CF41" s="741"/>
      <c r="CG41" s="741"/>
      <c r="CH41" s="741"/>
      <c r="CI41" s="741"/>
      <c r="CJ41" s="741"/>
      <c r="CK41" s="741"/>
      <c r="CL41" s="742"/>
      <c r="CM41" s="200"/>
      <c r="CN41" s="739"/>
      <c r="CO41" s="739"/>
      <c r="CP41" s="739"/>
      <c r="CQ41" s="739"/>
      <c r="CR41" s="739"/>
      <c r="CS41" s="738"/>
      <c r="CT41" s="738"/>
      <c r="CU41" s="738"/>
      <c r="CV41" s="738"/>
      <c r="CW41" s="738"/>
      <c r="CX41" s="738"/>
      <c r="CY41" s="738"/>
      <c r="CZ41" s="738"/>
      <c r="DA41" s="200"/>
      <c r="DB41" s="201"/>
      <c r="DC41" s="201"/>
      <c r="DD41" s="202"/>
      <c r="DE41" s="217"/>
      <c r="DF41" s="217"/>
    </row>
    <row r="42" spans="1:110" ht="9" customHeight="1">
      <c r="A42" s="318"/>
      <c r="B42" s="319"/>
      <c r="C42" s="319"/>
      <c r="D42" s="319"/>
      <c r="E42" s="319"/>
      <c r="F42" s="319"/>
      <c r="G42" s="319"/>
      <c r="H42" s="319"/>
      <c r="I42" s="319"/>
      <c r="J42" s="319"/>
      <c r="K42" s="319"/>
      <c r="L42" s="319"/>
      <c r="M42" s="319"/>
      <c r="N42" s="319"/>
      <c r="O42" s="319"/>
      <c r="P42" s="319"/>
      <c r="Q42" s="319"/>
      <c r="R42" s="319"/>
      <c r="S42" s="319"/>
      <c r="T42" s="319"/>
      <c r="U42" s="320"/>
      <c r="V42" s="319"/>
      <c r="W42" s="319"/>
      <c r="X42" s="319"/>
      <c r="Y42" s="319"/>
      <c r="Z42" s="319"/>
      <c r="AA42" s="319"/>
      <c r="AB42" s="319"/>
      <c r="AC42" s="319"/>
      <c r="AD42" s="319"/>
      <c r="AE42" s="319"/>
      <c r="AF42" s="319"/>
      <c r="AG42" s="319"/>
      <c r="AH42" s="319"/>
      <c r="AI42" s="319"/>
      <c r="AJ42" s="319"/>
      <c r="AK42" s="319"/>
      <c r="AL42" s="319"/>
      <c r="AM42" s="319"/>
      <c r="AN42" s="319"/>
      <c r="AO42" s="340"/>
      <c r="AP42" s="409"/>
      <c r="AR42" s="216"/>
      <c r="AS42" s="216"/>
      <c r="AT42" s="216"/>
      <c r="AU42" s="200"/>
      <c r="AV42" s="608"/>
      <c r="AW42" s="609"/>
      <c r="AX42" s="602"/>
      <c r="AY42" s="603"/>
      <c r="AZ42" s="603"/>
      <c r="BA42" s="603"/>
      <c r="BB42" s="603"/>
      <c r="BC42" s="603"/>
      <c r="BD42" s="603"/>
      <c r="BE42" s="603"/>
      <c r="BF42" s="603"/>
      <c r="BG42" s="603"/>
      <c r="BH42" s="603"/>
      <c r="BI42" s="603"/>
      <c r="BJ42" s="603"/>
      <c r="BK42" s="603"/>
      <c r="BL42" s="603"/>
      <c r="BM42" s="603"/>
      <c r="BN42" s="603"/>
      <c r="BO42" s="603"/>
      <c r="BP42" s="603"/>
      <c r="BQ42" s="603"/>
      <c r="BR42" s="603"/>
      <c r="BS42" s="603"/>
      <c r="BT42" s="603"/>
      <c r="BU42" s="603"/>
      <c r="BV42" s="604"/>
      <c r="BW42" s="743"/>
      <c r="BX42" s="744"/>
      <c r="BY42" s="744"/>
      <c r="BZ42" s="744"/>
      <c r="CA42" s="744"/>
      <c r="CB42" s="744"/>
      <c r="CC42" s="744"/>
      <c r="CD42" s="745"/>
      <c r="CE42" s="743"/>
      <c r="CF42" s="744"/>
      <c r="CG42" s="744"/>
      <c r="CH42" s="744"/>
      <c r="CI42" s="744"/>
      <c r="CJ42" s="744"/>
      <c r="CK42" s="744"/>
      <c r="CL42" s="745"/>
      <c r="CM42" s="200"/>
      <c r="CN42" s="739"/>
      <c r="CO42" s="739"/>
      <c r="CP42" s="739"/>
      <c r="CQ42" s="739"/>
      <c r="CR42" s="739"/>
      <c r="CS42" s="738"/>
      <c r="CT42" s="738"/>
      <c r="CU42" s="738"/>
      <c r="CV42" s="738"/>
      <c r="CW42" s="738"/>
      <c r="CX42" s="738"/>
      <c r="CY42" s="738"/>
      <c r="CZ42" s="738"/>
      <c r="DA42" s="200"/>
      <c r="DB42" s="201"/>
      <c r="DC42" s="201"/>
      <c r="DD42" s="202"/>
      <c r="DE42" s="217"/>
      <c r="DF42" s="217"/>
    </row>
    <row r="43" spans="1:110" ht="9" customHeight="1">
      <c r="A43" s="318"/>
      <c r="B43" s="319"/>
      <c r="C43" s="319"/>
      <c r="D43" s="319"/>
      <c r="E43" s="319"/>
      <c r="F43" s="319"/>
      <c r="G43" s="319"/>
      <c r="H43" s="319"/>
      <c r="I43" s="319"/>
      <c r="J43" s="319"/>
      <c r="K43" s="319"/>
      <c r="L43" s="319"/>
      <c r="M43" s="319"/>
      <c r="N43" s="319"/>
      <c r="O43" s="319"/>
      <c r="P43" s="319"/>
      <c r="Q43" s="319"/>
      <c r="R43" s="319"/>
      <c r="S43" s="319"/>
      <c r="T43" s="319"/>
      <c r="U43" s="320"/>
      <c r="V43" s="319"/>
      <c r="W43" s="319"/>
      <c r="X43" s="319"/>
      <c r="Y43" s="319"/>
      <c r="Z43" s="319"/>
      <c r="AA43" s="319"/>
      <c r="AB43" s="319"/>
      <c r="AC43" s="319"/>
      <c r="AD43" s="319"/>
      <c r="AE43" s="319"/>
      <c r="AF43" s="319"/>
      <c r="AG43" s="319"/>
      <c r="AH43" s="319"/>
      <c r="AI43" s="319"/>
      <c r="AJ43" s="319"/>
      <c r="AK43" s="319"/>
      <c r="AL43" s="319"/>
      <c r="AM43" s="319"/>
      <c r="AN43" s="319"/>
      <c r="AO43" s="340"/>
      <c r="AP43" s="409"/>
      <c r="AR43" s="216"/>
      <c r="AS43" s="216"/>
      <c r="AT43" s="216"/>
      <c r="AU43" s="200"/>
      <c r="AV43" s="608"/>
      <c r="AW43" s="609"/>
      <c r="AX43" s="599" t="s">
        <v>313</v>
      </c>
      <c r="AY43" s="600"/>
      <c r="AZ43" s="600"/>
      <c r="BA43" s="600"/>
      <c r="BB43" s="600"/>
      <c r="BC43" s="600"/>
      <c r="BD43" s="600"/>
      <c r="BE43" s="600"/>
      <c r="BF43" s="600"/>
      <c r="BG43" s="600"/>
      <c r="BH43" s="600"/>
      <c r="BI43" s="600"/>
      <c r="BJ43" s="600"/>
      <c r="BK43" s="600"/>
      <c r="BL43" s="600"/>
      <c r="BM43" s="600"/>
      <c r="BN43" s="600"/>
      <c r="BO43" s="600"/>
      <c r="BP43" s="600"/>
      <c r="BQ43" s="600"/>
      <c r="BR43" s="600"/>
      <c r="BS43" s="600"/>
      <c r="BT43" s="600"/>
      <c r="BU43" s="600"/>
      <c r="BV43" s="601"/>
      <c r="BW43" s="740">
        <f>IF(BW5="","",'Design (1)'!G33)</f>
      </c>
      <c r="BX43" s="741"/>
      <c r="BY43" s="741"/>
      <c r="BZ43" s="741"/>
      <c r="CA43" s="741"/>
      <c r="CB43" s="741"/>
      <c r="CC43" s="741"/>
      <c r="CD43" s="742"/>
      <c r="CE43" s="740">
        <f>IF(CE5="","",'Design (2)'!G33)</f>
      </c>
      <c r="CF43" s="741"/>
      <c r="CG43" s="741"/>
      <c r="CH43" s="741"/>
      <c r="CI43" s="741"/>
      <c r="CJ43" s="741"/>
      <c r="CK43" s="741"/>
      <c r="CL43" s="742"/>
      <c r="CM43" s="200"/>
      <c r="CN43" s="739"/>
      <c r="CO43" s="739"/>
      <c r="CP43" s="739"/>
      <c r="CQ43" s="739"/>
      <c r="CR43" s="739"/>
      <c r="CS43" s="738"/>
      <c r="CT43" s="738"/>
      <c r="CU43" s="738"/>
      <c r="CV43" s="738"/>
      <c r="CW43" s="738"/>
      <c r="CX43" s="738"/>
      <c r="CY43" s="738"/>
      <c r="CZ43" s="738"/>
      <c r="DA43" s="200"/>
      <c r="DB43" s="201"/>
      <c r="DC43" s="201"/>
      <c r="DD43" s="202"/>
      <c r="DE43" s="217"/>
      <c r="DF43" s="217"/>
    </row>
    <row r="44" spans="1:110" ht="9" customHeight="1">
      <c r="A44" s="318"/>
      <c r="B44" s="319"/>
      <c r="C44" s="319"/>
      <c r="D44" s="319"/>
      <c r="E44" s="319"/>
      <c r="F44" s="319"/>
      <c r="G44" s="319"/>
      <c r="H44" s="319"/>
      <c r="I44" s="319"/>
      <c r="J44" s="319"/>
      <c r="K44" s="319"/>
      <c r="L44" s="319"/>
      <c r="M44" s="319"/>
      <c r="N44" s="319"/>
      <c r="O44" s="319"/>
      <c r="P44" s="319"/>
      <c r="Q44" s="319"/>
      <c r="R44" s="319"/>
      <c r="S44" s="319"/>
      <c r="T44" s="319"/>
      <c r="U44" s="320"/>
      <c r="V44" s="319"/>
      <c r="W44" s="319"/>
      <c r="X44" s="319"/>
      <c r="Y44" s="319"/>
      <c r="Z44" s="319"/>
      <c r="AA44" s="319"/>
      <c r="AB44" s="319"/>
      <c r="AC44" s="319"/>
      <c r="AD44" s="319"/>
      <c r="AE44" s="319"/>
      <c r="AF44" s="319"/>
      <c r="AG44" s="319"/>
      <c r="AH44" s="319"/>
      <c r="AI44" s="319"/>
      <c r="AJ44" s="319"/>
      <c r="AK44" s="319"/>
      <c r="AL44" s="319"/>
      <c r="AM44" s="319"/>
      <c r="AN44" s="319"/>
      <c r="AO44" s="340"/>
      <c r="AP44" s="409"/>
      <c r="AR44" s="216"/>
      <c r="AS44" s="216"/>
      <c r="AT44" s="216"/>
      <c r="AU44" s="200"/>
      <c r="AV44" s="608"/>
      <c r="AW44" s="609"/>
      <c r="AX44" s="605"/>
      <c r="AY44" s="606"/>
      <c r="AZ44" s="606"/>
      <c r="BA44" s="606"/>
      <c r="BB44" s="606"/>
      <c r="BC44" s="606"/>
      <c r="BD44" s="606"/>
      <c r="BE44" s="606"/>
      <c r="BF44" s="606"/>
      <c r="BG44" s="606"/>
      <c r="BH44" s="606"/>
      <c r="BI44" s="606"/>
      <c r="BJ44" s="606"/>
      <c r="BK44" s="606"/>
      <c r="BL44" s="606"/>
      <c r="BM44" s="606"/>
      <c r="BN44" s="606"/>
      <c r="BO44" s="606"/>
      <c r="BP44" s="606"/>
      <c r="BQ44" s="606"/>
      <c r="BR44" s="606"/>
      <c r="BS44" s="606"/>
      <c r="BT44" s="606"/>
      <c r="BU44" s="606"/>
      <c r="BV44" s="607"/>
      <c r="BW44" s="743"/>
      <c r="BX44" s="744"/>
      <c r="BY44" s="744"/>
      <c r="BZ44" s="744"/>
      <c r="CA44" s="744"/>
      <c r="CB44" s="744"/>
      <c r="CC44" s="744"/>
      <c r="CD44" s="745"/>
      <c r="CE44" s="743"/>
      <c r="CF44" s="744"/>
      <c r="CG44" s="744"/>
      <c r="CH44" s="744"/>
      <c r="CI44" s="744"/>
      <c r="CJ44" s="744"/>
      <c r="CK44" s="744"/>
      <c r="CL44" s="745"/>
      <c r="CM44" s="200"/>
      <c r="CN44" s="739"/>
      <c r="CO44" s="739"/>
      <c r="CP44" s="739"/>
      <c r="CQ44" s="739"/>
      <c r="CR44" s="739"/>
      <c r="CS44" s="738"/>
      <c r="CT44" s="738"/>
      <c r="CU44" s="738"/>
      <c r="CV44" s="738"/>
      <c r="CW44" s="738"/>
      <c r="CX44" s="738"/>
      <c r="CY44" s="738"/>
      <c r="CZ44" s="738"/>
      <c r="DA44" s="200"/>
      <c r="DB44" s="201"/>
      <c r="DC44" s="201"/>
      <c r="DD44" s="202"/>
      <c r="DE44" s="217"/>
      <c r="DF44" s="217"/>
    </row>
    <row r="45" spans="1:110" ht="9" customHeight="1">
      <c r="A45" s="318"/>
      <c r="B45" s="319"/>
      <c r="C45" s="319"/>
      <c r="D45" s="319"/>
      <c r="E45" s="319"/>
      <c r="F45" s="319"/>
      <c r="G45" s="319"/>
      <c r="H45" s="319"/>
      <c r="I45" s="319"/>
      <c r="J45" s="319"/>
      <c r="K45" s="319"/>
      <c r="L45" s="319"/>
      <c r="M45" s="319"/>
      <c r="N45" s="319"/>
      <c r="O45" s="319"/>
      <c r="P45" s="319"/>
      <c r="Q45" s="319"/>
      <c r="R45" s="319"/>
      <c r="S45" s="319"/>
      <c r="T45" s="319"/>
      <c r="U45" s="320"/>
      <c r="V45" s="319"/>
      <c r="W45" s="319"/>
      <c r="X45" s="319"/>
      <c r="Y45" s="319"/>
      <c r="Z45" s="319"/>
      <c r="AA45" s="319"/>
      <c r="AB45" s="319"/>
      <c r="AC45" s="319"/>
      <c r="AD45" s="319"/>
      <c r="AE45" s="319"/>
      <c r="AF45" s="319"/>
      <c r="AG45" s="319"/>
      <c r="AH45" s="319"/>
      <c r="AI45" s="319"/>
      <c r="AJ45" s="319"/>
      <c r="AK45" s="319"/>
      <c r="AL45" s="319"/>
      <c r="AM45" s="319"/>
      <c r="AN45" s="319"/>
      <c r="AO45" s="340"/>
      <c r="AP45" s="409"/>
      <c r="AR45" s="215"/>
      <c r="AS45" s="215"/>
      <c r="AT45" s="215"/>
      <c r="AU45" s="200"/>
      <c r="AW45" s="200"/>
      <c r="AX45" s="200"/>
      <c r="AY45" s="200"/>
      <c r="AZ45" s="200"/>
      <c r="BA45" s="200"/>
      <c r="BB45" s="200"/>
      <c r="BC45" s="200"/>
      <c r="BD45" s="200"/>
      <c r="BE45" s="200"/>
      <c r="BF45" s="566" t="s">
        <v>193</v>
      </c>
      <c r="BG45" s="510"/>
      <c r="BH45" s="510"/>
      <c r="BI45" s="510"/>
      <c r="BJ45" s="510"/>
      <c r="BK45" s="510"/>
      <c r="BL45" s="510"/>
      <c r="BM45" s="510"/>
      <c r="BN45" s="510"/>
      <c r="BO45" s="510"/>
      <c r="BP45" s="510"/>
      <c r="BQ45" s="510"/>
      <c r="BR45" s="510"/>
      <c r="BS45" s="510"/>
      <c r="BT45" s="510"/>
      <c r="BU45" s="510"/>
      <c r="BV45" s="510"/>
      <c r="BW45" s="567"/>
      <c r="BX45" s="567"/>
      <c r="BY45" s="567"/>
      <c r="BZ45" s="567"/>
      <c r="CA45" s="567"/>
      <c r="CB45" s="200"/>
      <c r="CC45" s="200"/>
      <c r="CD45" s="200"/>
      <c r="CE45" s="200"/>
      <c r="CF45" s="200"/>
      <c r="CG45" s="200"/>
      <c r="CH45" s="200"/>
      <c r="CI45" s="200"/>
      <c r="CJ45" s="200"/>
      <c r="CK45" s="200"/>
      <c r="CL45" s="200"/>
      <c r="CM45" s="200"/>
      <c r="CN45" s="739"/>
      <c r="CO45" s="739"/>
      <c r="CP45" s="739"/>
      <c r="CQ45" s="739"/>
      <c r="CR45" s="739"/>
      <c r="CS45" s="738"/>
      <c r="CT45" s="738"/>
      <c r="CU45" s="738"/>
      <c r="CV45" s="738"/>
      <c r="CW45" s="738"/>
      <c r="CX45" s="738"/>
      <c r="CY45" s="738"/>
      <c r="CZ45" s="738"/>
      <c r="DA45" s="200"/>
      <c r="DB45" s="201"/>
      <c r="DC45" s="201"/>
      <c r="DD45" s="202"/>
      <c r="DE45" s="217"/>
      <c r="DF45" s="217"/>
    </row>
    <row r="46" spans="1:110" ht="9" customHeight="1">
      <c r="A46" s="318"/>
      <c r="B46" s="319"/>
      <c r="C46" s="319"/>
      <c r="D46" s="319"/>
      <c r="E46" s="319"/>
      <c r="F46" s="319"/>
      <c r="G46" s="319"/>
      <c r="H46" s="319"/>
      <c r="I46" s="319"/>
      <c r="J46" s="319"/>
      <c r="K46" s="319"/>
      <c r="L46" s="319"/>
      <c r="M46" s="319"/>
      <c r="N46" s="319"/>
      <c r="O46" s="319"/>
      <c r="P46" s="319"/>
      <c r="Q46" s="319"/>
      <c r="R46" s="319"/>
      <c r="S46" s="319"/>
      <c r="T46" s="319"/>
      <c r="U46" s="320"/>
      <c r="V46" s="319"/>
      <c r="W46" s="319"/>
      <c r="X46" s="319"/>
      <c r="Y46" s="319"/>
      <c r="Z46" s="319"/>
      <c r="AA46" s="319"/>
      <c r="AB46" s="319"/>
      <c r="AC46" s="319"/>
      <c r="AD46" s="319"/>
      <c r="AE46" s="319"/>
      <c r="AF46" s="319"/>
      <c r="AG46" s="319"/>
      <c r="AH46" s="319"/>
      <c r="AI46" s="319"/>
      <c r="AJ46" s="319"/>
      <c r="AK46" s="319"/>
      <c r="AL46" s="319"/>
      <c r="AM46" s="319"/>
      <c r="AN46" s="319"/>
      <c r="AO46" s="340"/>
      <c r="AP46" s="409"/>
      <c r="AU46" s="200"/>
      <c r="AW46" s="254"/>
      <c r="AX46" s="254"/>
      <c r="AY46" s="254"/>
      <c r="AZ46" s="254"/>
      <c r="BA46" s="254"/>
      <c r="BB46" s="254"/>
      <c r="BC46" s="254"/>
      <c r="BD46" s="254"/>
      <c r="BE46" s="254"/>
      <c r="BF46" s="490"/>
      <c r="BG46" s="490"/>
      <c r="BH46" s="490"/>
      <c r="BI46" s="490"/>
      <c r="BJ46" s="490"/>
      <c r="BK46" s="490"/>
      <c r="BL46" s="490"/>
      <c r="BM46" s="490"/>
      <c r="BN46" s="490"/>
      <c r="BO46" s="490"/>
      <c r="BP46" s="490"/>
      <c r="BQ46" s="490"/>
      <c r="BR46" s="490"/>
      <c r="BS46" s="490"/>
      <c r="BT46" s="490"/>
      <c r="BU46" s="490"/>
      <c r="BV46" s="490"/>
      <c r="BW46" s="490"/>
      <c r="BX46" s="490"/>
      <c r="BY46" s="490"/>
      <c r="BZ46" s="490"/>
      <c r="CA46" s="490"/>
      <c r="CB46" s="254"/>
      <c r="CC46" s="254"/>
      <c r="CD46" s="254"/>
      <c r="CE46" s="254"/>
      <c r="CF46" s="254"/>
      <c r="CG46" s="254"/>
      <c r="CH46" s="254"/>
      <c r="CI46" s="254"/>
      <c r="CJ46" s="254"/>
      <c r="CK46" s="254"/>
      <c r="CL46" s="254"/>
      <c r="CM46" s="200"/>
      <c r="CN46" s="739"/>
      <c r="CO46" s="739"/>
      <c r="CP46" s="739"/>
      <c r="CQ46" s="739"/>
      <c r="CR46" s="739"/>
      <c r="CS46" s="738"/>
      <c r="CT46" s="738"/>
      <c r="CU46" s="738"/>
      <c r="CV46" s="738"/>
      <c r="CW46" s="738"/>
      <c r="CX46" s="738"/>
      <c r="CY46" s="738"/>
      <c r="CZ46" s="738"/>
      <c r="DA46" s="200"/>
      <c r="DB46" s="201"/>
      <c r="DC46" s="201"/>
      <c r="DD46" s="202"/>
      <c r="DE46" s="217"/>
      <c r="DF46" s="217"/>
    </row>
    <row r="47" spans="1:110" ht="9" customHeight="1">
      <c r="A47" s="318"/>
      <c r="B47" s="319"/>
      <c r="C47" s="319"/>
      <c r="D47" s="319"/>
      <c r="E47" s="319"/>
      <c r="F47" s="319"/>
      <c r="G47" s="319"/>
      <c r="H47" s="319"/>
      <c r="I47" s="319"/>
      <c r="J47" s="319"/>
      <c r="K47" s="319"/>
      <c r="L47" s="319"/>
      <c r="M47" s="319"/>
      <c r="N47" s="319"/>
      <c r="O47" s="319"/>
      <c r="P47" s="319"/>
      <c r="Q47" s="319"/>
      <c r="R47" s="319"/>
      <c r="S47" s="319"/>
      <c r="T47" s="319"/>
      <c r="U47" s="320"/>
      <c r="V47" s="319"/>
      <c r="W47" s="319"/>
      <c r="X47" s="319"/>
      <c r="Y47" s="319"/>
      <c r="Z47" s="319"/>
      <c r="AA47" s="319"/>
      <c r="AB47" s="319"/>
      <c r="AC47" s="319"/>
      <c r="AD47" s="319"/>
      <c r="AE47" s="319"/>
      <c r="AF47" s="319"/>
      <c r="AG47" s="319"/>
      <c r="AH47" s="319"/>
      <c r="AI47" s="319"/>
      <c r="AJ47" s="319"/>
      <c r="AK47" s="319"/>
      <c r="AL47" s="319"/>
      <c r="AM47" s="319"/>
      <c r="AN47" s="319"/>
      <c r="AO47" s="340"/>
      <c r="AP47" s="409"/>
      <c r="AU47" s="200"/>
      <c r="AV47" s="638" t="s">
        <v>142</v>
      </c>
      <c r="AW47" s="639"/>
      <c r="AX47" s="639"/>
      <c r="AY47" s="639"/>
      <c r="AZ47" s="640"/>
      <c r="BA47" s="663" t="s">
        <v>238</v>
      </c>
      <c r="BB47" s="586"/>
      <c r="BC47" s="586"/>
      <c r="BD47" s="586"/>
      <c r="BE47" s="587"/>
      <c r="BF47" s="585" t="s">
        <v>232</v>
      </c>
      <c r="BG47" s="586"/>
      <c r="BH47" s="586"/>
      <c r="BI47" s="586"/>
      <c r="BJ47" s="586"/>
      <c r="BK47" s="586"/>
      <c r="BL47" s="587"/>
      <c r="BM47" s="708" t="s">
        <v>239</v>
      </c>
      <c r="BN47" s="709"/>
      <c r="BO47" s="709"/>
      <c r="BP47" s="709"/>
      <c r="BQ47" s="710"/>
      <c r="BR47" s="638" t="s">
        <v>207</v>
      </c>
      <c r="BS47" s="639"/>
      <c r="BT47" s="639"/>
      <c r="BU47" s="639"/>
      <c r="BV47" s="639"/>
      <c r="BW47" s="639"/>
      <c r="BX47" s="639"/>
      <c r="BY47" s="639"/>
      <c r="BZ47" s="639"/>
      <c r="CA47" s="639"/>
      <c r="CB47" s="639"/>
      <c r="CC47" s="639"/>
      <c r="CD47" s="639"/>
      <c r="CE47" s="639"/>
      <c r="CF47" s="639"/>
      <c r="CG47" s="639"/>
      <c r="CH47" s="639"/>
      <c r="CI47" s="639"/>
      <c r="CJ47" s="639"/>
      <c r="CK47" s="639"/>
      <c r="CL47" s="640"/>
      <c r="CM47" s="200"/>
      <c r="CN47" s="739"/>
      <c r="CO47" s="739"/>
      <c r="CP47" s="739"/>
      <c r="CQ47" s="739"/>
      <c r="CR47" s="739"/>
      <c r="CS47" s="738"/>
      <c r="CT47" s="738"/>
      <c r="CU47" s="738"/>
      <c r="CV47" s="738"/>
      <c r="CW47" s="738"/>
      <c r="CX47" s="738"/>
      <c r="CY47" s="738"/>
      <c r="CZ47" s="738"/>
      <c r="DA47" s="200"/>
      <c r="DB47" s="201"/>
      <c r="DC47" s="201"/>
      <c r="DD47" s="202"/>
      <c r="DE47" s="217"/>
      <c r="DF47" s="217"/>
    </row>
    <row r="48" spans="1:110" ht="9" customHeight="1">
      <c r="A48" s="318"/>
      <c r="B48" s="319"/>
      <c r="C48" s="319"/>
      <c r="D48" s="319"/>
      <c r="E48" s="319"/>
      <c r="F48" s="319"/>
      <c r="G48" s="319"/>
      <c r="H48" s="319"/>
      <c r="I48" s="319"/>
      <c r="J48" s="319"/>
      <c r="K48" s="319"/>
      <c r="L48" s="319"/>
      <c r="M48" s="319"/>
      <c r="N48" s="319"/>
      <c r="O48" s="319"/>
      <c r="P48" s="319"/>
      <c r="Q48" s="319"/>
      <c r="R48" s="319"/>
      <c r="S48" s="319"/>
      <c r="T48" s="319"/>
      <c r="U48" s="320"/>
      <c r="V48" s="319"/>
      <c r="W48" s="319"/>
      <c r="X48" s="319"/>
      <c r="Y48" s="319"/>
      <c r="Z48" s="319"/>
      <c r="AA48" s="319"/>
      <c r="AB48" s="319"/>
      <c r="AC48" s="319"/>
      <c r="AD48" s="319"/>
      <c r="AE48" s="319"/>
      <c r="AF48" s="319"/>
      <c r="AG48" s="319"/>
      <c r="AH48" s="319"/>
      <c r="AI48" s="319"/>
      <c r="AJ48" s="319"/>
      <c r="AK48" s="319"/>
      <c r="AL48" s="319"/>
      <c r="AM48" s="319"/>
      <c r="AN48" s="319"/>
      <c r="AO48" s="340"/>
      <c r="AP48" s="409"/>
      <c r="AU48" s="200"/>
      <c r="AV48" s="733"/>
      <c r="AW48" s="734"/>
      <c r="AX48" s="734"/>
      <c r="AY48" s="734"/>
      <c r="AZ48" s="677"/>
      <c r="BA48" s="588"/>
      <c r="BB48" s="589"/>
      <c r="BC48" s="589"/>
      <c r="BD48" s="589"/>
      <c r="BE48" s="590"/>
      <c r="BF48" s="588"/>
      <c r="BG48" s="589"/>
      <c r="BH48" s="589"/>
      <c r="BI48" s="589"/>
      <c r="BJ48" s="589"/>
      <c r="BK48" s="589"/>
      <c r="BL48" s="590"/>
      <c r="BM48" s="711"/>
      <c r="BN48" s="712"/>
      <c r="BO48" s="712"/>
      <c r="BP48" s="712"/>
      <c r="BQ48" s="713"/>
      <c r="BR48" s="641"/>
      <c r="BS48" s="642"/>
      <c r="BT48" s="642"/>
      <c r="BU48" s="642"/>
      <c r="BV48" s="642"/>
      <c r="BW48" s="642"/>
      <c r="BX48" s="642"/>
      <c r="BY48" s="642"/>
      <c r="BZ48" s="642"/>
      <c r="CA48" s="642"/>
      <c r="CB48" s="642"/>
      <c r="CC48" s="642"/>
      <c r="CD48" s="642"/>
      <c r="CE48" s="642"/>
      <c r="CF48" s="642"/>
      <c r="CG48" s="642"/>
      <c r="CH48" s="642"/>
      <c r="CI48" s="642"/>
      <c r="CJ48" s="642"/>
      <c r="CK48" s="642"/>
      <c r="CL48" s="643"/>
      <c r="CM48" s="200"/>
      <c r="CN48" s="739"/>
      <c r="CO48" s="739"/>
      <c r="CP48" s="739"/>
      <c r="CQ48" s="739"/>
      <c r="CR48" s="739"/>
      <c r="CS48" s="738"/>
      <c r="CT48" s="738"/>
      <c r="CU48" s="738"/>
      <c r="CV48" s="738"/>
      <c r="CW48" s="738"/>
      <c r="CX48" s="738"/>
      <c r="CY48" s="738"/>
      <c r="CZ48" s="738"/>
      <c r="DA48" s="200"/>
      <c r="DB48" s="201"/>
      <c r="DC48" s="201"/>
      <c r="DD48" s="202"/>
      <c r="DE48" s="217"/>
      <c r="DF48" s="217"/>
    </row>
    <row r="49" spans="1:110" ht="9" customHeight="1">
      <c r="A49" s="318"/>
      <c r="B49" s="319"/>
      <c r="C49" s="319"/>
      <c r="D49" s="319"/>
      <c r="E49" s="319"/>
      <c r="F49" s="319"/>
      <c r="G49" s="319"/>
      <c r="H49" s="319"/>
      <c r="I49" s="319"/>
      <c r="J49" s="319"/>
      <c r="K49" s="319"/>
      <c r="L49" s="319"/>
      <c r="M49" s="319"/>
      <c r="N49" s="319"/>
      <c r="O49" s="319"/>
      <c r="P49" s="319"/>
      <c r="Q49" s="319"/>
      <c r="R49" s="319"/>
      <c r="S49" s="319"/>
      <c r="T49" s="319"/>
      <c r="U49" s="320"/>
      <c r="V49" s="319"/>
      <c r="W49" s="319"/>
      <c r="X49" s="319"/>
      <c r="Y49" s="319"/>
      <c r="Z49" s="319"/>
      <c r="AA49" s="319"/>
      <c r="AB49" s="319"/>
      <c r="AC49" s="319"/>
      <c r="AD49" s="319"/>
      <c r="AE49" s="319"/>
      <c r="AF49" s="319"/>
      <c r="AG49" s="319"/>
      <c r="AH49" s="319"/>
      <c r="AI49" s="319"/>
      <c r="AJ49" s="319"/>
      <c r="AK49" s="319"/>
      <c r="AL49" s="319"/>
      <c r="AM49" s="319"/>
      <c r="AN49" s="319"/>
      <c r="AO49" s="340"/>
      <c r="AP49" s="409"/>
      <c r="AU49" s="200"/>
      <c r="AV49" s="733"/>
      <c r="AW49" s="734"/>
      <c r="AX49" s="734"/>
      <c r="AY49" s="734"/>
      <c r="AZ49" s="677"/>
      <c r="BA49" s="588"/>
      <c r="BB49" s="589"/>
      <c r="BC49" s="589"/>
      <c r="BD49" s="589"/>
      <c r="BE49" s="590"/>
      <c r="BF49" s="588"/>
      <c r="BG49" s="589"/>
      <c r="BH49" s="589"/>
      <c r="BI49" s="589"/>
      <c r="BJ49" s="589"/>
      <c r="BK49" s="589"/>
      <c r="BL49" s="590"/>
      <c r="BM49" s="711"/>
      <c r="BN49" s="712"/>
      <c r="BO49" s="712"/>
      <c r="BP49" s="712"/>
      <c r="BQ49" s="713"/>
      <c r="BR49" s="563" t="s">
        <v>47</v>
      </c>
      <c r="BS49" s="564"/>
      <c r="BT49" s="564"/>
      <c r="BU49" s="564"/>
      <c r="BV49" s="564"/>
      <c r="BW49" s="564"/>
      <c r="BX49" s="564"/>
      <c r="BY49" s="564"/>
      <c r="BZ49" s="564"/>
      <c r="CA49" s="565"/>
      <c r="CB49" s="563" t="s">
        <v>233</v>
      </c>
      <c r="CC49" s="564"/>
      <c r="CD49" s="564"/>
      <c r="CE49" s="564"/>
      <c r="CF49" s="564"/>
      <c r="CG49" s="564"/>
      <c r="CH49" s="564"/>
      <c r="CI49" s="564"/>
      <c r="CJ49" s="564"/>
      <c r="CK49" s="564"/>
      <c r="CL49" s="565"/>
      <c r="CM49" s="200"/>
      <c r="CN49" s="739"/>
      <c r="CO49" s="739"/>
      <c r="CP49" s="739"/>
      <c r="CQ49" s="739"/>
      <c r="CR49" s="739"/>
      <c r="CS49" s="738"/>
      <c r="CT49" s="738"/>
      <c r="CU49" s="738"/>
      <c r="CV49" s="738"/>
      <c r="CW49" s="738"/>
      <c r="CX49" s="738"/>
      <c r="CY49" s="738"/>
      <c r="CZ49" s="738"/>
      <c r="DA49" s="200"/>
      <c r="DB49" s="201"/>
      <c r="DC49" s="201"/>
      <c r="DD49" s="202"/>
      <c r="DE49" s="217"/>
      <c r="DF49" s="217"/>
    </row>
    <row r="50" spans="1:110" ht="9" customHeight="1">
      <c r="A50" s="318"/>
      <c r="B50" s="319"/>
      <c r="C50" s="319"/>
      <c r="D50" s="319"/>
      <c r="E50" s="319"/>
      <c r="F50" s="319"/>
      <c r="G50" s="319"/>
      <c r="H50" s="319"/>
      <c r="I50" s="319"/>
      <c r="J50" s="319"/>
      <c r="K50" s="319"/>
      <c r="L50" s="319"/>
      <c r="M50" s="319"/>
      <c r="N50" s="319"/>
      <c r="O50" s="319"/>
      <c r="P50" s="319"/>
      <c r="Q50" s="319"/>
      <c r="R50" s="319"/>
      <c r="S50" s="319"/>
      <c r="T50" s="319"/>
      <c r="U50" s="320"/>
      <c r="V50" s="319"/>
      <c r="W50" s="319"/>
      <c r="X50" s="319"/>
      <c r="Y50" s="319"/>
      <c r="Z50" s="319"/>
      <c r="AA50" s="319"/>
      <c r="AB50" s="319"/>
      <c r="AC50" s="319"/>
      <c r="AD50" s="319"/>
      <c r="AE50" s="319"/>
      <c r="AF50" s="319"/>
      <c r="AG50" s="319"/>
      <c r="AH50" s="319"/>
      <c r="AI50" s="319"/>
      <c r="AJ50" s="319"/>
      <c r="AK50" s="319"/>
      <c r="AL50" s="319"/>
      <c r="AM50" s="319"/>
      <c r="AN50" s="319"/>
      <c r="AO50" s="340"/>
      <c r="AP50" s="409"/>
      <c r="AU50" s="200"/>
      <c r="AV50" s="641"/>
      <c r="AW50" s="642"/>
      <c r="AX50" s="642"/>
      <c r="AY50" s="642"/>
      <c r="AZ50" s="643"/>
      <c r="BA50" s="591"/>
      <c r="BB50" s="592"/>
      <c r="BC50" s="592"/>
      <c r="BD50" s="592"/>
      <c r="BE50" s="593"/>
      <c r="BF50" s="591"/>
      <c r="BG50" s="592"/>
      <c r="BH50" s="592"/>
      <c r="BI50" s="592"/>
      <c r="BJ50" s="592"/>
      <c r="BK50" s="592"/>
      <c r="BL50" s="593"/>
      <c r="BM50" s="714"/>
      <c r="BN50" s="715"/>
      <c r="BO50" s="715"/>
      <c r="BP50" s="715"/>
      <c r="BQ50" s="716"/>
      <c r="BR50" s="560" t="s">
        <v>274</v>
      </c>
      <c r="BS50" s="561"/>
      <c r="BT50" s="561"/>
      <c r="BU50" s="561"/>
      <c r="BV50" s="561"/>
      <c r="BW50" s="561"/>
      <c r="BX50" s="561"/>
      <c r="BY50" s="561"/>
      <c r="BZ50" s="561"/>
      <c r="CA50" s="562"/>
      <c r="CB50" s="560" t="s">
        <v>275</v>
      </c>
      <c r="CC50" s="561"/>
      <c r="CD50" s="561"/>
      <c r="CE50" s="561"/>
      <c r="CF50" s="561"/>
      <c r="CG50" s="561"/>
      <c r="CH50" s="561"/>
      <c r="CI50" s="561"/>
      <c r="CJ50" s="561"/>
      <c r="CK50" s="561"/>
      <c r="CL50" s="562"/>
      <c r="CM50" s="200"/>
      <c r="CN50" s="739"/>
      <c r="CO50" s="739"/>
      <c r="CP50" s="739"/>
      <c r="CQ50" s="739"/>
      <c r="CR50" s="739"/>
      <c r="CS50" s="738"/>
      <c r="CT50" s="738"/>
      <c r="CU50" s="738"/>
      <c r="CV50" s="738"/>
      <c r="CW50" s="738"/>
      <c r="CX50" s="738"/>
      <c r="CY50" s="738"/>
      <c r="CZ50" s="738"/>
      <c r="DA50" s="200"/>
      <c r="DB50" s="201"/>
      <c r="DC50" s="201"/>
      <c r="DD50" s="202"/>
      <c r="DE50" s="217"/>
      <c r="DF50" s="217"/>
    </row>
    <row r="51" spans="1:110" ht="9" customHeight="1">
      <c r="A51" s="318"/>
      <c r="B51" s="319"/>
      <c r="C51" s="319"/>
      <c r="D51" s="319"/>
      <c r="E51" s="319"/>
      <c r="F51" s="319"/>
      <c r="G51" s="319"/>
      <c r="H51" s="319"/>
      <c r="I51" s="319"/>
      <c r="J51" s="319"/>
      <c r="K51" s="319"/>
      <c r="L51" s="319"/>
      <c r="M51" s="319"/>
      <c r="N51" s="319"/>
      <c r="O51" s="319"/>
      <c r="P51" s="319"/>
      <c r="Q51" s="319"/>
      <c r="R51" s="319"/>
      <c r="S51" s="319"/>
      <c r="T51" s="319"/>
      <c r="U51" s="320"/>
      <c r="V51" s="319"/>
      <c r="W51" s="319"/>
      <c r="X51" s="319"/>
      <c r="Y51" s="319"/>
      <c r="Z51" s="319"/>
      <c r="AA51" s="319"/>
      <c r="AB51" s="319"/>
      <c r="AC51" s="319"/>
      <c r="AD51" s="319"/>
      <c r="AE51" s="319"/>
      <c r="AF51" s="319"/>
      <c r="AG51" s="319"/>
      <c r="AH51" s="319"/>
      <c r="AI51" s="319"/>
      <c r="AJ51" s="319"/>
      <c r="AK51" s="319"/>
      <c r="AL51" s="319"/>
      <c r="AM51" s="319"/>
      <c r="AN51" s="319"/>
      <c r="AO51" s="340"/>
      <c r="AP51" s="409"/>
      <c r="AU51" s="200"/>
      <c r="AV51" s="594">
        <f>IF(BW7="","",BW7)</f>
      </c>
      <c r="AW51" s="594"/>
      <c r="AX51" s="594"/>
      <c r="AY51" s="594"/>
      <c r="AZ51" s="594"/>
      <c r="BA51" s="594">
        <f>IF(BW9="","",BW9)</f>
      </c>
      <c r="BB51" s="594"/>
      <c r="BC51" s="594"/>
      <c r="BD51" s="594"/>
      <c r="BE51" s="594"/>
      <c r="BF51" s="723">
        <f>IF(BA51="","",BA51-AV51)</f>
      </c>
      <c r="BG51" s="723"/>
      <c r="BH51" s="723"/>
      <c r="BI51" s="723"/>
      <c r="BJ51" s="723"/>
      <c r="BK51" s="723"/>
      <c r="BL51" s="723"/>
      <c r="BM51" s="737">
        <f>IF(BW5="","",'Design (1)'!G27)</f>
      </c>
      <c r="BN51" s="737"/>
      <c r="BO51" s="737"/>
      <c r="BP51" s="737"/>
      <c r="BQ51" s="737"/>
      <c r="BR51" s="724">
        <f>IF(BW5="","",'Design (1)'!N31)</f>
      </c>
      <c r="BS51" s="724"/>
      <c r="BT51" s="724"/>
      <c r="BU51" s="724"/>
      <c r="BV51" s="724"/>
      <c r="BW51" s="724"/>
      <c r="BX51" s="724"/>
      <c r="BY51" s="724"/>
      <c r="BZ51" s="724"/>
      <c r="CA51" s="724"/>
      <c r="CB51" s="718">
        <f>IF(OR(BR51="",BF51=""),"",ROUND(BF51*BR51/27,0))</f>
      </c>
      <c r="CC51" s="718"/>
      <c r="CD51" s="718"/>
      <c r="CE51" s="718"/>
      <c r="CF51" s="718"/>
      <c r="CG51" s="718"/>
      <c r="CH51" s="718"/>
      <c r="CI51" s="718"/>
      <c r="CJ51" s="718"/>
      <c r="CK51" s="718"/>
      <c r="CL51" s="718"/>
      <c r="CM51" s="200"/>
      <c r="CN51" s="739"/>
      <c r="CO51" s="739"/>
      <c r="CP51" s="739"/>
      <c r="CQ51" s="739"/>
      <c r="CR51" s="739"/>
      <c r="CS51" s="738"/>
      <c r="CT51" s="738"/>
      <c r="CU51" s="738"/>
      <c r="CV51" s="738"/>
      <c r="CW51" s="738"/>
      <c r="CX51" s="738"/>
      <c r="CY51" s="738"/>
      <c r="CZ51" s="738"/>
      <c r="DA51" s="200"/>
      <c r="DB51" s="201"/>
      <c r="DC51" s="201"/>
      <c r="DD51" s="202"/>
      <c r="DE51" s="217"/>
      <c r="DF51" s="217"/>
    </row>
    <row r="52" spans="1:110" ht="9" customHeight="1">
      <c r="A52" s="318"/>
      <c r="B52" s="319"/>
      <c r="C52" s="319"/>
      <c r="D52" s="319"/>
      <c r="E52" s="319"/>
      <c r="F52" s="319"/>
      <c r="G52" s="319"/>
      <c r="H52" s="319"/>
      <c r="I52" s="319"/>
      <c r="J52" s="319"/>
      <c r="K52" s="319"/>
      <c r="L52" s="319"/>
      <c r="M52" s="319"/>
      <c r="N52" s="319"/>
      <c r="O52" s="319"/>
      <c r="P52" s="319"/>
      <c r="Q52" s="319"/>
      <c r="R52" s="319"/>
      <c r="S52" s="319"/>
      <c r="T52" s="319"/>
      <c r="U52" s="320"/>
      <c r="V52" s="319"/>
      <c r="W52" s="319"/>
      <c r="X52" s="319"/>
      <c r="Y52" s="319"/>
      <c r="Z52" s="319"/>
      <c r="AA52" s="319"/>
      <c r="AB52" s="319"/>
      <c r="AC52" s="319"/>
      <c r="AD52" s="319"/>
      <c r="AE52" s="319"/>
      <c r="AF52" s="319"/>
      <c r="AG52" s="319"/>
      <c r="AH52" s="319"/>
      <c r="AI52" s="319"/>
      <c r="AJ52" s="319"/>
      <c r="AK52" s="319"/>
      <c r="AL52" s="319"/>
      <c r="AM52" s="319"/>
      <c r="AN52" s="319"/>
      <c r="AO52" s="340"/>
      <c r="AP52" s="409"/>
      <c r="AU52" s="200"/>
      <c r="AV52" s="594"/>
      <c r="AW52" s="594"/>
      <c r="AX52" s="594"/>
      <c r="AY52" s="594"/>
      <c r="AZ52" s="594"/>
      <c r="BA52" s="594"/>
      <c r="BB52" s="594"/>
      <c r="BC52" s="594"/>
      <c r="BD52" s="594"/>
      <c r="BE52" s="594"/>
      <c r="BF52" s="723"/>
      <c r="BG52" s="723"/>
      <c r="BH52" s="723"/>
      <c r="BI52" s="723"/>
      <c r="BJ52" s="723"/>
      <c r="BK52" s="723"/>
      <c r="BL52" s="723"/>
      <c r="BM52" s="737"/>
      <c r="BN52" s="737"/>
      <c r="BO52" s="737"/>
      <c r="BP52" s="737"/>
      <c r="BQ52" s="737"/>
      <c r="BR52" s="724"/>
      <c r="BS52" s="724"/>
      <c r="BT52" s="724"/>
      <c r="BU52" s="724"/>
      <c r="BV52" s="724"/>
      <c r="BW52" s="724"/>
      <c r="BX52" s="724"/>
      <c r="BY52" s="724"/>
      <c r="BZ52" s="724"/>
      <c r="CA52" s="724"/>
      <c r="CB52" s="718"/>
      <c r="CC52" s="718"/>
      <c r="CD52" s="718"/>
      <c r="CE52" s="718"/>
      <c r="CF52" s="718"/>
      <c r="CG52" s="718"/>
      <c r="CH52" s="718"/>
      <c r="CI52" s="718"/>
      <c r="CJ52" s="718"/>
      <c r="CK52" s="718"/>
      <c r="CL52" s="718"/>
      <c r="CM52" s="200"/>
      <c r="CN52" s="739"/>
      <c r="CO52" s="739"/>
      <c r="CP52" s="739"/>
      <c r="CQ52" s="739"/>
      <c r="CR52" s="739"/>
      <c r="CS52" s="738"/>
      <c r="CT52" s="738"/>
      <c r="CU52" s="738"/>
      <c r="CV52" s="738"/>
      <c r="CW52" s="738"/>
      <c r="CX52" s="738"/>
      <c r="CY52" s="738"/>
      <c r="CZ52" s="738"/>
      <c r="DA52" s="200"/>
      <c r="DB52" s="201"/>
      <c r="DC52" s="201"/>
      <c r="DD52" s="202"/>
      <c r="DE52" s="217"/>
      <c r="DF52" s="217"/>
    </row>
    <row r="53" spans="1:110" ht="9" customHeight="1">
      <c r="A53" s="318"/>
      <c r="B53" s="319"/>
      <c r="C53" s="319"/>
      <c r="D53" s="319"/>
      <c r="E53" s="319"/>
      <c r="F53" s="319"/>
      <c r="G53" s="319"/>
      <c r="H53" s="319"/>
      <c r="I53" s="319"/>
      <c r="J53" s="319"/>
      <c r="K53" s="319"/>
      <c r="L53" s="319"/>
      <c r="M53" s="319"/>
      <c r="N53" s="319"/>
      <c r="O53" s="319"/>
      <c r="P53" s="319"/>
      <c r="Q53" s="319"/>
      <c r="R53" s="319"/>
      <c r="S53" s="319"/>
      <c r="T53" s="319"/>
      <c r="U53" s="320"/>
      <c r="V53" s="319"/>
      <c r="W53" s="319"/>
      <c r="X53" s="319"/>
      <c r="Y53" s="319"/>
      <c r="Z53" s="319"/>
      <c r="AA53" s="319"/>
      <c r="AB53" s="319"/>
      <c r="AC53" s="319"/>
      <c r="AD53" s="319"/>
      <c r="AE53" s="319"/>
      <c r="AF53" s="319"/>
      <c r="AG53" s="319"/>
      <c r="AH53" s="319"/>
      <c r="AI53" s="319"/>
      <c r="AJ53" s="319"/>
      <c r="AK53" s="319"/>
      <c r="AL53" s="319"/>
      <c r="AM53" s="319"/>
      <c r="AN53" s="319"/>
      <c r="AO53" s="340"/>
      <c r="AP53" s="409"/>
      <c r="AU53" s="200"/>
      <c r="AV53" s="594">
        <f>IF(CE7="","",CE7)</f>
      </c>
      <c r="AW53" s="594"/>
      <c r="AX53" s="594"/>
      <c r="AY53" s="594"/>
      <c r="AZ53" s="594"/>
      <c r="BA53" s="594">
        <f>IF(CE9="","",CE9)</f>
      </c>
      <c r="BB53" s="594"/>
      <c r="BC53" s="594"/>
      <c r="BD53" s="594"/>
      <c r="BE53" s="594"/>
      <c r="BF53" s="723">
        <f>IF(BA53="","",BA53-AV53)</f>
      </c>
      <c r="BG53" s="723"/>
      <c r="BH53" s="723"/>
      <c r="BI53" s="723"/>
      <c r="BJ53" s="723"/>
      <c r="BK53" s="723"/>
      <c r="BL53" s="723"/>
      <c r="BM53" s="723">
        <f>IF(CE5="","",'Design (2)'!G27)</f>
      </c>
      <c r="BN53" s="723"/>
      <c r="BO53" s="723"/>
      <c r="BP53" s="723"/>
      <c r="BQ53" s="723"/>
      <c r="BR53" s="724">
        <f>IF(CE5="","",'Design (2)'!N31)</f>
      </c>
      <c r="BS53" s="724"/>
      <c r="BT53" s="724"/>
      <c r="BU53" s="724"/>
      <c r="BV53" s="724"/>
      <c r="BW53" s="724"/>
      <c r="BX53" s="724"/>
      <c r="BY53" s="724"/>
      <c r="BZ53" s="724"/>
      <c r="CA53" s="724"/>
      <c r="CB53" s="718">
        <f>IF(OR(BR53="",BF53=""),"",ROUND(BF53*BR53/27,0))</f>
      </c>
      <c r="CC53" s="718"/>
      <c r="CD53" s="718"/>
      <c r="CE53" s="718"/>
      <c r="CF53" s="718"/>
      <c r="CG53" s="718"/>
      <c r="CH53" s="718"/>
      <c r="CI53" s="718"/>
      <c r="CJ53" s="718"/>
      <c r="CK53" s="718"/>
      <c r="CL53" s="718"/>
      <c r="CM53" s="200"/>
      <c r="CN53" s="739"/>
      <c r="CO53" s="739"/>
      <c r="CP53" s="739"/>
      <c r="CQ53" s="739"/>
      <c r="CR53" s="739"/>
      <c r="CS53" s="738"/>
      <c r="CT53" s="738"/>
      <c r="CU53" s="738"/>
      <c r="CV53" s="738"/>
      <c r="CW53" s="738"/>
      <c r="CX53" s="738"/>
      <c r="CY53" s="738"/>
      <c r="CZ53" s="738"/>
      <c r="DA53" s="200"/>
      <c r="DB53" s="201"/>
      <c r="DC53" s="201"/>
      <c r="DD53" s="202"/>
      <c r="DE53" s="217"/>
      <c r="DF53" s="217"/>
    </row>
    <row r="54" spans="1:110" ht="9" customHeight="1">
      <c r="A54" s="318"/>
      <c r="B54" s="319"/>
      <c r="C54" s="319"/>
      <c r="D54" s="319"/>
      <c r="E54" s="319"/>
      <c r="F54" s="319"/>
      <c r="G54" s="319"/>
      <c r="H54" s="319"/>
      <c r="I54" s="319"/>
      <c r="J54" s="319"/>
      <c r="K54" s="319"/>
      <c r="L54" s="319"/>
      <c r="M54" s="319"/>
      <c r="N54" s="319"/>
      <c r="O54" s="319"/>
      <c r="P54" s="319"/>
      <c r="Q54" s="319"/>
      <c r="R54" s="319"/>
      <c r="S54" s="319"/>
      <c r="T54" s="319"/>
      <c r="U54" s="320"/>
      <c r="V54" s="319"/>
      <c r="W54" s="319"/>
      <c r="X54" s="319"/>
      <c r="Y54" s="319"/>
      <c r="Z54" s="319"/>
      <c r="AA54" s="319"/>
      <c r="AB54" s="319"/>
      <c r="AC54" s="319"/>
      <c r="AD54" s="319"/>
      <c r="AE54" s="319"/>
      <c r="AF54" s="319"/>
      <c r="AG54" s="319"/>
      <c r="AH54" s="319"/>
      <c r="AI54" s="319"/>
      <c r="AJ54" s="319"/>
      <c r="AK54" s="319"/>
      <c r="AL54" s="319"/>
      <c r="AM54" s="319"/>
      <c r="AN54" s="319"/>
      <c r="AO54" s="340"/>
      <c r="AP54" s="409"/>
      <c r="AU54" s="200"/>
      <c r="AV54" s="594"/>
      <c r="AW54" s="594"/>
      <c r="AX54" s="594"/>
      <c r="AY54" s="594"/>
      <c r="AZ54" s="594"/>
      <c r="BA54" s="594"/>
      <c r="BB54" s="594"/>
      <c r="BC54" s="594"/>
      <c r="BD54" s="594"/>
      <c r="BE54" s="594"/>
      <c r="BF54" s="723"/>
      <c r="BG54" s="723"/>
      <c r="BH54" s="723"/>
      <c r="BI54" s="723"/>
      <c r="BJ54" s="723"/>
      <c r="BK54" s="723"/>
      <c r="BL54" s="723"/>
      <c r="BM54" s="723"/>
      <c r="BN54" s="723"/>
      <c r="BO54" s="723"/>
      <c r="BP54" s="723"/>
      <c r="BQ54" s="723"/>
      <c r="BR54" s="724"/>
      <c r="BS54" s="724"/>
      <c r="BT54" s="724"/>
      <c r="BU54" s="724"/>
      <c r="BV54" s="724"/>
      <c r="BW54" s="724"/>
      <c r="BX54" s="724"/>
      <c r="BY54" s="724"/>
      <c r="BZ54" s="724"/>
      <c r="CA54" s="724"/>
      <c r="CB54" s="718"/>
      <c r="CC54" s="718"/>
      <c r="CD54" s="718"/>
      <c r="CE54" s="718"/>
      <c r="CF54" s="718"/>
      <c r="CG54" s="718"/>
      <c r="CH54" s="718"/>
      <c r="CI54" s="718"/>
      <c r="CJ54" s="718"/>
      <c r="CK54" s="718"/>
      <c r="CL54" s="718"/>
      <c r="CM54" s="200"/>
      <c r="CN54" s="739"/>
      <c r="CO54" s="739"/>
      <c r="CP54" s="739"/>
      <c r="CQ54" s="739"/>
      <c r="CR54" s="739"/>
      <c r="CS54" s="738"/>
      <c r="CT54" s="738"/>
      <c r="CU54" s="738"/>
      <c r="CV54" s="738"/>
      <c r="CW54" s="738"/>
      <c r="CX54" s="738"/>
      <c r="CY54" s="738"/>
      <c r="CZ54" s="738"/>
      <c r="DA54" s="200"/>
      <c r="DB54" s="201"/>
      <c r="DC54" s="201"/>
      <c r="DD54" s="202"/>
      <c r="DE54" s="217"/>
      <c r="DF54" s="217"/>
    </row>
    <row r="55" spans="1:110" ht="9" customHeight="1">
      <c r="A55" s="318"/>
      <c r="B55" s="319"/>
      <c r="C55" s="319"/>
      <c r="D55" s="319"/>
      <c r="E55" s="319"/>
      <c r="F55" s="319"/>
      <c r="G55" s="319"/>
      <c r="H55" s="319"/>
      <c r="I55" s="319"/>
      <c r="J55" s="319"/>
      <c r="K55" s="319"/>
      <c r="L55" s="319"/>
      <c r="M55" s="319"/>
      <c r="N55" s="319"/>
      <c r="O55" s="319"/>
      <c r="P55" s="319"/>
      <c r="Q55" s="319"/>
      <c r="R55" s="319"/>
      <c r="S55" s="319"/>
      <c r="T55" s="319"/>
      <c r="U55" s="320"/>
      <c r="V55" s="319"/>
      <c r="W55" s="319"/>
      <c r="X55" s="319"/>
      <c r="Y55" s="319"/>
      <c r="Z55" s="319"/>
      <c r="AA55" s="319"/>
      <c r="AB55" s="319"/>
      <c r="AC55" s="319"/>
      <c r="AD55" s="319"/>
      <c r="AE55" s="319"/>
      <c r="AF55" s="319"/>
      <c r="AG55" s="319"/>
      <c r="AH55" s="319"/>
      <c r="AI55" s="319"/>
      <c r="AJ55" s="319"/>
      <c r="AK55" s="319"/>
      <c r="AL55" s="319"/>
      <c r="AM55" s="319"/>
      <c r="AN55" s="319"/>
      <c r="AO55" s="340"/>
      <c r="AP55" s="409"/>
      <c r="AU55" s="200"/>
      <c r="AV55" s="729"/>
      <c r="AW55" s="729"/>
      <c r="AX55" s="729"/>
      <c r="AY55" s="729"/>
      <c r="AZ55" s="729"/>
      <c r="BA55" s="729"/>
      <c r="BB55" s="729"/>
      <c r="BC55" s="729"/>
      <c r="BD55" s="729"/>
      <c r="BE55" s="729"/>
      <c r="BF55" s="723">
        <f>IF(BA55="","",BA55-AV55)</f>
      </c>
      <c r="BG55" s="723"/>
      <c r="BH55" s="723"/>
      <c r="BI55" s="723"/>
      <c r="BJ55" s="723"/>
      <c r="BK55" s="723"/>
      <c r="BL55" s="723"/>
      <c r="BM55" s="728"/>
      <c r="BN55" s="728"/>
      <c r="BO55" s="728"/>
      <c r="BP55" s="728"/>
      <c r="BQ55" s="728"/>
      <c r="BR55" s="728"/>
      <c r="BS55" s="728"/>
      <c r="BT55" s="728"/>
      <c r="BU55" s="728"/>
      <c r="BV55" s="728"/>
      <c r="BW55" s="728"/>
      <c r="BX55" s="728"/>
      <c r="BY55" s="728"/>
      <c r="BZ55" s="728"/>
      <c r="CA55" s="728"/>
      <c r="CB55" s="718">
        <f>IF(OR(BR55="",BF55=""),"",ROUND(BF55*BR55/27,0))</f>
      </c>
      <c r="CC55" s="718"/>
      <c r="CD55" s="718"/>
      <c r="CE55" s="718"/>
      <c r="CF55" s="718"/>
      <c r="CG55" s="718"/>
      <c r="CH55" s="718"/>
      <c r="CI55" s="718"/>
      <c r="CJ55" s="718"/>
      <c r="CK55" s="718"/>
      <c r="CL55" s="718"/>
      <c r="CM55" s="200"/>
      <c r="CN55" s="739"/>
      <c r="CO55" s="739"/>
      <c r="CP55" s="739"/>
      <c r="CQ55" s="739"/>
      <c r="CR55" s="739"/>
      <c r="CS55" s="738"/>
      <c r="CT55" s="738"/>
      <c r="CU55" s="738"/>
      <c r="CV55" s="738"/>
      <c r="CW55" s="738"/>
      <c r="CX55" s="738"/>
      <c r="CY55" s="738"/>
      <c r="CZ55" s="738"/>
      <c r="DA55" s="200"/>
      <c r="DB55" s="201"/>
      <c r="DC55" s="201"/>
      <c r="DD55" s="202"/>
      <c r="DE55" s="202"/>
      <c r="DF55" s="202"/>
    </row>
    <row r="56" spans="1:110" ht="9" customHeight="1">
      <c r="A56" s="318"/>
      <c r="B56" s="319"/>
      <c r="C56" s="319"/>
      <c r="D56" s="319"/>
      <c r="E56" s="319"/>
      <c r="F56" s="319"/>
      <c r="G56" s="319"/>
      <c r="H56" s="319"/>
      <c r="I56" s="319"/>
      <c r="J56" s="319"/>
      <c r="K56" s="319"/>
      <c r="L56" s="319"/>
      <c r="M56" s="319"/>
      <c r="N56" s="319"/>
      <c r="O56" s="319"/>
      <c r="P56" s="319"/>
      <c r="Q56" s="319"/>
      <c r="R56" s="319"/>
      <c r="S56" s="319"/>
      <c r="T56" s="319"/>
      <c r="U56" s="320"/>
      <c r="V56" s="319"/>
      <c r="W56" s="319"/>
      <c r="X56" s="319"/>
      <c r="Y56" s="319"/>
      <c r="Z56" s="319"/>
      <c r="AA56" s="319"/>
      <c r="AB56" s="319"/>
      <c r="AC56" s="319"/>
      <c r="AD56" s="319"/>
      <c r="AE56" s="319"/>
      <c r="AF56" s="319"/>
      <c r="AG56" s="319"/>
      <c r="AH56" s="319"/>
      <c r="AI56" s="319"/>
      <c r="AJ56" s="319"/>
      <c r="AK56" s="319"/>
      <c r="AL56" s="319"/>
      <c r="AM56" s="319"/>
      <c r="AN56" s="319"/>
      <c r="AO56" s="340"/>
      <c r="AP56" s="409"/>
      <c r="AU56" s="200"/>
      <c r="AV56" s="729"/>
      <c r="AW56" s="729"/>
      <c r="AX56" s="729"/>
      <c r="AY56" s="729"/>
      <c r="AZ56" s="729"/>
      <c r="BA56" s="729"/>
      <c r="BB56" s="729"/>
      <c r="BC56" s="729"/>
      <c r="BD56" s="729"/>
      <c r="BE56" s="729"/>
      <c r="BF56" s="723"/>
      <c r="BG56" s="723"/>
      <c r="BH56" s="723"/>
      <c r="BI56" s="723"/>
      <c r="BJ56" s="723"/>
      <c r="BK56" s="723"/>
      <c r="BL56" s="723"/>
      <c r="BM56" s="728"/>
      <c r="BN56" s="728"/>
      <c r="BO56" s="728"/>
      <c r="BP56" s="728"/>
      <c r="BQ56" s="728"/>
      <c r="BR56" s="728"/>
      <c r="BS56" s="728"/>
      <c r="BT56" s="728"/>
      <c r="BU56" s="728"/>
      <c r="BV56" s="728"/>
      <c r="BW56" s="728"/>
      <c r="BX56" s="728"/>
      <c r="BY56" s="728"/>
      <c r="BZ56" s="728"/>
      <c r="CA56" s="728"/>
      <c r="CB56" s="718"/>
      <c r="CC56" s="718"/>
      <c r="CD56" s="718"/>
      <c r="CE56" s="718"/>
      <c r="CF56" s="718"/>
      <c r="CG56" s="718"/>
      <c r="CH56" s="718"/>
      <c r="CI56" s="718"/>
      <c r="CJ56" s="718"/>
      <c r="CK56" s="718"/>
      <c r="CL56" s="718"/>
      <c r="CM56" s="200"/>
      <c r="CN56" s="739"/>
      <c r="CO56" s="739"/>
      <c r="CP56" s="739"/>
      <c r="CQ56" s="739"/>
      <c r="CR56" s="739"/>
      <c r="CS56" s="738"/>
      <c r="CT56" s="738"/>
      <c r="CU56" s="738"/>
      <c r="CV56" s="738"/>
      <c r="CW56" s="738"/>
      <c r="CX56" s="738"/>
      <c r="CY56" s="738"/>
      <c r="CZ56" s="738"/>
      <c r="DA56" s="200"/>
      <c r="DB56" s="201"/>
      <c r="DC56" s="201"/>
      <c r="DD56" s="202"/>
      <c r="DE56" s="202"/>
      <c r="DF56" s="202"/>
    </row>
    <row r="57" spans="1:110" ht="9" customHeight="1">
      <c r="A57" s="318"/>
      <c r="B57" s="319"/>
      <c r="C57" s="319"/>
      <c r="D57" s="319"/>
      <c r="E57" s="319"/>
      <c r="F57" s="319"/>
      <c r="G57" s="319"/>
      <c r="H57" s="319"/>
      <c r="I57" s="319"/>
      <c r="J57" s="319"/>
      <c r="K57" s="319"/>
      <c r="L57" s="319"/>
      <c r="M57" s="319"/>
      <c r="N57" s="319"/>
      <c r="O57" s="319"/>
      <c r="P57" s="319"/>
      <c r="Q57" s="319"/>
      <c r="R57" s="319"/>
      <c r="S57" s="319"/>
      <c r="T57" s="319"/>
      <c r="U57" s="320"/>
      <c r="V57" s="319"/>
      <c r="W57" s="319"/>
      <c r="X57" s="319"/>
      <c r="Y57" s="319"/>
      <c r="Z57" s="319"/>
      <c r="AA57" s="319"/>
      <c r="AB57" s="319"/>
      <c r="AC57" s="319"/>
      <c r="AD57" s="319"/>
      <c r="AE57" s="319"/>
      <c r="AF57" s="319"/>
      <c r="AG57" s="319"/>
      <c r="AH57" s="319"/>
      <c r="AI57" s="319"/>
      <c r="AJ57" s="319"/>
      <c r="AK57" s="319"/>
      <c r="AL57" s="319"/>
      <c r="AM57" s="319"/>
      <c r="AN57" s="319"/>
      <c r="AO57" s="340"/>
      <c r="AP57" s="409"/>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302"/>
      <c r="BQ57" s="302"/>
      <c r="BR57" s="302"/>
      <c r="BS57" s="302"/>
      <c r="BT57" s="302"/>
      <c r="BU57" s="725" t="s">
        <v>208</v>
      </c>
      <c r="BV57" s="726"/>
      <c r="BW57" s="726"/>
      <c r="BX57" s="726"/>
      <c r="BY57" s="726"/>
      <c r="BZ57" s="726"/>
      <c r="CA57" s="303"/>
      <c r="CB57" s="718">
        <f>IF(CB51="","",SUM(CB51:CL56))</f>
      </c>
      <c r="CC57" s="718"/>
      <c r="CD57" s="718"/>
      <c r="CE57" s="718"/>
      <c r="CF57" s="718"/>
      <c r="CG57" s="718"/>
      <c r="CH57" s="718"/>
      <c r="CI57" s="718"/>
      <c r="CJ57" s="718"/>
      <c r="CK57" s="718"/>
      <c r="CL57" s="718"/>
      <c r="CM57" s="200"/>
      <c r="CN57" s="739"/>
      <c r="CO57" s="739"/>
      <c r="CP57" s="739"/>
      <c r="CQ57" s="739"/>
      <c r="CR57" s="739"/>
      <c r="CS57" s="738"/>
      <c r="CT57" s="738"/>
      <c r="CU57" s="738"/>
      <c r="CV57" s="738"/>
      <c r="CW57" s="738"/>
      <c r="CX57" s="738"/>
      <c r="CY57" s="738"/>
      <c r="CZ57" s="738"/>
      <c r="DA57" s="200"/>
      <c r="DB57" s="201"/>
      <c r="DC57" s="201"/>
      <c r="DD57" s="202"/>
      <c r="DE57" s="202"/>
      <c r="DF57" s="202"/>
    </row>
    <row r="58" spans="1:111" ht="9" customHeight="1">
      <c r="A58" s="318"/>
      <c r="B58" s="319"/>
      <c r="C58" s="319"/>
      <c r="D58" s="319"/>
      <c r="E58" s="319"/>
      <c r="F58" s="319"/>
      <c r="G58" s="319"/>
      <c r="H58" s="319"/>
      <c r="I58" s="319"/>
      <c r="J58" s="319"/>
      <c r="K58" s="319"/>
      <c r="L58" s="319"/>
      <c r="M58" s="319"/>
      <c r="N58" s="319"/>
      <c r="O58" s="319"/>
      <c r="P58" s="319"/>
      <c r="Q58" s="319"/>
      <c r="R58" s="319"/>
      <c r="S58" s="319"/>
      <c r="T58" s="319"/>
      <c r="U58" s="320"/>
      <c r="V58" s="319"/>
      <c r="W58" s="319"/>
      <c r="X58" s="319"/>
      <c r="Y58" s="319"/>
      <c r="Z58" s="319"/>
      <c r="AA58" s="319"/>
      <c r="AB58" s="319"/>
      <c r="AC58" s="319"/>
      <c r="AD58" s="319"/>
      <c r="AE58" s="319"/>
      <c r="AF58" s="319"/>
      <c r="AG58" s="319"/>
      <c r="AH58" s="319"/>
      <c r="AI58" s="319"/>
      <c r="AJ58" s="319"/>
      <c r="AK58" s="319"/>
      <c r="AL58" s="319"/>
      <c r="AM58" s="319"/>
      <c r="AN58" s="319"/>
      <c r="AO58" s="340"/>
      <c r="AP58" s="409"/>
      <c r="AU58" s="200"/>
      <c r="AV58" s="730" t="s">
        <v>276</v>
      </c>
      <c r="AW58" s="730"/>
      <c r="AX58" s="730"/>
      <c r="AY58" s="730"/>
      <c r="AZ58" s="730"/>
      <c r="BA58" s="730"/>
      <c r="BB58" s="730"/>
      <c r="BC58" s="730"/>
      <c r="BD58" s="730"/>
      <c r="BE58" s="730"/>
      <c r="BF58" s="731"/>
      <c r="BG58" s="490"/>
      <c r="BH58" s="720">
        <f>IF(BW5="","",'Design (1)'!N32)</f>
      </c>
      <c r="BI58" s="721"/>
      <c r="BJ58" s="721"/>
      <c r="BK58" s="721"/>
      <c r="BL58" s="721"/>
      <c r="BM58" s="324"/>
      <c r="BS58" s="254"/>
      <c r="BT58" s="254"/>
      <c r="BU58" s="727"/>
      <c r="BV58" s="727"/>
      <c r="BW58" s="727"/>
      <c r="BX58" s="727"/>
      <c r="BY58" s="727"/>
      <c r="BZ58" s="727"/>
      <c r="CA58" s="304"/>
      <c r="CB58" s="718"/>
      <c r="CC58" s="718"/>
      <c r="CD58" s="718"/>
      <c r="CE58" s="718"/>
      <c r="CF58" s="718"/>
      <c r="CG58" s="718"/>
      <c r="CH58" s="718"/>
      <c r="CI58" s="718"/>
      <c r="CJ58" s="718"/>
      <c r="CK58" s="718"/>
      <c r="CL58" s="718"/>
      <c r="CM58" s="200"/>
      <c r="DA58" s="200"/>
      <c r="DB58" s="201"/>
      <c r="DC58" s="201"/>
      <c r="DD58" s="202"/>
      <c r="DE58" s="202"/>
      <c r="DF58" s="202"/>
      <c r="DG58" s="202"/>
    </row>
    <row r="59" spans="1:111" ht="9" customHeight="1">
      <c r="A59" s="321"/>
      <c r="B59" s="322"/>
      <c r="C59" s="322"/>
      <c r="D59" s="322"/>
      <c r="E59" s="322"/>
      <c r="F59" s="322"/>
      <c r="G59" s="322"/>
      <c r="H59" s="322"/>
      <c r="I59" s="322"/>
      <c r="J59" s="322"/>
      <c r="K59" s="322"/>
      <c r="L59" s="322"/>
      <c r="M59" s="322"/>
      <c r="N59" s="322"/>
      <c r="O59" s="322"/>
      <c r="P59" s="322"/>
      <c r="Q59" s="322"/>
      <c r="R59" s="322"/>
      <c r="S59" s="322"/>
      <c r="T59" s="322"/>
      <c r="U59" s="323"/>
      <c r="V59" s="322"/>
      <c r="W59" s="322"/>
      <c r="X59" s="322"/>
      <c r="Y59" s="322"/>
      <c r="Z59" s="322"/>
      <c r="AA59" s="322"/>
      <c r="AB59" s="322"/>
      <c r="AC59" s="322"/>
      <c r="AD59" s="322"/>
      <c r="AE59" s="322"/>
      <c r="AF59" s="322"/>
      <c r="AG59" s="322"/>
      <c r="AH59" s="322"/>
      <c r="AI59" s="322"/>
      <c r="AJ59" s="322"/>
      <c r="AK59" s="322"/>
      <c r="AL59" s="322"/>
      <c r="AM59" s="322"/>
      <c r="AN59" s="322"/>
      <c r="AO59" s="411"/>
      <c r="AP59" s="410"/>
      <c r="AU59" s="200"/>
      <c r="AV59" s="730"/>
      <c r="AW59" s="730"/>
      <c r="AX59" s="730"/>
      <c r="AY59" s="730"/>
      <c r="AZ59" s="730"/>
      <c r="BA59" s="730"/>
      <c r="BB59" s="730"/>
      <c r="BC59" s="730"/>
      <c r="BD59" s="730"/>
      <c r="BE59" s="730"/>
      <c r="BF59" s="731"/>
      <c r="BG59" s="490"/>
      <c r="BH59" s="722"/>
      <c r="BI59" s="722"/>
      <c r="BJ59" s="722"/>
      <c r="BK59" s="722"/>
      <c r="BL59" s="722"/>
      <c r="BM59" s="324"/>
      <c r="BS59" s="345"/>
      <c r="BT59" s="345"/>
      <c r="BU59" s="345"/>
      <c r="BV59" s="345"/>
      <c r="BW59" s="345"/>
      <c r="BX59" s="345"/>
      <c r="BY59" s="345"/>
      <c r="BZ59" s="345"/>
      <c r="CA59" s="345"/>
      <c r="CB59" s="428"/>
      <c r="CC59" s="428"/>
      <c r="CD59" s="428"/>
      <c r="CE59" s="428"/>
      <c r="CF59" s="428"/>
      <c r="CG59" s="428"/>
      <c r="CH59" s="428"/>
      <c r="CI59" s="428"/>
      <c r="CJ59" s="428"/>
      <c r="CK59" s="428"/>
      <c r="CL59" s="428"/>
      <c r="CM59" s="200"/>
      <c r="DA59" s="200"/>
      <c r="DB59" s="201"/>
      <c r="DC59" s="201"/>
      <c r="DD59" s="202"/>
      <c r="DE59" s="202"/>
      <c r="DF59" s="202"/>
      <c r="DG59" s="202"/>
    </row>
    <row r="60" spans="1:107" ht="9"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345"/>
      <c r="BQ60" s="345"/>
      <c r="BR60" s="345"/>
      <c r="BS60" s="345"/>
      <c r="BT60" s="345"/>
      <c r="BU60" s="345"/>
      <c r="BV60" s="345"/>
      <c r="BW60" s="345"/>
      <c r="BX60" s="345"/>
      <c r="BY60" s="345"/>
      <c r="BZ60" s="345"/>
      <c r="CA60" s="345"/>
      <c r="CB60" s="430"/>
      <c r="CC60" s="430"/>
      <c r="CD60" s="430"/>
      <c r="CE60" s="430"/>
      <c r="CF60" s="430"/>
      <c r="CG60" s="430"/>
      <c r="CH60" s="430"/>
      <c r="CI60" s="430"/>
      <c r="CJ60" s="430"/>
      <c r="CK60" s="430"/>
      <c r="CL60" s="430"/>
      <c r="CM60" s="200"/>
      <c r="DA60" s="200"/>
      <c r="DB60" s="201"/>
      <c r="DC60" s="201"/>
    </row>
    <row r="61" spans="1:107" ht="9" customHeight="1">
      <c r="A61" s="200"/>
      <c r="B61" s="200"/>
      <c r="C61" s="200"/>
      <c r="D61" s="673" t="s">
        <v>187</v>
      </c>
      <c r="E61" s="467"/>
      <c r="F61" s="467"/>
      <c r="G61" s="467"/>
      <c r="H61" s="467"/>
      <c r="I61" s="467"/>
      <c r="J61" s="467"/>
      <c r="K61" s="467"/>
      <c r="L61" s="467"/>
      <c r="M61" s="467"/>
      <c r="N61" s="467"/>
      <c r="O61" s="467"/>
      <c r="P61" s="467"/>
      <c r="Q61" s="201"/>
      <c r="T61" s="201"/>
      <c r="U61" s="797" t="s">
        <v>186</v>
      </c>
      <c r="V61" s="514"/>
      <c r="W61" s="514"/>
      <c r="X61" s="514"/>
      <c r="Y61" s="514"/>
      <c r="Z61" s="514"/>
      <c r="AA61" s="514"/>
      <c r="AB61" s="514"/>
      <c r="AC61" s="793"/>
      <c r="AD61" s="793"/>
      <c r="AE61" s="793"/>
      <c r="AF61" s="793"/>
      <c r="AG61" s="793"/>
      <c r="AH61" s="793"/>
      <c r="AI61" s="793"/>
      <c r="AJ61" s="793"/>
      <c r="AK61" s="793"/>
      <c r="AL61" s="793"/>
      <c r="AQ61" s="201"/>
      <c r="AR61" s="201"/>
      <c r="AS61" s="201"/>
      <c r="AT61" s="201"/>
      <c r="AU61" s="200"/>
      <c r="AV61" s="674" t="s">
        <v>320</v>
      </c>
      <c r="AW61" s="453"/>
      <c r="AX61" s="453"/>
      <c r="AY61" s="453"/>
      <c r="AZ61" s="453"/>
      <c r="BA61" s="453"/>
      <c r="BB61" s="453"/>
      <c r="BC61" s="453"/>
      <c r="BD61" s="453"/>
      <c r="BE61" s="453"/>
      <c r="BF61" s="453"/>
      <c r="BG61" s="453"/>
      <c r="BH61" s="453"/>
      <c r="BI61" s="453"/>
      <c r="BJ61" s="453"/>
      <c r="BK61" s="453"/>
      <c r="BL61" s="453"/>
      <c r="BM61" s="453"/>
      <c r="BN61" s="453"/>
      <c r="BO61" s="453"/>
      <c r="BP61" s="453"/>
      <c r="BQ61" s="453"/>
      <c r="BR61" s="453"/>
      <c r="BS61" s="453"/>
      <c r="CM61" s="200"/>
      <c r="CN61" s="188"/>
      <c r="CO61" s="188"/>
      <c r="CP61" s="188"/>
      <c r="CQ61" s="188"/>
      <c r="CR61" s="188"/>
      <c r="CS61" s="188"/>
      <c r="CT61" s="188"/>
      <c r="CU61" s="188"/>
      <c r="CV61" s="188"/>
      <c r="CW61" s="188"/>
      <c r="CX61" s="188"/>
      <c r="CY61" s="200"/>
      <c r="CZ61" s="200"/>
      <c r="DA61" s="200"/>
      <c r="DB61" s="201"/>
      <c r="DC61" s="201"/>
    </row>
    <row r="62" spans="1:106" ht="9" customHeight="1">
      <c r="A62" s="200"/>
      <c r="B62" s="200"/>
      <c r="C62" s="200"/>
      <c r="D62" s="467"/>
      <c r="E62" s="467"/>
      <c r="F62" s="467"/>
      <c r="G62" s="467"/>
      <c r="H62" s="467"/>
      <c r="I62" s="467"/>
      <c r="J62" s="467"/>
      <c r="K62" s="467"/>
      <c r="L62" s="467"/>
      <c r="M62" s="467"/>
      <c r="N62" s="467"/>
      <c r="O62" s="467"/>
      <c r="P62" s="467"/>
      <c r="Q62" s="201"/>
      <c r="T62" s="201"/>
      <c r="U62" s="514"/>
      <c r="V62" s="514"/>
      <c r="W62" s="514"/>
      <c r="X62" s="514"/>
      <c r="Y62" s="514"/>
      <c r="Z62" s="514"/>
      <c r="AA62" s="514"/>
      <c r="AB62" s="514"/>
      <c r="AC62" s="794"/>
      <c r="AD62" s="794"/>
      <c r="AE62" s="794"/>
      <c r="AF62" s="794"/>
      <c r="AG62" s="794"/>
      <c r="AH62" s="794"/>
      <c r="AI62" s="794"/>
      <c r="AJ62" s="794"/>
      <c r="AK62" s="794"/>
      <c r="AL62" s="794"/>
      <c r="AQ62" s="201"/>
      <c r="AR62" s="201"/>
      <c r="AS62" s="201"/>
      <c r="AT62" s="201"/>
      <c r="AU62" s="200"/>
      <c r="AV62" s="453"/>
      <c r="AW62" s="453"/>
      <c r="AX62" s="453"/>
      <c r="AY62" s="453"/>
      <c r="AZ62" s="453"/>
      <c r="BA62" s="453"/>
      <c r="BB62" s="453"/>
      <c r="BC62" s="453"/>
      <c r="BD62" s="453"/>
      <c r="BE62" s="453"/>
      <c r="BF62" s="453"/>
      <c r="BG62" s="453"/>
      <c r="BH62" s="453"/>
      <c r="BI62" s="453"/>
      <c r="BJ62" s="453"/>
      <c r="BK62" s="453"/>
      <c r="BL62" s="453"/>
      <c r="BM62" s="453"/>
      <c r="BN62" s="453"/>
      <c r="BO62" s="453"/>
      <c r="BP62" s="453"/>
      <c r="BQ62" s="453"/>
      <c r="BR62" s="453"/>
      <c r="BS62" s="453"/>
      <c r="CM62" s="200"/>
      <c r="DA62" s="200"/>
      <c r="DB62" s="201"/>
    </row>
    <row r="63" spans="1:106" ht="9" customHeight="1">
      <c r="A63" s="200"/>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18"/>
      <c r="AB63" s="218"/>
      <c r="AC63" s="218"/>
      <c r="AD63" s="218"/>
      <c r="AE63" s="218"/>
      <c r="AF63" s="218"/>
      <c r="AG63" s="218"/>
      <c r="AH63" s="218"/>
      <c r="AI63" s="200"/>
      <c r="AJ63" s="200"/>
      <c r="AK63" s="200"/>
      <c r="AL63" s="200"/>
      <c r="AM63" s="200"/>
      <c r="AN63" s="200"/>
      <c r="AO63" s="200"/>
      <c r="AP63" s="200"/>
      <c r="AQ63" s="218"/>
      <c r="AR63" s="218"/>
      <c r="AS63" s="218"/>
      <c r="AT63" s="218"/>
      <c r="AU63" s="198"/>
      <c r="AV63" s="816" t="s">
        <v>192</v>
      </c>
      <c r="AW63" s="816"/>
      <c r="AX63" s="816"/>
      <c r="AY63" s="816"/>
      <c r="AZ63" s="816"/>
      <c r="BA63" s="816"/>
      <c r="BB63" s="816"/>
      <c r="BC63" s="816"/>
      <c r="BD63" s="816"/>
      <c r="BE63" s="816"/>
      <c r="BF63" s="816"/>
      <c r="BG63" s="816"/>
      <c r="BH63" s="816"/>
      <c r="BI63" s="816"/>
      <c r="BJ63" s="816"/>
      <c r="BK63" s="816"/>
      <c r="BL63" s="816"/>
      <c r="BM63" s="816"/>
      <c r="BN63" s="816"/>
      <c r="BO63" s="816"/>
      <c r="BP63" s="816"/>
      <c r="BQ63" s="816"/>
      <c r="BR63" s="816"/>
      <c r="BS63" s="816"/>
      <c r="BT63" s="816"/>
      <c r="BU63" s="816"/>
      <c r="BV63" s="816"/>
      <c r="BW63" s="816"/>
      <c r="BX63" s="816"/>
      <c r="BY63" s="816"/>
      <c r="BZ63" s="816"/>
      <c r="CA63" s="816"/>
      <c r="CB63" s="816"/>
      <c r="CC63" s="816"/>
      <c r="CD63" s="816"/>
      <c r="CE63" s="816"/>
      <c r="CF63" s="816"/>
      <c r="CG63" s="816"/>
      <c r="CH63" s="816"/>
      <c r="CI63" s="816"/>
      <c r="CJ63" s="816"/>
      <c r="CK63" s="816"/>
      <c r="CL63" s="816"/>
      <c r="CM63" s="816"/>
      <c r="CN63" s="816"/>
      <c r="CO63" s="816"/>
      <c r="CP63" s="816"/>
      <c r="CQ63" s="816"/>
      <c r="CR63" s="816"/>
      <c r="CS63" s="816"/>
      <c r="CT63" s="816"/>
      <c r="CU63" s="816"/>
      <c r="CV63" s="816"/>
      <c r="CW63" s="816"/>
      <c r="CX63" s="816"/>
      <c r="DA63" s="200"/>
      <c r="DB63" s="201"/>
    </row>
    <row r="64" spans="1:121" ht="9" customHeight="1">
      <c r="A64" s="788" t="s">
        <v>147</v>
      </c>
      <c r="B64" s="789"/>
      <c r="C64" s="789"/>
      <c r="D64" s="789"/>
      <c r="E64" s="789"/>
      <c r="F64" s="789"/>
      <c r="G64" s="789"/>
      <c r="H64" s="789"/>
      <c r="I64" s="789"/>
      <c r="J64" s="793"/>
      <c r="K64" s="793"/>
      <c r="L64" s="793"/>
      <c r="M64" s="793"/>
      <c r="N64" s="793"/>
      <c r="O64" s="793"/>
      <c r="P64" s="793"/>
      <c r="Q64" s="793"/>
      <c r="R64" s="793"/>
      <c r="S64" s="793"/>
      <c r="T64" s="793"/>
      <c r="U64" s="793"/>
      <c r="V64" s="793"/>
      <c r="W64" s="793"/>
      <c r="X64" s="793"/>
      <c r="Y64" s="793"/>
      <c r="Z64" s="793"/>
      <c r="AA64" s="219"/>
      <c r="AB64" s="219"/>
      <c r="AC64" s="219"/>
      <c r="AD64" s="705" t="s">
        <v>130</v>
      </c>
      <c r="AE64" s="702"/>
      <c r="AF64" s="702"/>
      <c r="AG64" s="702"/>
      <c r="AH64" s="702"/>
      <c r="AI64" s="815"/>
      <c r="AJ64" s="815"/>
      <c r="AK64" s="815"/>
      <c r="AL64" s="815"/>
      <c r="AM64" s="815"/>
      <c r="AN64" s="815"/>
      <c r="AO64" s="815"/>
      <c r="AP64" s="815"/>
      <c r="AQ64" s="221"/>
      <c r="AR64" s="221"/>
      <c r="AS64" s="222"/>
      <c r="AT64" s="222"/>
      <c r="AU64" s="198"/>
      <c r="AV64" s="816"/>
      <c r="AW64" s="816"/>
      <c r="AX64" s="816"/>
      <c r="AY64" s="816"/>
      <c r="AZ64" s="816"/>
      <c r="BA64" s="816"/>
      <c r="BB64" s="816"/>
      <c r="BC64" s="816"/>
      <c r="BD64" s="816"/>
      <c r="BE64" s="816"/>
      <c r="BF64" s="816"/>
      <c r="BG64" s="816"/>
      <c r="BH64" s="816"/>
      <c r="BI64" s="816"/>
      <c r="BJ64" s="816"/>
      <c r="BK64" s="816"/>
      <c r="BL64" s="816"/>
      <c r="BM64" s="816"/>
      <c r="BN64" s="816"/>
      <c r="BO64" s="816"/>
      <c r="BP64" s="816"/>
      <c r="BQ64" s="816"/>
      <c r="BR64" s="816"/>
      <c r="BS64" s="816"/>
      <c r="BT64" s="816"/>
      <c r="BU64" s="816"/>
      <c r="BV64" s="816"/>
      <c r="BW64" s="816"/>
      <c r="BX64" s="816"/>
      <c r="BY64" s="816"/>
      <c r="BZ64" s="816"/>
      <c r="CA64" s="816"/>
      <c r="CB64" s="816"/>
      <c r="CC64" s="816"/>
      <c r="CD64" s="816"/>
      <c r="CE64" s="816"/>
      <c r="CF64" s="816"/>
      <c r="CG64" s="816"/>
      <c r="CH64" s="816"/>
      <c r="CI64" s="816"/>
      <c r="CJ64" s="816"/>
      <c r="CK64" s="816"/>
      <c r="CL64" s="816"/>
      <c r="CM64" s="816"/>
      <c r="CN64" s="816"/>
      <c r="CO64" s="816"/>
      <c r="CP64" s="816"/>
      <c r="CQ64" s="816"/>
      <c r="CR64" s="816"/>
      <c r="CS64" s="816"/>
      <c r="CT64" s="816"/>
      <c r="CU64" s="816"/>
      <c r="CV64" s="816"/>
      <c r="CW64" s="816"/>
      <c r="CX64" s="816"/>
      <c r="CZ64" s="200"/>
      <c r="DA64" s="200"/>
      <c r="DB64" s="201"/>
      <c r="DC64" s="201"/>
      <c r="DD64" s="202"/>
      <c r="DE64" s="202"/>
      <c r="DF64" s="202"/>
      <c r="DG64" s="202"/>
      <c r="DH64" s="202"/>
      <c r="DI64" s="202"/>
      <c r="DJ64" s="202"/>
      <c r="DK64" s="202"/>
      <c r="DL64" s="202"/>
      <c r="DM64" s="202"/>
      <c r="DN64" s="202"/>
      <c r="DO64" s="202"/>
      <c r="DP64" s="202"/>
      <c r="DQ64" s="202"/>
    </row>
    <row r="65" spans="1:114" ht="9" customHeight="1">
      <c r="A65" s="789"/>
      <c r="B65" s="789"/>
      <c r="C65" s="789"/>
      <c r="D65" s="789"/>
      <c r="E65" s="789"/>
      <c r="F65" s="789"/>
      <c r="G65" s="789"/>
      <c r="H65" s="789"/>
      <c r="I65" s="789"/>
      <c r="J65" s="794"/>
      <c r="K65" s="794"/>
      <c r="L65" s="794"/>
      <c r="M65" s="794"/>
      <c r="N65" s="794"/>
      <c r="O65" s="794"/>
      <c r="P65" s="794"/>
      <c r="Q65" s="794"/>
      <c r="R65" s="794"/>
      <c r="S65" s="794"/>
      <c r="T65" s="794"/>
      <c r="U65" s="794"/>
      <c r="V65" s="794"/>
      <c r="W65" s="794"/>
      <c r="X65" s="794"/>
      <c r="Y65" s="794"/>
      <c r="Z65" s="794"/>
      <c r="AA65" s="220"/>
      <c r="AB65" s="220"/>
      <c r="AC65" s="220"/>
      <c r="AD65" s="702"/>
      <c r="AE65" s="702"/>
      <c r="AF65" s="702"/>
      <c r="AG65" s="702"/>
      <c r="AH65" s="702"/>
      <c r="AI65" s="707"/>
      <c r="AJ65" s="707"/>
      <c r="AK65" s="707"/>
      <c r="AL65" s="707"/>
      <c r="AM65" s="707"/>
      <c r="AN65" s="707"/>
      <c r="AO65" s="707"/>
      <c r="AP65" s="707"/>
      <c r="AQ65" s="223"/>
      <c r="AR65" s="223"/>
      <c r="AS65" s="224"/>
      <c r="AT65" s="224"/>
      <c r="AU65" s="198"/>
      <c r="AV65" s="188"/>
      <c r="AW65" s="610" t="s">
        <v>241</v>
      </c>
      <c r="AX65" s="610"/>
      <c r="AY65" s="610"/>
      <c r="AZ65" s="610"/>
      <c r="BA65" s="610"/>
      <c r="BB65" s="610"/>
      <c r="BC65" s="610"/>
      <c r="BD65" s="610"/>
      <c r="BE65" s="498"/>
      <c r="BF65" s="498"/>
      <c r="BG65" s="498"/>
      <c r="BH65" s="498"/>
      <c r="BI65" s="498"/>
      <c r="BJ65" s="498"/>
      <c r="BK65" s="719">
        <f>IF(BW5="","",BW5)</f>
      </c>
      <c r="BL65" s="500"/>
      <c r="BM65" s="500"/>
      <c r="BN65" s="500"/>
      <c r="BS65" s="1"/>
      <c r="BT65" s="1"/>
      <c r="BU65" s="1"/>
      <c r="BV65" s="188"/>
      <c r="BW65" s="188"/>
      <c r="BX65" s="188"/>
      <c r="BY65" s="188"/>
      <c r="BZ65" s="188"/>
      <c r="CA65" s="610" t="s">
        <v>241</v>
      </c>
      <c r="CB65" s="610"/>
      <c r="CC65" s="610"/>
      <c r="CD65" s="610"/>
      <c r="CE65" s="610"/>
      <c r="CF65" s="610"/>
      <c r="CG65" s="610"/>
      <c r="CH65" s="610"/>
      <c r="CI65" s="498"/>
      <c r="CJ65" s="498"/>
      <c r="CK65" s="498"/>
      <c r="CL65" s="498"/>
      <c r="CM65" s="498"/>
      <c r="CN65" s="498"/>
      <c r="CO65" s="719">
        <f>IF(CE5="","",CE5)</f>
      </c>
      <c r="CP65" s="719"/>
      <c r="CQ65" s="719"/>
      <c r="CR65" s="719"/>
      <c r="CS65" s="188"/>
      <c r="CZ65" s="200"/>
      <c r="DA65" s="200"/>
      <c r="DB65" s="201"/>
      <c r="DC65" s="201"/>
      <c r="DD65" s="202"/>
      <c r="DE65" s="202"/>
      <c r="DF65" s="202"/>
      <c r="DG65" s="202"/>
      <c r="DH65" s="202"/>
      <c r="DI65" s="202"/>
      <c r="DJ65" s="202"/>
    </row>
    <row r="66" spans="1:109" ht="9" customHeight="1">
      <c r="A66" s="225"/>
      <c r="B66" s="225"/>
      <c r="C66" s="225"/>
      <c r="D66" s="225"/>
      <c r="E66" s="225"/>
      <c r="F66" s="225"/>
      <c r="G66" s="225"/>
      <c r="H66" s="225"/>
      <c r="I66" s="225"/>
      <c r="J66" s="399"/>
      <c r="K66" s="399"/>
      <c r="L66" s="399"/>
      <c r="M66" s="399"/>
      <c r="N66" s="399"/>
      <c r="O66" s="399"/>
      <c r="P66" s="399"/>
      <c r="Q66" s="399"/>
      <c r="R66" s="399"/>
      <c r="S66" s="399"/>
      <c r="T66" s="399"/>
      <c r="U66" s="399"/>
      <c r="V66" s="399"/>
      <c r="W66" s="399"/>
      <c r="X66" s="399"/>
      <c r="Y66" s="399"/>
      <c r="Z66" s="399"/>
      <c r="AA66" s="227"/>
      <c r="AB66" s="227"/>
      <c r="AC66" s="227"/>
      <c r="AD66" s="227"/>
      <c r="AE66" s="227"/>
      <c r="AF66" s="227"/>
      <c r="AG66" s="227"/>
      <c r="AH66" s="227"/>
      <c r="AI66" s="399"/>
      <c r="AJ66" s="218"/>
      <c r="AK66" s="399"/>
      <c r="AL66" s="399"/>
      <c r="AM66" s="399"/>
      <c r="AN66" s="399"/>
      <c r="AO66" s="399"/>
      <c r="AP66" s="399"/>
      <c r="AQ66" s="227"/>
      <c r="AR66" s="227"/>
      <c r="AS66" s="227"/>
      <c r="AT66" s="227"/>
      <c r="AU66" s="198"/>
      <c r="AV66" s="188"/>
      <c r="AW66" s="610"/>
      <c r="AX66" s="610"/>
      <c r="AY66" s="610"/>
      <c r="AZ66" s="610"/>
      <c r="BA66" s="610"/>
      <c r="BB66" s="610"/>
      <c r="BC66" s="610"/>
      <c r="BD66" s="610"/>
      <c r="BE66" s="498"/>
      <c r="BF66" s="498"/>
      <c r="BG66" s="498"/>
      <c r="BH66" s="498"/>
      <c r="BI66" s="498"/>
      <c r="BJ66" s="498"/>
      <c r="BK66" s="661"/>
      <c r="BL66" s="661"/>
      <c r="BM66" s="661"/>
      <c r="BN66" s="661"/>
      <c r="BV66" s="188"/>
      <c r="BW66" s="188"/>
      <c r="BX66" s="188"/>
      <c r="BY66" s="188"/>
      <c r="BZ66" s="188"/>
      <c r="CA66" s="610"/>
      <c r="CB66" s="610"/>
      <c r="CC66" s="610"/>
      <c r="CD66" s="610"/>
      <c r="CE66" s="610"/>
      <c r="CF66" s="610"/>
      <c r="CG66" s="610"/>
      <c r="CH66" s="610"/>
      <c r="CI66" s="498"/>
      <c r="CJ66" s="498"/>
      <c r="CK66" s="498"/>
      <c r="CL66" s="498"/>
      <c r="CM66" s="498"/>
      <c r="CN66" s="498"/>
      <c r="CO66" s="697"/>
      <c r="CP66" s="697"/>
      <c r="CQ66" s="697"/>
      <c r="CR66" s="697"/>
      <c r="CS66" s="188"/>
      <c r="CX66" s="188"/>
      <c r="CY66" s="200"/>
      <c r="CZ66" s="200"/>
      <c r="DA66" s="200"/>
      <c r="DB66" s="201"/>
      <c r="DC66" s="201"/>
      <c r="DD66" s="202"/>
      <c r="DE66" s="202"/>
    </row>
    <row r="67" spans="1:109" ht="9" customHeight="1">
      <c r="A67" s="788" t="s">
        <v>131</v>
      </c>
      <c r="B67" s="789"/>
      <c r="C67" s="789"/>
      <c r="D67" s="789"/>
      <c r="E67" s="789"/>
      <c r="F67" s="789"/>
      <c r="G67" s="789"/>
      <c r="H67" s="789"/>
      <c r="I67" s="789"/>
      <c r="J67" s="802">
        <f>IF(OR(BW5="",'Hyd Sum'!G8=""),"",'Hyd Sum'!G8)</f>
      </c>
      <c r="K67" s="803"/>
      <c r="L67" s="803"/>
      <c r="M67" s="803"/>
      <c r="N67" s="803"/>
      <c r="O67" s="803"/>
      <c r="P67" s="803"/>
      <c r="Q67" s="803"/>
      <c r="R67" s="803"/>
      <c r="S67" s="803"/>
      <c r="T67" s="803"/>
      <c r="U67" s="803"/>
      <c r="V67" s="803"/>
      <c r="W67" s="803"/>
      <c r="X67" s="803"/>
      <c r="Y67" s="803"/>
      <c r="Z67" s="803"/>
      <c r="AA67" s="204"/>
      <c r="AB67" s="204"/>
      <c r="AC67" s="204"/>
      <c r="AD67" s="705" t="s">
        <v>130</v>
      </c>
      <c r="AE67" s="702"/>
      <c r="AF67" s="702"/>
      <c r="AG67" s="702"/>
      <c r="AH67" s="702"/>
      <c r="AI67" s="799">
        <f>IF(OR(BW5="",'Hyd Sum'!W8=""),"",'Hyd Sum'!W8)</f>
      </c>
      <c r="AJ67" s="800"/>
      <c r="AK67" s="800"/>
      <c r="AL67" s="800"/>
      <c r="AM67" s="800"/>
      <c r="AN67" s="800"/>
      <c r="AO67" s="800"/>
      <c r="AP67" s="800"/>
      <c r="AQ67" s="228"/>
      <c r="AR67" s="228"/>
      <c r="AS67" s="228"/>
      <c r="AT67" s="228"/>
      <c r="AU67" s="198"/>
      <c r="AV67" s="188"/>
      <c r="AW67" s="188"/>
      <c r="AX67" s="188"/>
      <c r="AY67" s="188"/>
      <c r="AZ67" s="188"/>
      <c r="BA67" s="188"/>
      <c r="BB67" s="192"/>
      <c r="BC67" s="192"/>
      <c r="BD67" s="192"/>
      <c r="BE67" s="192"/>
      <c r="BF67" s="199"/>
      <c r="BG67" s="192"/>
      <c r="BH67" s="192"/>
      <c r="BI67" s="192"/>
      <c r="BJ67" s="192"/>
      <c r="BK67" s="199"/>
      <c r="BL67" s="192"/>
      <c r="BM67" s="192"/>
      <c r="BN67" s="192"/>
      <c r="BO67" s="192"/>
      <c r="BP67" s="199"/>
      <c r="BQ67" s="192"/>
      <c r="BR67" s="192"/>
      <c r="BS67" s="192"/>
      <c r="BT67" s="192"/>
      <c r="BU67" s="199"/>
      <c r="BV67" s="188"/>
      <c r="BW67" s="188"/>
      <c r="BX67" s="188"/>
      <c r="BY67" s="188"/>
      <c r="BZ67" s="188"/>
      <c r="CA67" s="188"/>
      <c r="CB67" s="188"/>
      <c r="CC67" s="188"/>
      <c r="CD67" s="188"/>
      <c r="CE67" s="188"/>
      <c r="CF67" s="192"/>
      <c r="CG67" s="192"/>
      <c r="CH67" s="192"/>
      <c r="CI67" s="192"/>
      <c r="CJ67" s="199"/>
      <c r="CK67" s="192"/>
      <c r="CL67" s="192"/>
      <c r="CM67" s="192"/>
      <c r="CN67" s="192"/>
      <c r="CO67" s="199"/>
      <c r="CP67" s="192"/>
      <c r="CQ67" s="192"/>
      <c r="CR67" s="192"/>
      <c r="CS67" s="192"/>
      <c r="CT67" s="199"/>
      <c r="CU67" s="192"/>
      <c r="CV67" s="192"/>
      <c r="CW67" s="192"/>
      <c r="CX67" s="188"/>
      <c r="CY67" s="200"/>
      <c r="CZ67" s="200"/>
      <c r="DA67" s="200"/>
      <c r="DB67" s="201"/>
      <c r="DC67" s="201"/>
      <c r="DD67" s="202"/>
      <c r="DE67" s="202"/>
    </row>
    <row r="68" spans="1:111" ht="9" customHeight="1">
      <c r="A68" s="789"/>
      <c r="B68" s="789"/>
      <c r="C68" s="789"/>
      <c r="D68" s="789"/>
      <c r="E68" s="789"/>
      <c r="F68" s="789"/>
      <c r="G68" s="789"/>
      <c r="H68" s="789"/>
      <c r="I68" s="789"/>
      <c r="J68" s="804"/>
      <c r="K68" s="804"/>
      <c r="L68" s="804"/>
      <c r="M68" s="804"/>
      <c r="N68" s="804"/>
      <c r="O68" s="804"/>
      <c r="P68" s="804"/>
      <c r="Q68" s="804"/>
      <c r="R68" s="804"/>
      <c r="S68" s="804"/>
      <c r="T68" s="804"/>
      <c r="U68" s="804"/>
      <c r="V68" s="804"/>
      <c r="W68" s="804"/>
      <c r="X68" s="804"/>
      <c r="Y68" s="804"/>
      <c r="Z68" s="804"/>
      <c r="AA68" s="204"/>
      <c r="AB68" s="204"/>
      <c r="AC68" s="204"/>
      <c r="AD68" s="702"/>
      <c r="AE68" s="702"/>
      <c r="AF68" s="702"/>
      <c r="AG68" s="702"/>
      <c r="AH68" s="702"/>
      <c r="AI68" s="801"/>
      <c r="AJ68" s="801"/>
      <c r="AK68" s="801"/>
      <c r="AL68" s="801"/>
      <c r="AM68" s="801"/>
      <c r="AN68" s="801"/>
      <c r="AO68" s="801"/>
      <c r="AP68" s="801"/>
      <c r="AQ68" s="228"/>
      <c r="AR68" s="228"/>
      <c r="AS68" s="228"/>
      <c r="AT68" s="228"/>
      <c r="AU68" s="198"/>
      <c r="AV68" s="188"/>
      <c r="AW68" s="188"/>
      <c r="AX68" s="188"/>
      <c r="AY68" s="188"/>
      <c r="AZ68" s="188"/>
      <c r="BA68" s="188"/>
      <c r="BB68" s="191"/>
      <c r="BC68" s="191"/>
      <c r="BD68" s="191"/>
      <c r="BE68" s="191"/>
      <c r="BF68" s="191"/>
      <c r="BG68" s="191"/>
      <c r="BH68" s="191"/>
      <c r="BI68" s="191"/>
      <c r="BJ68" s="191"/>
      <c r="BK68" s="191"/>
      <c r="BL68" s="191"/>
      <c r="BM68" s="191"/>
      <c r="BN68" s="191"/>
      <c r="BO68" s="191"/>
      <c r="BP68" s="191"/>
      <c r="BQ68" s="191"/>
      <c r="BR68" s="191"/>
      <c r="BS68" s="191"/>
      <c r="BT68" s="191"/>
      <c r="BU68" s="191"/>
      <c r="BV68" s="188"/>
      <c r="BW68" s="188"/>
      <c r="BX68" s="188"/>
      <c r="BY68" s="188"/>
      <c r="BZ68" s="188"/>
      <c r="CA68" s="188"/>
      <c r="CB68" s="188"/>
      <c r="CC68" s="188"/>
      <c r="CD68" s="188"/>
      <c r="CE68" s="188"/>
      <c r="CF68" s="191"/>
      <c r="CG68" s="191"/>
      <c r="CH68" s="191"/>
      <c r="CI68" s="191"/>
      <c r="CJ68" s="191"/>
      <c r="CK68" s="191"/>
      <c r="CL68" s="191"/>
      <c r="CM68" s="191"/>
      <c r="CN68" s="191"/>
      <c r="CO68" s="191"/>
      <c r="CP68" s="191"/>
      <c r="CQ68" s="191"/>
      <c r="CR68" s="191"/>
      <c r="CS68" s="191"/>
      <c r="CT68" s="191"/>
      <c r="CU68" s="191"/>
      <c r="CV68" s="191"/>
      <c r="CW68" s="191"/>
      <c r="CX68" s="192"/>
      <c r="CY68" s="200"/>
      <c r="CZ68" s="200"/>
      <c r="DA68" s="200"/>
      <c r="DB68" s="201"/>
      <c r="DC68" s="201"/>
      <c r="DD68" s="202"/>
      <c r="DE68" s="202"/>
      <c r="DF68" s="202"/>
      <c r="DG68" s="202"/>
    </row>
    <row r="69" spans="1:111" ht="9" customHeight="1">
      <c r="A69" s="225"/>
      <c r="B69" s="225"/>
      <c r="C69" s="225"/>
      <c r="D69" s="225"/>
      <c r="E69" s="225"/>
      <c r="F69" s="225"/>
      <c r="G69" s="225"/>
      <c r="H69" s="225"/>
      <c r="I69" s="225"/>
      <c r="J69" s="226"/>
      <c r="K69" s="226"/>
      <c r="L69" s="226"/>
      <c r="M69" s="226"/>
      <c r="N69" s="226"/>
      <c r="O69" s="226"/>
      <c r="P69" s="226"/>
      <c r="Q69" s="226"/>
      <c r="R69" s="226"/>
      <c r="S69" s="226"/>
      <c r="T69" s="226"/>
      <c r="U69" s="226"/>
      <c r="V69" s="226"/>
      <c r="W69" s="226"/>
      <c r="X69" s="226"/>
      <c r="Y69" s="226"/>
      <c r="Z69" s="226"/>
      <c r="AA69" s="227"/>
      <c r="AB69" s="227"/>
      <c r="AC69" s="227"/>
      <c r="AD69" s="227"/>
      <c r="AE69" s="227"/>
      <c r="AF69" s="227"/>
      <c r="AG69" s="227"/>
      <c r="AH69" s="227"/>
      <c r="AI69" s="225"/>
      <c r="AJ69" s="200"/>
      <c r="AK69" s="225"/>
      <c r="AL69" s="225"/>
      <c r="AM69" s="225"/>
      <c r="AN69" s="225"/>
      <c r="AO69" s="225"/>
      <c r="AP69" s="225"/>
      <c r="AQ69" s="227"/>
      <c r="AR69" s="227"/>
      <c r="AS69" s="227"/>
      <c r="AT69" s="227"/>
      <c r="AU69" s="198"/>
      <c r="AV69" s="188"/>
      <c r="AW69" s="188"/>
      <c r="AX69" s="188"/>
      <c r="AY69" s="188"/>
      <c r="AZ69" s="188"/>
      <c r="BA69" s="188"/>
      <c r="BB69" s="188"/>
      <c r="BC69" s="717">
        <f>BW43</f>
      </c>
      <c r="BD69" s="717"/>
      <c r="BE69" s="717"/>
      <c r="BF69" s="325"/>
      <c r="BG69" s="325"/>
      <c r="BH69" s="188"/>
      <c r="BI69" s="188"/>
      <c r="BJ69" s="188"/>
      <c r="BK69" s="188"/>
      <c r="BL69" s="188"/>
      <c r="BM69" s="188"/>
      <c r="BN69" s="188"/>
      <c r="BO69" s="188"/>
      <c r="BP69" s="188"/>
      <c r="BQ69" s="188"/>
      <c r="BR69" s="188"/>
      <c r="BS69" s="188"/>
      <c r="BT69" s="188"/>
      <c r="BU69" s="188"/>
      <c r="BV69" s="188"/>
      <c r="BW69" s="188"/>
      <c r="BX69" s="188"/>
      <c r="BY69" s="188"/>
      <c r="BZ69" s="188"/>
      <c r="CA69" s="188"/>
      <c r="CB69" s="188"/>
      <c r="CC69" s="188"/>
      <c r="CD69" s="188"/>
      <c r="CE69" s="188"/>
      <c r="CF69" s="188"/>
      <c r="CG69" s="717">
        <f>CE43</f>
      </c>
      <c r="CH69" s="717"/>
      <c r="CI69" s="717"/>
      <c r="CJ69" s="325"/>
      <c r="CK69" s="325"/>
      <c r="CL69" s="188"/>
      <c r="CM69" s="188"/>
      <c r="CN69" s="188"/>
      <c r="CO69" s="188"/>
      <c r="CP69" s="188"/>
      <c r="CQ69" s="188"/>
      <c r="CR69" s="188"/>
      <c r="CS69" s="188"/>
      <c r="CT69" s="188"/>
      <c r="CU69" s="188"/>
      <c r="CV69" s="188"/>
      <c r="CW69" s="188"/>
      <c r="CX69" s="191"/>
      <c r="CY69" s="200"/>
      <c r="CZ69" s="200"/>
      <c r="DA69" s="200"/>
      <c r="DB69" s="201"/>
      <c r="DC69" s="201"/>
      <c r="DD69" s="202"/>
      <c r="DE69" s="202"/>
      <c r="DF69" s="202"/>
      <c r="DG69" s="202"/>
    </row>
    <row r="70" spans="1:111" ht="9" customHeight="1">
      <c r="A70" s="701" t="s">
        <v>133</v>
      </c>
      <c r="B70" s="702"/>
      <c r="C70" s="702"/>
      <c r="D70" s="702"/>
      <c r="E70" s="702"/>
      <c r="F70" s="702"/>
      <c r="G70" s="702"/>
      <c r="H70" s="702"/>
      <c r="I70" s="702"/>
      <c r="J70" s="793"/>
      <c r="K70" s="793"/>
      <c r="L70" s="793"/>
      <c r="M70" s="793"/>
      <c r="N70" s="793"/>
      <c r="O70" s="793"/>
      <c r="P70" s="793"/>
      <c r="Q70" s="793"/>
      <c r="R70" s="793"/>
      <c r="S70" s="793"/>
      <c r="T70" s="793"/>
      <c r="U70" s="793"/>
      <c r="V70" s="793"/>
      <c r="W70" s="793"/>
      <c r="X70" s="793"/>
      <c r="Y70" s="793"/>
      <c r="Z70" s="793"/>
      <c r="AA70" s="228"/>
      <c r="AB70" s="228"/>
      <c r="AC70" s="228"/>
      <c r="AD70" s="705" t="s">
        <v>130</v>
      </c>
      <c r="AE70" s="702"/>
      <c r="AF70" s="702"/>
      <c r="AG70" s="702"/>
      <c r="AH70" s="702"/>
      <c r="AI70" s="706"/>
      <c r="AJ70" s="706"/>
      <c r="AK70" s="706"/>
      <c r="AL70" s="706"/>
      <c r="AM70" s="706"/>
      <c r="AN70" s="706"/>
      <c r="AO70" s="706"/>
      <c r="AP70" s="706"/>
      <c r="AQ70" s="229"/>
      <c r="AR70" s="229"/>
      <c r="AS70" s="229"/>
      <c r="AT70" s="229"/>
      <c r="AU70" s="198"/>
      <c r="AV70" s="188"/>
      <c r="AW70" s="188"/>
      <c r="AX70" s="188"/>
      <c r="AY70" s="188"/>
      <c r="AZ70" s="188"/>
      <c r="BA70" s="188"/>
      <c r="BB70" s="188"/>
      <c r="BC70" s="717"/>
      <c r="BD70" s="717"/>
      <c r="BE70" s="717"/>
      <c r="BF70" s="325"/>
      <c r="BG70" s="325"/>
      <c r="BH70" s="188"/>
      <c r="BI70" s="188"/>
      <c r="BJ70" s="188"/>
      <c r="BK70" s="188"/>
      <c r="BL70" s="188"/>
      <c r="BM70" s="188"/>
      <c r="BN70" s="188"/>
      <c r="BO70" s="188"/>
      <c r="BP70" s="188"/>
      <c r="BQ70" s="188"/>
      <c r="BR70" s="188"/>
      <c r="BS70" s="188"/>
      <c r="BT70" s="188"/>
      <c r="BU70" s="188"/>
      <c r="BV70" s="188"/>
      <c r="BW70" s="188"/>
      <c r="BX70" s="188"/>
      <c r="BY70" s="188"/>
      <c r="BZ70" s="188"/>
      <c r="CA70" s="188"/>
      <c r="CB70" s="188"/>
      <c r="CC70" s="188"/>
      <c r="CD70" s="188"/>
      <c r="CE70" s="188"/>
      <c r="CF70" s="188"/>
      <c r="CG70" s="717"/>
      <c r="CH70" s="717"/>
      <c r="CI70" s="717"/>
      <c r="CJ70" s="325"/>
      <c r="CK70" s="325"/>
      <c r="CL70" s="188"/>
      <c r="CM70" s="188"/>
      <c r="CN70" s="188"/>
      <c r="CO70" s="188"/>
      <c r="CP70" s="188"/>
      <c r="CQ70" s="188"/>
      <c r="CR70" s="188"/>
      <c r="CS70" s="188"/>
      <c r="CT70" s="188"/>
      <c r="CU70" s="188"/>
      <c r="CV70" s="188"/>
      <c r="CW70" s="188"/>
      <c r="CX70" s="188"/>
      <c r="CY70" s="200"/>
      <c r="CZ70" s="200"/>
      <c r="DA70" s="200"/>
      <c r="DB70" s="201"/>
      <c r="DC70" s="201"/>
      <c r="DD70" s="202"/>
      <c r="DE70" s="202"/>
      <c r="DF70" s="202"/>
      <c r="DG70" s="202"/>
    </row>
    <row r="71" spans="1:111" ht="9" customHeight="1">
      <c r="A71" s="702"/>
      <c r="B71" s="702"/>
      <c r="C71" s="702"/>
      <c r="D71" s="702"/>
      <c r="E71" s="702"/>
      <c r="F71" s="702"/>
      <c r="G71" s="702"/>
      <c r="H71" s="702"/>
      <c r="I71" s="702"/>
      <c r="J71" s="794"/>
      <c r="K71" s="794"/>
      <c r="L71" s="794"/>
      <c r="M71" s="794"/>
      <c r="N71" s="794"/>
      <c r="O71" s="794"/>
      <c r="P71" s="794"/>
      <c r="Q71" s="794"/>
      <c r="R71" s="794"/>
      <c r="S71" s="794"/>
      <c r="T71" s="794"/>
      <c r="U71" s="794"/>
      <c r="V71" s="794"/>
      <c r="W71" s="794"/>
      <c r="X71" s="794"/>
      <c r="Y71" s="794"/>
      <c r="Z71" s="794"/>
      <c r="AA71" s="228"/>
      <c r="AB71" s="228"/>
      <c r="AC71" s="228"/>
      <c r="AD71" s="702"/>
      <c r="AE71" s="702"/>
      <c r="AF71" s="702"/>
      <c r="AG71" s="702"/>
      <c r="AH71" s="702"/>
      <c r="AI71" s="707"/>
      <c r="AJ71" s="707"/>
      <c r="AK71" s="707"/>
      <c r="AL71" s="707"/>
      <c r="AM71" s="707"/>
      <c r="AN71" s="707"/>
      <c r="AO71" s="707"/>
      <c r="AP71" s="707"/>
      <c r="AQ71" s="229"/>
      <c r="AR71" s="229"/>
      <c r="AS71" s="229"/>
      <c r="AT71" s="229"/>
      <c r="AU71" s="198"/>
      <c r="AV71" s="188"/>
      <c r="AW71" s="198"/>
      <c r="AX71" s="400"/>
      <c r="AY71" s="400"/>
      <c r="AZ71" s="400"/>
      <c r="BA71" s="198"/>
      <c r="BB71" s="198"/>
      <c r="BC71" s="400"/>
      <c r="BD71" s="400"/>
      <c r="BE71" s="198"/>
      <c r="BF71" s="198"/>
      <c r="BG71" s="400"/>
      <c r="BH71" s="400"/>
      <c r="BI71" s="400"/>
      <c r="BJ71" s="198"/>
      <c r="BK71" s="198"/>
      <c r="BL71" s="401"/>
      <c r="BM71" s="198"/>
      <c r="BN71" s="198"/>
      <c r="BO71" s="400"/>
      <c r="BP71" s="400"/>
      <c r="BQ71" s="400"/>
      <c r="BR71" s="198"/>
      <c r="BS71" s="198"/>
      <c r="BT71" s="198"/>
      <c r="BU71" s="198"/>
      <c r="BV71" s="198"/>
      <c r="BW71" s="198"/>
      <c r="BX71" s="198"/>
      <c r="BY71" s="198"/>
      <c r="BZ71" s="198"/>
      <c r="CA71" s="198"/>
      <c r="CB71" s="400"/>
      <c r="CC71" s="400"/>
      <c r="CD71" s="400"/>
      <c r="CE71" s="198"/>
      <c r="CF71" s="198"/>
      <c r="CG71" s="400"/>
      <c r="CH71" s="400"/>
      <c r="CI71" s="198"/>
      <c r="CJ71" s="198"/>
      <c r="CK71" s="400"/>
      <c r="CL71" s="400"/>
      <c r="CM71" s="400"/>
      <c r="CN71" s="198"/>
      <c r="CO71" s="198"/>
      <c r="CP71" s="401"/>
      <c r="CQ71" s="198"/>
      <c r="CR71" s="198"/>
      <c r="CS71" s="400"/>
      <c r="CT71" s="400"/>
      <c r="CU71" s="400"/>
      <c r="CV71" s="198"/>
      <c r="CW71" s="198"/>
      <c r="CX71" s="188"/>
      <c r="CY71" s="200"/>
      <c r="CZ71" s="200"/>
      <c r="DA71" s="200"/>
      <c r="DB71" s="201"/>
      <c r="DC71" s="201"/>
      <c r="DD71" s="202"/>
      <c r="DE71" s="202"/>
      <c r="DF71" s="202"/>
      <c r="DG71" s="202"/>
    </row>
    <row r="72" spans="1:111" ht="9" customHeight="1">
      <c r="A72" s="225"/>
      <c r="B72" s="225"/>
      <c r="C72" s="225"/>
      <c r="D72" s="225"/>
      <c r="E72" s="225"/>
      <c r="F72" s="225"/>
      <c r="G72" s="225"/>
      <c r="H72" s="225"/>
      <c r="I72" s="225"/>
      <c r="J72" s="226"/>
      <c r="K72" s="226"/>
      <c r="L72" s="226"/>
      <c r="M72" s="226"/>
      <c r="N72" s="226"/>
      <c r="O72" s="226"/>
      <c r="P72" s="226"/>
      <c r="Q72" s="226"/>
      <c r="R72" s="226"/>
      <c r="S72" s="226"/>
      <c r="T72" s="226"/>
      <c r="U72" s="226"/>
      <c r="V72" s="226"/>
      <c r="W72" s="226"/>
      <c r="X72" s="226"/>
      <c r="Y72" s="226"/>
      <c r="Z72" s="226"/>
      <c r="AA72" s="227"/>
      <c r="AB72" s="227"/>
      <c r="AC72" s="227"/>
      <c r="AD72" s="227"/>
      <c r="AE72" s="227"/>
      <c r="AF72" s="227"/>
      <c r="AG72" s="227"/>
      <c r="AH72" s="227"/>
      <c r="AI72" s="225"/>
      <c r="AJ72" s="200"/>
      <c r="AK72" s="225"/>
      <c r="AL72" s="225"/>
      <c r="AM72" s="225"/>
      <c r="AN72" s="225"/>
      <c r="AO72" s="225"/>
      <c r="AP72" s="225"/>
      <c r="AQ72" s="227"/>
      <c r="AR72" s="227"/>
      <c r="AS72" s="227"/>
      <c r="AT72" s="227"/>
      <c r="AU72" s="198"/>
      <c r="AV72" s="188"/>
      <c r="AW72" s="198"/>
      <c r="AX72" s="704">
        <f>IF(BW23="","",BW23)</f>
      </c>
      <c r="AY72" s="704"/>
      <c r="AZ72" s="704" t="s">
        <v>138</v>
      </c>
      <c r="BA72" s="198"/>
      <c r="BB72" s="704">
        <f>IF(BW29="","",BW29)</f>
      </c>
      <c r="BC72" s="704"/>
      <c r="BD72" s="704"/>
      <c r="BE72" s="704"/>
      <c r="BF72" s="198"/>
      <c r="BG72" s="704">
        <f>IF(BW25="","",BW25)</f>
      </c>
      <c r="BH72" s="704"/>
      <c r="BI72" s="704" t="s">
        <v>138</v>
      </c>
      <c r="BJ72" s="198"/>
      <c r="BK72" s="817">
        <f>IF(BW37="","",BW37)</f>
      </c>
      <c r="BL72" s="817"/>
      <c r="BM72" s="817"/>
      <c r="BN72" s="198"/>
      <c r="BO72" s="704">
        <f>IF(BW27="","",BW27)</f>
      </c>
      <c r="BP72" s="704"/>
      <c r="BQ72" s="704" t="s">
        <v>138</v>
      </c>
      <c r="BR72" s="198"/>
      <c r="BS72" s="198"/>
      <c r="BT72" s="198"/>
      <c r="BU72" s="198"/>
      <c r="BV72" s="198"/>
      <c r="BW72" s="198"/>
      <c r="BX72" s="198"/>
      <c r="BY72" s="198"/>
      <c r="BZ72" s="198"/>
      <c r="CA72" s="198"/>
      <c r="CB72" s="704">
        <f>IF(CE23="","",CE23)</f>
      </c>
      <c r="CC72" s="704"/>
      <c r="CD72" s="704" t="s">
        <v>138</v>
      </c>
      <c r="CE72" s="198"/>
      <c r="CF72" s="704">
        <f>IF(CE29="","",CE29)</f>
      </c>
      <c r="CG72" s="704"/>
      <c r="CH72" s="704"/>
      <c r="CI72" s="704"/>
      <c r="CJ72" s="198"/>
      <c r="CK72" s="704">
        <f>IF(CE25="","",CE25)</f>
      </c>
      <c r="CL72" s="704"/>
      <c r="CM72" s="704" t="s">
        <v>138</v>
      </c>
      <c r="CN72" s="198"/>
      <c r="CO72" s="817">
        <f>IF(CE37="","",CE37)</f>
      </c>
      <c r="CP72" s="817"/>
      <c r="CQ72" s="817"/>
      <c r="CR72" s="198"/>
      <c r="CS72" s="704">
        <f>IF(CE27="","",CE27)</f>
      </c>
      <c r="CT72" s="704"/>
      <c r="CU72" s="704" t="s">
        <v>138</v>
      </c>
      <c r="CV72" s="198"/>
      <c r="CW72" s="198"/>
      <c r="CX72" s="188"/>
      <c r="CY72" s="200"/>
      <c r="CZ72" s="200"/>
      <c r="DA72" s="200"/>
      <c r="DB72" s="201"/>
      <c r="DC72" s="201"/>
      <c r="DD72" s="202"/>
      <c r="DE72" s="202"/>
      <c r="DF72" s="202"/>
      <c r="DG72" s="202"/>
    </row>
    <row r="73" spans="1:111" ht="9" customHeight="1">
      <c r="A73" s="701" t="s">
        <v>185</v>
      </c>
      <c r="B73" s="702"/>
      <c r="C73" s="702"/>
      <c r="D73" s="702"/>
      <c r="E73" s="702"/>
      <c r="F73" s="702"/>
      <c r="G73" s="702"/>
      <c r="H73" s="702"/>
      <c r="I73" s="702"/>
      <c r="J73" s="793"/>
      <c r="K73" s="793"/>
      <c r="L73" s="793"/>
      <c r="M73" s="793"/>
      <c r="N73" s="793"/>
      <c r="O73" s="793"/>
      <c r="P73" s="793"/>
      <c r="Q73" s="793"/>
      <c r="R73" s="793"/>
      <c r="S73" s="793"/>
      <c r="T73" s="793"/>
      <c r="U73" s="793"/>
      <c r="V73" s="793"/>
      <c r="W73" s="793"/>
      <c r="X73" s="793"/>
      <c r="Y73" s="793"/>
      <c r="Z73" s="793"/>
      <c r="AA73" s="228"/>
      <c r="AB73" s="228"/>
      <c r="AC73" s="228"/>
      <c r="AD73" s="705" t="s">
        <v>130</v>
      </c>
      <c r="AE73" s="702"/>
      <c r="AF73" s="702"/>
      <c r="AG73" s="702"/>
      <c r="AH73" s="702"/>
      <c r="AI73" s="706"/>
      <c r="AJ73" s="706"/>
      <c r="AK73" s="706"/>
      <c r="AL73" s="706"/>
      <c r="AM73" s="706"/>
      <c r="AN73" s="706"/>
      <c r="AO73" s="706"/>
      <c r="AP73" s="706"/>
      <c r="AQ73" s="229"/>
      <c r="AR73" s="229"/>
      <c r="AS73" s="229"/>
      <c r="AT73" s="229"/>
      <c r="AU73" s="198"/>
      <c r="AV73" s="188"/>
      <c r="AW73" s="198"/>
      <c r="AX73" s="704"/>
      <c r="AY73" s="704"/>
      <c r="AZ73" s="704"/>
      <c r="BA73" s="198"/>
      <c r="BB73" s="704"/>
      <c r="BC73" s="704"/>
      <c r="BD73" s="704"/>
      <c r="BE73" s="704"/>
      <c r="BF73" s="198"/>
      <c r="BG73" s="704"/>
      <c r="BH73" s="704"/>
      <c r="BI73" s="704"/>
      <c r="BJ73" s="198"/>
      <c r="BK73" s="817"/>
      <c r="BL73" s="817"/>
      <c r="BM73" s="817"/>
      <c r="BN73" s="198"/>
      <c r="BO73" s="704"/>
      <c r="BP73" s="704"/>
      <c r="BQ73" s="704"/>
      <c r="BR73" s="198"/>
      <c r="BS73" s="198"/>
      <c r="BT73" s="198"/>
      <c r="BU73" s="198"/>
      <c r="BV73" s="198"/>
      <c r="BW73" s="198"/>
      <c r="BX73" s="198"/>
      <c r="BY73" s="198"/>
      <c r="BZ73" s="198"/>
      <c r="CA73" s="198"/>
      <c r="CB73" s="704"/>
      <c r="CC73" s="704"/>
      <c r="CD73" s="704"/>
      <c r="CE73" s="400"/>
      <c r="CF73" s="704"/>
      <c r="CG73" s="704"/>
      <c r="CH73" s="704"/>
      <c r="CI73" s="704"/>
      <c r="CJ73" s="198"/>
      <c r="CK73" s="704"/>
      <c r="CL73" s="704"/>
      <c r="CM73" s="704"/>
      <c r="CN73" s="198"/>
      <c r="CO73" s="817"/>
      <c r="CP73" s="817"/>
      <c r="CQ73" s="817"/>
      <c r="CR73" s="198"/>
      <c r="CS73" s="704"/>
      <c r="CT73" s="704"/>
      <c r="CU73" s="704"/>
      <c r="CV73" s="198"/>
      <c r="CW73" s="198"/>
      <c r="CX73" s="188"/>
      <c r="CY73" s="200"/>
      <c r="CZ73" s="200"/>
      <c r="DA73" s="200"/>
      <c r="DB73" s="201"/>
      <c r="DC73" s="201"/>
      <c r="DD73" s="202"/>
      <c r="DE73" s="202"/>
      <c r="DF73" s="202"/>
      <c r="DG73" s="202"/>
    </row>
    <row r="74" spans="1:111" ht="9" customHeight="1">
      <c r="A74" s="702"/>
      <c r="B74" s="702"/>
      <c r="C74" s="702"/>
      <c r="D74" s="702"/>
      <c r="E74" s="702"/>
      <c r="F74" s="702"/>
      <c r="G74" s="702"/>
      <c r="H74" s="702"/>
      <c r="I74" s="702"/>
      <c r="J74" s="794"/>
      <c r="K74" s="794"/>
      <c r="L74" s="794"/>
      <c r="M74" s="794"/>
      <c r="N74" s="794"/>
      <c r="O74" s="794"/>
      <c r="P74" s="794"/>
      <c r="Q74" s="794"/>
      <c r="R74" s="794"/>
      <c r="S74" s="794"/>
      <c r="T74" s="794"/>
      <c r="U74" s="794"/>
      <c r="V74" s="794"/>
      <c r="W74" s="794"/>
      <c r="X74" s="794"/>
      <c r="Y74" s="794"/>
      <c r="Z74" s="794"/>
      <c r="AA74" s="228"/>
      <c r="AB74" s="228"/>
      <c r="AC74" s="228"/>
      <c r="AD74" s="702"/>
      <c r="AE74" s="702"/>
      <c r="AF74" s="702"/>
      <c r="AG74" s="702"/>
      <c r="AH74" s="702"/>
      <c r="AI74" s="707"/>
      <c r="AJ74" s="707"/>
      <c r="AK74" s="707"/>
      <c r="AL74" s="707"/>
      <c r="AM74" s="707"/>
      <c r="AN74" s="707"/>
      <c r="AO74" s="707"/>
      <c r="AP74" s="707"/>
      <c r="AQ74" s="229"/>
      <c r="AR74" s="229"/>
      <c r="AS74" s="229"/>
      <c r="AT74" s="229"/>
      <c r="AU74" s="198"/>
      <c r="AV74" s="188"/>
      <c r="AW74" s="198"/>
      <c r="AX74" s="704"/>
      <c r="AY74" s="704"/>
      <c r="AZ74" s="704"/>
      <c r="BA74" s="198"/>
      <c r="BB74" s="704"/>
      <c r="BC74" s="704"/>
      <c r="BD74" s="704"/>
      <c r="BE74" s="704"/>
      <c r="BF74" s="198"/>
      <c r="BG74" s="704"/>
      <c r="BH74" s="704"/>
      <c r="BI74" s="704"/>
      <c r="BJ74" s="198"/>
      <c r="BK74" s="817"/>
      <c r="BL74" s="817"/>
      <c r="BM74" s="817"/>
      <c r="BN74" s="198"/>
      <c r="BO74" s="704"/>
      <c r="BP74" s="704"/>
      <c r="BQ74" s="704"/>
      <c r="BR74" s="198"/>
      <c r="BS74" s="198"/>
      <c r="BT74" s="198"/>
      <c r="BU74" s="198"/>
      <c r="BV74" s="198"/>
      <c r="BW74" s="198"/>
      <c r="BX74" s="198"/>
      <c r="BY74" s="198"/>
      <c r="BZ74" s="198"/>
      <c r="CA74" s="198"/>
      <c r="CB74" s="704"/>
      <c r="CC74" s="704"/>
      <c r="CD74" s="704"/>
      <c r="CE74" s="198"/>
      <c r="CF74" s="704"/>
      <c r="CG74" s="704"/>
      <c r="CH74" s="704"/>
      <c r="CI74" s="704"/>
      <c r="CJ74" s="198"/>
      <c r="CK74" s="704"/>
      <c r="CL74" s="704"/>
      <c r="CM74" s="704"/>
      <c r="CN74" s="198"/>
      <c r="CO74" s="817"/>
      <c r="CP74" s="817"/>
      <c r="CQ74" s="817"/>
      <c r="CR74" s="198"/>
      <c r="CS74" s="704"/>
      <c r="CT74" s="704"/>
      <c r="CU74" s="704"/>
      <c r="CV74" s="198"/>
      <c r="CW74" s="198"/>
      <c r="CX74" s="188"/>
      <c r="CY74" s="200"/>
      <c r="CZ74" s="200"/>
      <c r="DA74" s="200"/>
      <c r="DB74" s="201"/>
      <c r="DC74" s="201"/>
      <c r="DD74" s="202"/>
      <c r="DE74" s="202"/>
      <c r="DF74" s="202"/>
      <c r="DG74" s="202"/>
    </row>
    <row r="75" spans="1:111" ht="9" customHeight="1">
      <c r="A75" s="225"/>
      <c r="B75" s="225"/>
      <c r="C75" s="225"/>
      <c r="D75" s="225"/>
      <c r="E75" s="225"/>
      <c r="F75" s="225"/>
      <c r="G75" s="225"/>
      <c r="H75" s="225"/>
      <c r="I75" s="225"/>
      <c r="J75" s="226"/>
      <c r="K75" s="226"/>
      <c r="L75" s="226"/>
      <c r="M75" s="226"/>
      <c r="N75" s="226"/>
      <c r="O75" s="226"/>
      <c r="P75" s="226"/>
      <c r="Q75" s="226"/>
      <c r="R75" s="226"/>
      <c r="S75" s="226"/>
      <c r="T75" s="226"/>
      <c r="U75" s="226"/>
      <c r="V75" s="226"/>
      <c r="W75" s="226"/>
      <c r="X75" s="226"/>
      <c r="Y75" s="226"/>
      <c r="Z75" s="226"/>
      <c r="AA75" s="225"/>
      <c r="AB75" s="225"/>
      <c r="AC75" s="225"/>
      <c r="AD75" s="225"/>
      <c r="AE75" s="225"/>
      <c r="AF75" s="225"/>
      <c r="AG75" s="225"/>
      <c r="AH75" s="225"/>
      <c r="AI75" s="226"/>
      <c r="AJ75" s="200"/>
      <c r="AK75" s="226"/>
      <c r="AL75" s="226"/>
      <c r="AM75" s="226"/>
      <c r="AN75" s="226"/>
      <c r="AO75" s="226"/>
      <c r="AP75" s="226"/>
      <c r="AQ75" s="227"/>
      <c r="AR75" s="227"/>
      <c r="AS75" s="227"/>
      <c r="AT75" s="227"/>
      <c r="AU75" s="198"/>
      <c r="AW75" s="355"/>
      <c r="AX75" s="355"/>
      <c r="AY75" s="355"/>
      <c r="AZ75" s="355"/>
      <c r="BA75" s="355"/>
      <c r="BB75" s="355"/>
      <c r="BC75" s="355"/>
      <c r="BD75" s="355"/>
      <c r="BE75" s="355"/>
      <c r="BF75" s="355"/>
      <c r="BG75" s="355"/>
      <c r="BH75" s="355"/>
      <c r="BI75" s="355"/>
      <c r="BJ75" s="355"/>
      <c r="BK75" s="355"/>
      <c r="BL75" s="355"/>
      <c r="BM75" s="355"/>
      <c r="BN75" s="355"/>
      <c r="BO75" s="355"/>
      <c r="BP75" s="355"/>
      <c r="BQ75" s="355"/>
      <c r="BR75" s="355"/>
      <c r="BS75" s="355"/>
      <c r="BT75" s="355"/>
      <c r="BU75" s="355"/>
      <c r="BV75" s="355"/>
      <c r="BW75" s="355"/>
      <c r="BX75" s="355"/>
      <c r="BY75" s="355"/>
      <c r="BZ75" s="355"/>
      <c r="CA75" s="355"/>
      <c r="CB75" s="355"/>
      <c r="CC75" s="355"/>
      <c r="CD75" s="355"/>
      <c r="CE75" s="355"/>
      <c r="CF75" s="355"/>
      <c r="CG75" s="355"/>
      <c r="CH75" s="355"/>
      <c r="CI75" s="355"/>
      <c r="CJ75" s="355"/>
      <c r="CK75" s="355"/>
      <c r="CL75" s="355"/>
      <c r="CM75" s="355"/>
      <c r="CN75" s="355"/>
      <c r="CO75" s="355"/>
      <c r="CP75" s="355"/>
      <c r="CQ75" s="355"/>
      <c r="CR75" s="355"/>
      <c r="CS75" s="355"/>
      <c r="CT75" s="355"/>
      <c r="CU75" s="355"/>
      <c r="CV75" s="355"/>
      <c r="CW75" s="355"/>
      <c r="CY75" s="200"/>
      <c r="CZ75" s="200"/>
      <c r="DA75" s="200"/>
      <c r="DB75" s="201"/>
      <c r="DC75" s="201"/>
      <c r="DD75" s="202"/>
      <c r="DE75" s="202"/>
      <c r="DF75" s="202"/>
      <c r="DG75" s="202"/>
    </row>
    <row r="76" spans="1:111" ht="9" customHeight="1">
      <c r="A76" s="200"/>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6"/>
      <c r="AR76" s="206"/>
      <c r="AS76" s="206"/>
      <c r="AT76" s="206"/>
      <c r="AU76" s="198"/>
      <c r="CY76" s="200"/>
      <c r="CZ76" s="200"/>
      <c r="DA76" s="200"/>
      <c r="DB76" s="201"/>
      <c r="DC76" s="201"/>
      <c r="DD76" s="202"/>
      <c r="DE76" s="202"/>
      <c r="DF76" s="202"/>
      <c r="DG76" s="202"/>
    </row>
    <row r="77" spans="1:111" ht="9" customHeight="1">
      <c r="A77" s="200"/>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18"/>
      <c r="AR77" s="218"/>
      <c r="AS77" s="218"/>
      <c r="AT77" s="218"/>
      <c r="AU77" s="198"/>
      <c r="CX77" s="188"/>
      <c r="CY77" s="200"/>
      <c r="CZ77" s="200"/>
      <c r="DA77" s="200"/>
      <c r="DB77" s="201"/>
      <c r="DC77" s="201"/>
      <c r="DD77" s="202"/>
      <c r="DE77" s="202"/>
      <c r="DF77" s="202"/>
      <c r="DG77" s="202"/>
    </row>
    <row r="78" spans="1:107" ht="9" customHeight="1">
      <c r="A78" s="610" t="s">
        <v>127</v>
      </c>
      <c r="B78" s="610"/>
      <c r="C78" s="610"/>
      <c r="D78" s="610"/>
      <c r="E78" s="610"/>
      <c r="F78" s="692">
        <f>IF(J4="","",J4)</f>
      </c>
      <c r="G78" s="617"/>
      <c r="H78" s="617"/>
      <c r="I78" s="617"/>
      <c r="J78" s="617"/>
      <c r="K78" s="617"/>
      <c r="L78" s="617"/>
      <c r="M78" s="617"/>
      <c r="N78" s="617"/>
      <c r="O78" s="617"/>
      <c r="P78" s="617"/>
      <c r="Q78" s="617"/>
      <c r="R78" s="617"/>
      <c r="S78" s="617"/>
      <c r="T78" s="617"/>
      <c r="U78" s="617"/>
      <c r="V78" s="617"/>
      <c r="W78" s="326"/>
      <c r="X78" s="326"/>
      <c r="Y78" s="617" t="s">
        <v>128</v>
      </c>
      <c r="Z78" s="617"/>
      <c r="AA78" s="617"/>
      <c r="AB78" s="617"/>
      <c r="AC78" s="617"/>
      <c r="AD78" s="617"/>
      <c r="AE78" s="617"/>
      <c r="AF78" s="454">
        <f>IF(J6="","",J6)</f>
      </c>
      <c r="AG78" s="692"/>
      <c r="AH78" s="692"/>
      <c r="AI78" s="692"/>
      <c r="AJ78" s="692"/>
      <c r="AK78" s="692"/>
      <c r="AL78" s="692"/>
      <c r="AM78" s="692"/>
      <c r="AN78" s="692"/>
      <c r="AO78" s="692"/>
      <c r="AP78" s="692"/>
      <c r="AQ78" s="692"/>
      <c r="AR78" s="692"/>
      <c r="AS78" s="693"/>
      <c r="AT78" s="693"/>
      <c r="AU78" s="693"/>
      <c r="AV78" s="693"/>
      <c r="AW78" s="693"/>
      <c r="AX78" s="693"/>
      <c r="AY78" s="193"/>
      <c r="AZ78" s="467"/>
      <c r="BA78" s="467"/>
      <c r="BB78" s="467"/>
      <c r="BC78" s="467"/>
      <c r="BD78" s="467"/>
      <c r="BE78" s="467"/>
      <c r="BF78" s="467"/>
      <c r="BG78" s="467"/>
      <c r="BH78" s="467"/>
      <c r="BI78" s="467"/>
      <c r="BR78" s="193"/>
      <c r="BS78" s="193"/>
      <c r="BT78" s="193"/>
      <c r="BU78" s="193"/>
      <c r="BV78" s="193"/>
      <c r="BW78" s="193"/>
      <c r="BX78" s="193"/>
      <c r="BY78" s="193"/>
      <c r="BZ78" s="193"/>
      <c r="CA78" s="193"/>
      <c r="CB78" s="193"/>
      <c r="CC78" s="193"/>
      <c r="CD78" s="193"/>
      <c r="CE78" s="193"/>
      <c r="CF78" s="193"/>
      <c r="CG78" s="193"/>
      <c r="CH78" s="193"/>
      <c r="CI78" s="193"/>
      <c r="CJ78" s="193"/>
      <c r="CK78" s="193"/>
      <c r="CL78" s="193"/>
      <c r="CM78" s="193"/>
      <c r="CN78" s="193"/>
      <c r="CO78" s="798"/>
      <c r="CP78" s="798"/>
      <c r="CQ78" s="798"/>
      <c r="CR78" s="798"/>
      <c r="CS78" s="798"/>
      <c r="CT78" s="798"/>
      <c r="CU78" s="798"/>
      <c r="CV78" s="197"/>
      <c r="CW78" s="197"/>
      <c r="CX78" s="197"/>
      <c r="CY78" s="197"/>
      <c r="CZ78" s="197"/>
      <c r="DA78" s="188"/>
      <c r="DB78" s="188"/>
      <c r="DC78" s="188"/>
    </row>
    <row r="79" spans="1:107" ht="9" customHeight="1">
      <c r="A79" s="610"/>
      <c r="B79" s="610"/>
      <c r="C79" s="610"/>
      <c r="D79" s="610"/>
      <c r="E79" s="610"/>
      <c r="F79" s="694"/>
      <c r="G79" s="694"/>
      <c r="H79" s="694"/>
      <c r="I79" s="694"/>
      <c r="J79" s="694"/>
      <c r="K79" s="694"/>
      <c r="L79" s="694"/>
      <c r="M79" s="694"/>
      <c r="N79" s="694"/>
      <c r="O79" s="694"/>
      <c r="P79" s="694"/>
      <c r="Q79" s="694"/>
      <c r="R79" s="694"/>
      <c r="S79" s="694"/>
      <c r="T79" s="694"/>
      <c r="U79" s="694"/>
      <c r="V79" s="694"/>
      <c r="W79" s="326"/>
      <c r="X79" s="326"/>
      <c r="Y79" s="617"/>
      <c r="Z79" s="617"/>
      <c r="AA79" s="617"/>
      <c r="AB79" s="617"/>
      <c r="AC79" s="617"/>
      <c r="AD79" s="617"/>
      <c r="AE79" s="617"/>
      <c r="AF79" s="694"/>
      <c r="AG79" s="694"/>
      <c r="AH79" s="694"/>
      <c r="AI79" s="694"/>
      <c r="AJ79" s="694"/>
      <c r="AK79" s="694"/>
      <c r="AL79" s="694"/>
      <c r="AM79" s="694"/>
      <c r="AN79" s="694"/>
      <c r="AO79" s="694"/>
      <c r="AP79" s="694"/>
      <c r="AQ79" s="694"/>
      <c r="AR79" s="694"/>
      <c r="AS79" s="695"/>
      <c r="AT79" s="695"/>
      <c r="AU79" s="695"/>
      <c r="AV79" s="695"/>
      <c r="AW79" s="695"/>
      <c r="AX79" s="695"/>
      <c r="AY79" s="193"/>
      <c r="AZ79" s="193"/>
      <c r="BA79" s="193"/>
      <c r="BB79" s="193"/>
      <c r="BC79" s="193"/>
      <c r="BD79" s="193"/>
      <c r="BE79" s="193"/>
      <c r="BF79" s="193"/>
      <c r="BG79" s="193"/>
      <c r="BH79" s="193"/>
      <c r="BI79" s="193"/>
      <c r="BR79" s="193"/>
      <c r="BS79" s="193"/>
      <c r="BT79" s="193"/>
      <c r="BU79" s="676" t="s">
        <v>237</v>
      </c>
      <c r="BV79" s="688"/>
      <c r="BW79" s="688"/>
      <c r="BX79" s="688"/>
      <c r="BY79" s="688"/>
      <c r="BZ79" s="688"/>
      <c r="CA79" s="688"/>
      <c r="CB79" s="688"/>
      <c r="CC79" s="688"/>
      <c r="CD79" s="688"/>
      <c r="CE79" s="193"/>
      <c r="CF79" s="193"/>
      <c r="CG79" s="193"/>
      <c r="CH79" s="193"/>
      <c r="CI79" s="193"/>
      <c r="CJ79" s="193"/>
      <c r="CK79" s="193"/>
      <c r="CL79" s="193"/>
      <c r="CM79" s="193"/>
      <c r="CN79" s="193"/>
      <c r="CO79" s="686" t="s">
        <v>234</v>
      </c>
      <c r="CP79" s="687"/>
      <c r="CQ79" s="687"/>
      <c r="CR79" s="687"/>
      <c r="CS79" s="687"/>
      <c r="CT79" s="687"/>
      <c r="CU79" s="687"/>
      <c r="CV79" s="675"/>
      <c r="CW79" s="675"/>
      <c r="CX79" s="675"/>
      <c r="CY79" s="675"/>
      <c r="CZ79" s="675"/>
      <c r="DA79" s="188"/>
      <c r="DB79" s="188"/>
      <c r="DC79" s="188"/>
    </row>
    <row r="80" spans="2:107" ht="9" customHeight="1">
      <c r="B80" s="189"/>
      <c r="C80" s="189"/>
      <c r="D80" s="189"/>
      <c r="E80" s="189"/>
      <c r="F80" s="189"/>
      <c r="G80" s="189"/>
      <c r="H80" s="189"/>
      <c r="I80" s="189"/>
      <c r="J80" s="189"/>
      <c r="K80" s="189"/>
      <c r="L80" s="189"/>
      <c r="M80" s="189"/>
      <c r="N80" s="189"/>
      <c r="O80" s="189"/>
      <c r="P80" s="189"/>
      <c r="Q80" s="189"/>
      <c r="R80" s="698" t="s">
        <v>196</v>
      </c>
      <c r="S80" s="699"/>
      <c r="T80" s="699"/>
      <c r="U80" s="699"/>
      <c r="V80" s="699"/>
      <c r="W80" s="699"/>
      <c r="X80" s="699"/>
      <c r="Y80" s="699"/>
      <c r="Z80" s="699"/>
      <c r="AA80" s="699"/>
      <c r="AB80" s="699"/>
      <c r="AC80" s="699"/>
      <c r="AD80" s="699"/>
      <c r="AE80" s="699"/>
      <c r="AF80" s="699"/>
      <c r="AG80" s="699"/>
      <c r="AH80" s="329"/>
      <c r="AI80" s="329"/>
      <c r="AJ80" s="329"/>
      <c r="AK80" s="329"/>
      <c r="AL80" s="329"/>
      <c r="AM80" s="189"/>
      <c r="AN80" s="189"/>
      <c r="AO80" s="189"/>
      <c r="AP80" s="189"/>
      <c r="AQ80" s="189"/>
      <c r="AR80" s="189"/>
      <c r="AS80" s="189"/>
      <c r="AT80" s="189"/>
      <c r="AU80" s="595" t="s">
        <v>236</v>
      </c>
      <c r="AV80" s="596"/>
      <c r="AW80" s="596"/>
      <c r="AX80" s="596"/>
      <c r="AY80" s="596"/>
      <c r="AZ80" s="596"/>
      <c r="BA80" s="596"/>
      <c r="BC80" s="189"/>
      <c r="BD80" s="189"/>
      <c r="BE80" s="189"/>
      <c r="BF80" s="189"/>
      <c r="BG80" s="189"/>
      <c r="BH80" s="189"/>
      <c r="BI80" s="189"/>
      <c r="BJ80" s="189"/>
      <c r="BK80" s="189"/>
      <c r="BL80" s="189"/>
      <c r="BM80" s="189"/>
      <c r="BN80" s="189"/>
      <c r="BO80" s="189"/>
      <c r="BP80" s="189"/>
      <c r="BQ80" s="189"/>
      <c r="BR80" s="189"/>
      <c r="BS80" s="189"/>
      <c r="BT80" s="189"/>
      <c r="BU80" s="500"/>
      <c r="BV80" s="500"/>
      <c r="BW80" s="500"/>
      <c r="BX80" s="500"/>
      <c r="BY80" s="500"/>
      <c r="BZ80" s="500"/>
      <c r="CA80" s="500"/>
      <c r="CB80" s="500"/>
      <c r="CC80" s="500"/>
      <c r="CD80" s="500"/>
      <c r="CE80" s="189"/>
      <c r="CF80" s="189"/>
      <c r="CG80" s="189"/>
      <c r="CH80" s="189"/>
      <c r="CI80" s="189"/>
      <c r="CJ80" s="189"/>
      <c r="CK80" s="189"/>
      <c r="CL80" s="189"/>
      <c r="CM80" s="189"/>
      <c r="CN80" s="189"/>
      <c r="CO80" s="687"/>
      <c r="CP80" s="687"/>
      <c r="CQ80" s="687"/>
      <c r="CR80" s="687"/>
      <c r="CS80" s="687"/>
      <c r="CT80" s="687"/>
      <c r="CU80" s="687"/>
      <c r="CV80" s="675"/>
      <c r="CW80" s="675"/>
      <c r="CX80" s="675"/>
      <c r="CY80" s="675"/>
      <c r="CZ80" s="675"/>
      <c r="DA80" s="188"/>
      <c r="DB80" s="188"/>
      <c r="DC80" s="188"/>
    </row>
    <row r="81" spans="1:107" ht="9" customHeight="1">
      <c r="A81" s="300"/>
      <c r="B81" s="300"/>
      <c r="C81" s="300"/>
      <c r="D81" s="300"/>
      <c r="E81" s="300"/>
      <c r="F81" s="300"/>
      <c r="G81" s="300"/>
      <c r="H81" s="300"/>
      <c r="I81" s="300"/>
      <c r="J81" s="300"/>
      <c r="K81" s="300"/>
      <c r="L81" s="300"/>
      <c r="M81" s="300"/>
      <c r="N81" s="300"/>
      <c r="O81" s="300"/>
      <c r="P81" s="300"/>
      <c r="Q81" s="300"/>
      <c r="R81" s="700"/>
      <c r="S81" s="700"/>
      <c r="T81" s="700"/>
      <c r="U81" s="700"/>
      <c r="V81" s="700"/>
      <c r="W81" s="700"/>
      <c r="X81" s="700"/>
      <c r="Y81" s="700"/>
      <c r="Z81" s="700"/>
      <c r="AA81" s="700"/>
      <c r="AB81" s="700"/>
      <c r="AC81" s="700"/>
      <c r="AD81" s="700"/>
      <c r="AE81" s="700"/>
      <c r="AF81" s="700"/>
      <c r="AG81" s="700"/>
      <c r="AH81" s="330"/>
      <c r="AI81" s="330"/>
      <c r="AJ81" s="330"/>
      <c r="AK81" s="330"/>
      <c r="AL81" s="330"/>
      <c r="AM81" s="300"/>
      <c r="AN81" s="300"/>
      <c r="AO81" s="300"/>
      <c r="AP81" s="300"/>
      <c r="AQ81" s="300"/>
      <c r="AR81" s="300"/>
      <c r="AS81" s="300"/>
      <c r="AT81" s="300"/>
      <c r="AU81" s="596"/>
      <c r="AV81" s="596"/>
      <c r="AW81" s="596"/>
      <c r="AX81" s="596"/>
      <c r="AY81" s="596"/>
      <c r="AZ81" s="596"/>
      <c r="BA81" s="596"/>
      <c r="BC81" s="610" t="s">
        <v>241</v>
      </c>
      <c r="BD81" s="498"/>
      <c r="BE81" s="498"/>
      <c r="BF81" s="498"/>
      <c r="BG81" s="498"/>
      <c r="BH81" s="498"/>
      <c r="BI81" s="498"/>
      <c r="BJ81" s="498"/>
      <c r="BK81" s="498"/>
      <c r="BL81" s="498"/>
      <c r="BM81" s="498"/>
      <c r="BN81" s="498"/>
      <c r="BO81" s="498"/>
      <c r="BP81" s="498"/>
      <c r="BQ81" s="696"/>
      <c r="BR81" s="696"/>
      <c r="BS81" s="696"/>
      <c r="BT81" s="696"/>
      <c r="BU81" s="353"/>
      <c r="BV81" s="353"/>
      <c r="BW81" s="353"/>
      <c r="BX81" s="353"/>
      <c r="BY81" s="353"/>
      <c r="BZ81" s="353"/>
      <c r="CA81" s="353"/>
      <c r="CB81" s="353"/>
      <c r="CC81" s="198"/>
      <c r="CD81" s="198"/>
      <c r="CE81" s="198"/>
      <c r="CF81" s="610" t="s">
        <v>142</v>
      </c>
      <c r="CG81" s="610"/>
      <c r="CH81" s="610"/>
      <c r="CI81" s="610"/>
      <c r="CJ81" s="498"/>
      <c r="CK81" s="685"/>
      <c r="CL81" s="685"/>
      <c r="CM81" s="685"/>
      <c r="CN81" s="685"/>
      <c r="CO81" s="685"/>
      <c r="CP81" s="685"/>
      <c r="CQ81" s="685"/>
      <c r="CR81" s="685"/>
      <c r="CS81" s="685"/>
      <c r="CT81" s="685"/>
      <c r="CU81" s="685"/>
      <c r="CV81" s="685"/>
      <c r="CW81" s="685"/>
      <c r="CX81" s="188"/>
      <c r="CY81" s="188"/>
      <c r="CZ81" s="188"/>
      <c r="DA81" s="188"/>
      <c r="DB81" s="188"/>
      <c r="DC81" s="188"/>
    </row>
    <row r="82" spans="1:107" ht="9" customHeight="1">
      <c r="A82" s="703" t="s">
        <v>142</v>
      </c>
      <c r="B82" s="703"/>
      <c r="C82" s="703"/>
      <c r="D82" s="703"/>
      <c r="E82" s="703"/>
      <c r="F82" s="821" t="s">
        <v>241</v>
      </c>
      <c r="G82" s="822"/>
      <c r="H82" s="822"/>
      <c r="I82" s="822"/>
      <c r="J82" s="822"/>
      <c r="K82" s="822"/>
      <c r="L82" s="822"/>
      <c r="M82" s="822"/>
      <c r="N82" s="822"/>
      <c r="O82" s="822"/>
      <c r="P82" s="822"/>
      <c r="Q82" s="822"/>
      <c r="R82" s="823"/>
      <c r="S82" s="823"/>
      <c r="T82" s="823"/>
      <c r="U82" s="824">
        <f>IF(BW5="","",BW5)</f>
      </c>
      <c r="V82" s="825"/>
      <c r="W82" s="825"/>
      <c r="X82" s="825"/>
      <c r="Y82" s="826"/>
      <c r="Z82" s="703" t="s">
        <v>142</v>
      </c>
      <c r="AA82" s="703"/>
      <c r="AB82" s="703"/>
      <c r="AC82" s="703"/>
      <c r="AD82" s="703"/>
      <c r="AE82" s="821" t="s">
        <v>241</v>
      </c>
      <c r="AF82" s="822"/>
      <c r="AG82" s="822"/>
      <c r="AH82" s="822"/>
      <c r="AI82" s="822"/>
      <c r="AJ82" s="822"/>
      <c r="AK82" s="822"/>
      <c r="AL82" s="822"/>
      <c r="AM82" s="822"/>
      <c r="AN82" s="822"/>
      <c r="AO82" s="822"/>
      <c r="AP82" s="822"/>
      <c r="AQ82" s="823"/>
      <c r="AR82" s="823"/>
      <c r="AS82" s="823"/>
      <c r="AT82" s="824">
        <f>IF(CE5="","",CE5)</f>
      </c>
      <c r="AU82" s="825"/>
      <c r="AV82" s="825"/>
      <c r="AW82" s="825"/>
      <c r="AX82" s="826"/>
      <c r="AY82" s="188"/>
      <c r="AZ82" s="188"/>
      <c r="BA82" s="188"/>
      <c r="BC82" s="498"/>
      <c r="BD82" s="498"/>
      <c r="BE82" s="498"/>
      <c r="BF82" s="498"/>
      <c r="BG82" s="498"/>
      <c r="BH82" s="498"/>
      <c r="BI82" s="498"/>
      <c r="BJ82" s="498"/>
      <c r="BK82" s="498"/>
      <c r="BL82" s="498"/>
      <c r="BM82" s="498"/>
      <c r="BN82" s="498"/>
      <c r="BO82" s="498"/>
      <c r="BP82" s="498"/>
      <c r="BQ82" s="697"/>
      <c r="BR82" s="697"/>
      <c r="BS82" s="697"/>
      <c r="BT82" s="697"/>
      <c r="BU82" s="265"/>
      <c r="BV82" s="265"/>
      <c r="BW82" s="265"/>
      <c r="BX82" s="265"/>
      <c r="BY82" s="265"/>
      <c r="BZ82" s="265"/>
      <c r="CA82" s="265"/>
      <c r="CB82" s="265"/>
      <c r="CC82" s="198"/>
      <c r="CD82" s="198"/>
      <c r="CE82" s="198"/>
      <c r="CF82" s="498"/>
      <c r="CG82" s="498"/>
      <c r="CH82" s="498"/>
      <c r="CI82" s="498"/>
      <c r="CJ82" s="498"/>
      <c r="CK82" s="626"/>
      <c r="CL82" s="626"/>
      <c r="CM82" s="626"/>
      <c r="CN82" s="626"/>
      <c r="CO82" s="626"/>
      <c r="CP82" s="626"/>
      <c r="CQ82" s="626"/>
      <c r="CR82" s="626"/>
      <c r="CS82" s="626"/>
      <c r="CT82" s="626"/>
      <c r="CU82" s="626"/>
      <c r="CV82" s="626"/>
      <c r="CW82" s="626"/>
      <c r="CX82" s="188"/>
      <c r="CY82" s="188"/>
      <c r="CZ82" s="188"/>
      <c r="DA82" s="188"/>
      <c r="DB82" s="188"/>
      <c r="DC82" s="188"/>
    </row>
    <row r="83" spans="1:107" ht="9" customHeight="1">
      <c r="A83" s="703"/>
      <c r="B83" s="703"/>
      <c r="C83" s="703"/>
      <c r="D83" s="703"/>
      <c r="E83" s="703"/>
      <c r="F83" s="563" t="s">
        <v>149</v>
      </c>
      <c r="G83" s="564"/>
      <c r="H83" s="564"/>
      <c r="I83" s="564"/>
      <c r="J83" s="564"/>
      <c r="K83" s="564"/>
      <c r="L83" s="564"/>
      <c r="M83" s="564"/>
      <c r="N83" s="564"/>
      <c r="O83" s="564"/>
      <c r="P83" s="564"/>
      <c r="Q83" s="565"/>
      <c r="R83" s="689" t="s">
        <v>150</v>
      </c>
      <c r="S83" s="690"/>
      <c r="T83" s="690"/>
      <c r="U83" s="691"/>
      <c r="V83" s="563" t="s">
        <v>332</v>
      </c>
      <c r="W83" s="564"/>
      <c r="X83" s="564"/>
      <c r="Y83" s="565"/>
      <c r="Z83" s="703"/>
      <c r="AA83" s="703"/>
      <c r="AB83" s="703"/>
      <c r="AC83" s="703"/>
      <c r="AD83" s="703"/>
      <c r="AE83" s="563" t="s">
        <v>149</v>
      </c>
      <c r="AF83" s="564"/>
      <c r="AG83" s="564"/>
      <c r="AH83" s="564"/>
      <c r="AI83" s="564"/>
      <c r="AJ83" s="564"/>
      <c r="AK83" s="564"/>
      <c r="AL83" s="564"/>
      <c r="AM83" s="564"/>
      <c r="AN83" s="564"/>
      <c r="AO83" s="564"/>
      <c r="AP83" s="565"/>
      <c r="AQ83" s="689" t="s">
        <v>150</v>
      </c>
      <c r="AR83" s="690"/>
      <c r="AS83" s="690"/>
      <c r="AT83" s="691"/>
      <c r="AU83" s="563" t="s">
        <v>332</v>
      </c>
      <c r="AV83" s="564"/>
      <c r="AW83" s="564"/>
      <c r="AX83" s="565"/>
      <c r="AY83" s="188"/>
      <c r="AZ83" s="188"/>
      <c r="BA83" s="188"/>
      <c r="BB83" s="189"/>
      <c r="BC83" s="189"/>
      <c r="BD83" s="189"/>
      <c r="BE83" s="189"/>
      <c r="BF83" s="189"/>
      <c r="BG83" s="188"/>
      <c r="BH83" s="188"/>
      <c r="BI83" s="188"/>
      <c r="BJ83" s="188"/>
      <c r="BK83" s="188"/>
      <c r="BL83" s="188"/>
      <c r="BM83" s="188"/>
      <c r="BN83" s="188"/>
      <c r="BO83" s="188"/>
      <c r="BP83" s="188"/>
      <c r="BQ83" s="188"/>
      <c r="BR83" s="188"/>
      <c r="BS83" s="188"/>
      <c r="BT83" s="188"/>
      <c r="BU83" s="188"/>
      <c r="BV83" s="188"/>
      <c r="BW83" s="188"/>
      <c r="BX83" s="188"/>
      <c r="BY83" s="188"/>
      <c r="BZ83" s="188"/>
      <c r="CA83" s="188"/>
      <c r="CB83" s="188"/>
      <c r="CC83" s="188"/>
      <c r="CD83" s="188"/>
      <c r="CE83" s="188"/>
      <c r="CF83" s="188"/>
      <c r="CG83" s="188"/>
      <c r="CH83" s="188"/>
      <c r="CI83" s="188"/>
      <c r="CJ83" s="188"/>
      <c r="CK83" s="188"/>
      <c r="CL83" s="188"/>
      <c r="CM83" s="188"/>
      <c r="CN83" s="188"/>
      <c r="CO83" s="188"/>
      <c r="CP83" s="188"/>
      <c r="CQ83" s="188"/>
      <c r="CR83" s="188"/>
      <c r="CS83" s="188"/>
      <c r="CT83" s="188"/>
      <c r="CU83" s="188"/>
      <c r="CV83" s="188"/>
      <c r="CW83" s="188"/>
      <c r="CX83" s="188"/>
      <c r="CY83" s="188"/>
      <c r="CZ83" s="188"/>
      <c r="DA83" s="188"/>
      <c r="DB83" s="188"/>
      <c r="DC83" s="188"/>
    </row>
    <row r="84" spans="1:107" ht="9" customHeight="1">
      <c r="A84" s="703"/>
      <c r="B84" s="703"/>
      <c r="C84" s="703"/>
      <c r="D84" s="703"/>
      <c r="E84" s="703"/>
      <c r="F84" s="560" t="s">
        <v>146</v>
      </c>
      <c r="G84" s="561"/>
      <c r="H84" s="561"/>
      <c r="I84" s="561"/>
      <c r="J84" s="561"/>
      <c r="K84" s="561"/>
      <c r="L84" s="561"/>
      <c r="M84" s="561"/>
      <c r="N84" s="561"/>
      <c r="O84" s="561"/>
      <c r="P84" s="561"/>
      <c r="Q84" s="562"/>
      <c r="R84" s="560" t="s">
        <v>146</v>
      </c>
      <c r="S84" s="561"/>
      <c r="T84" s="561"/>
      <c r="U84" s="562"/>
      <c r="V84" s="560" t="s">
        <v>235</v>
      </c>
      <c r="W84" s="597"/>
      <c r="X84" s="597"/>
      <c r="Y84" s="598"/>
      <c r="Z84" s="703"/>
      <c r="AA84" s="703"/>
      <c r="AB84" s="703"/>
      <c r="AC84" s="703"/>
      <c r="AD84" s="703"/>
      <c r="AE84" s="560" t="s">
        <v>146</v>
      </c>
      <c r="AF84" s="561"/>
      <c r="AG84" s="561"/>
      <c r="AH84" s="561"/>
      <c r="AI84" s="561"/>
      <c r="AJ84" s="561"/>
      <c r="AK84" s="561"/>
      <c r="AL84" s="561"/>
      <c r="AM84" s="561"/>
      <c r="AN84" s="561"/>
      <c r="AO84" s="561"/>
      <c r="AP84" s="562"/>
      <c r="AQ84" s="560" t="s">
        <v>146</v>
      </c>
      <c r="AR84" s="561"/>
      <c r="AS84" s="561"/>
      <c r="AT84" s="562"/>
      <c r="AU84" s="560" t="s">
        <v>235</v>
      </c>
      <c r="AV84" s="597"/>
      <c r="AW84" s="597"/>
      <c r="AX84" s="598"/>
      <c r="AY84" s="188"/>
      <c r="AZ84" s="188"/>
      <c r="BA84" s="188"/>
      <c r="BB84" s="331"/>
      <c r="BC84" s="331"/>
      <c r="BD84" s="331"/>
      <c r="BE84" s="331"/>
      <c r="BF84" s="188"/>
      <c r="BG84" s="188"/>
      <c r="BH84" s="188"/>
      <c r="BI84" s="331"/>
      <c r="BJ84" s="331"/>
      <c r="BK84" s="331"/>
      <c r="BL84" s="331"/>
      <c r="BM84" s="332"/>
      <c r="BN84" s="332"/>
      <c r="BO84" s="332"/>
      <c r="BP84" s="332"/>
      <c r="BQ84" s="331"/>
      <c r="BR84" s="331"/>
      <c r="BS84" s="331"/>
      <c r="BT84" s="331"/>
      <c r="BU84" s="332"/>
      <c r="BV84" s="332"/>
      <c r="BW84" s="332"/>
      <c r="BX84" s="332"/>
      <c r="BY84" s="331"/>
      <c r="BZ84" s="331"/>
      <c r="CA84" s="331"/>
      <c r="CB84" s="331"/>
      <c r="CC84" s="332"/>
      <c r="CD84" s="332"/>
      <c r="CE84" s="332"/>
      <c r="CF84" s="331"/>
      <c r="CG84" s="331"/>
      <c r="CH84" s="331"/>
      <c r="CI84" s="331"/>
      <c r="CJ84" s="332"/>
      <c r="CK84" s="332"/>
      <c r="CL84" s="332"/>
      <c r="CM84" s="331"/>
      <c r="CN84" s="331"/>
      <c r="CO84" s="331"/>
      <c r="CP84" s="331"/>
      <c r="CQ84" s="332"/>
      <c r="CR84" s="332"/>
      <c r="CS84" s="332"/>
      <c r="CT84" s="331"/>
      <c r="CU84" s="331"/>
      <c r="CV84" s="331"/>
      <c r="CW84" s="331"/>
      <c r="CX84" s="188"/>
      <c r="CY84" s="188"/>
      <c r="CZ84" s="188"/>
      <c r="DA84" s="188"/>
      <c r="DB84" s="188"/>
      <c r="DC84" s="188"/>
    </row>
    <row r="85" spans="1:107" ht="9" customHeight="1">
      <c r="A85" s="614"/>
      <c r="B85" s="614"/>
      <c r="C85" s="614"/>
      <c r="D85" s="614"/>
      <c r="E85" s="614"/>
      <c r="F85" s="558"/>
      <c r="G85" s="558"/>
      <c r="H85" s="558"/>
      <c r="I85" s="558"/>
      <c r="J85" s="558"/>
      <c r="K85" s="558"/>
      <c r="L85" s="558"/>
      <c r="M85" s="558"/>
      <c r="N85" s="558"/>
      <c r="O85" s="558"/>
      <c r="P85" s="558"/>
      <c r="Q85" s="558"/>
      <c r="R85" s="558"/>
      <c r="S85" s="558"/>
      <c r="T85" s="558"/>
      <c r="U85" s="558"/>
      <c r="V85" s="558"/>
      <c r="W85" s="558"/>
      <c r="X85" s="558"/>
      <c r="Y85" s="558"/>
      <c r="Z85" s="619"/>
      <c r="AA85" s="619"/>
      <c r="AB85" s="619"/>
      <c r="AC85" s="619"/>
      <c r="AD85" s="619"/>
      <c r="AE85" s="558"/>
      <c r="AF85" s="558"/>
      <c r="AG85" s="558"/>
      <c r="AH85" s="558"/>
      <c r="AI85" s="558"/>
      <c r="AJ85" s="558"/>
      <c r="AK85" s="558"/>
      <c r="AL85" s="558"/>
      <c r="AM85" s="558"/>
      <c r="AN85" s="558"/>
      <c r="AO85" s="558"/>
      <c r="AP85" s="558"/>
      <c r="AQ85" s="558"/>
      <c r="AR85" s="558"/>
      <c r="AS85" s="558"/>
      <c r="AT85" s="558"/>
      <c r="AU85" s="558"/>
      <c r="AV85" s="558"/>
      <c r="AW85" s="558"/>
      <c r="AX85" s="558"/>
      <c r="AY85" s="188"/>
      <c r="AZ85" s="188"/>
      <c r="BA85" s="188"/>
      <c r="BB85" s="632"/>
      <c r="BC85" s="633"/>
      <c r="BD85" s="633"/>
      <c r="BE85" s="634"/>
      <c r="BF85" s="188"/>
      <c r="BG85" s="188"/>
      <c r="BH85" s="188"/>
      <c r="BI85" s="632"/>
      <c r="BJ85" s="633"/>
      <c r="BK85" s="633"/>
      <c r="BL85" s="634"/>
      <c r="BM85" s="332"/>
      <c r="BN85" s="332"/>
      <c r="BO85" s="332"/>
      <c r="BP85" s="332"/>
      <c r="BQ85" s="632"/>
      <c r="BR85" s="633"/>
      <c r="BS85" s="633"/>
      <c r="BT85" s="634"/>
      <c r="BU85" s="332"/>
      <c r="BV85" s="332"/>
      <c r="BW85" s="332"/>
      <c r="BX85" s="332"/>
      <c r="BY85" s="632"/>
      <c r="BZ85" s="633"/>
      <c r="CA85" s="633"/>
      <c r="CB85" s="634"/>
      <c r="CC85" s="332"/>
      <c r="CD85" s="332"/>
      <c r="CE85" s="332"/>
      <c r="CF85" s="632"/>
      <c r="CG85" s="633"/>
      <c r="CH85" s="633"/>
      <c r="CI85" s="634"/>
      <c r="CJ85" s="332"/>
      <c r="CK85" s="332"/>
      <c r="CL85" s="332"/>
      <c r="CM85" s="632"/>
      <c r="CN85" s="633"/>
      <c r="CO85" s="633"/>
      <c r="CP85" s="634"/>
      <c r="CQ85" s="332"/>
      <c r="CR85" s="332"/>
      <c r="CS85" s="332"/>
      <c r="CT85" s="632"/>
      <c r="CU85" s="633"/>
      <c r="CV85" s="633"/>
      <c r="CW85" s="634"/>
      <c r="CX85" s="188"/>
      <c r="CY85" s="188"/>
      <c r="CZ85" s="188"/>
      <c r="DA85" s="188"/>
      <c r="DB85" s="188"/>
      <c r="DC85" s="188"/>
    </row>
    <row r="86" spans="1:107" ht="9" customHeight="1">
      <c r="A86" s="614"/>
      <c r="B86" s="614"/>
      <c r="C86" s="614"/>
      <c r="D86" s="614"/>
      <c r="E86" s="614"/>
      <c r="F86" s="558"/>
      <c r="G86" s="558"/>
      <c r="H86" s="558"/>
      <c r="I86" s="558"/>
      <c r="J86" s="558"/>
      <c r="K86" s="558"/>
      <c r="L86" s="558"/>
      <c r="M86" s="558"/>
      <c r="N86" s="558"/>
      <c r="O86" s="558"/>
      <c r="P86" s="558"/>
      <c r="Q86" s="558"/>
      <c r="R86" s="558"/>
      <c r="S86" s="558"/>
      <c r="T86" s="558"/>
      <c r="U86" s="558"/>
      <c r="V86" s="558"/>
      <c r="W86" s="558"/>
      <c r="X86" s="558"/>
      <c r="Y86" s="558"/>
      <c r="Z86" s="619"/>
      <c r="AA86" s="619"/>
      <c r="AB86" s="619"/>
      <c r="AC86" s="619"/>
      <c r="AD86" s="619"/>
      <c r="AE86" s="558"/>
      <c r="AF86" s="558"/>
      <c r="AG86" s="558"/>
      <c r="AH86" s="558"/>
      <c r="AI86" s="558"/>
      <c r="AJ86" s="558"/>
      <c r="AK86" s="558"/>
      <c r="AL86" s="558"/>
      <c r="AM86" s="558"/>
      <c r="AN86" s="558"/>
      <c r="AO86" s="558"/>
      <c r="AP86" s="558"/>
      <c r="AQ86" s="558"/>
      <c r="AR86" s="558"/>
      <c r="AS86" s="558"/>
      <c r="AT86" s="558"/>
      <c r="AU86" s="558"/>
      <c r="AV86" s="558"/>
      <c r="AW86" s="558"/>
      <c r="AX86" s="558"/>
      <c r="AY86" s="188"/>
      <c r="AZ86" s="188"/>
      <c r="BA86" s="188"/>
      <c r="BB86" s="635"/>
      <c r="BC86" s="636"/>
      <c r="BD86" s="636"/>
      <c r="BE86" s="637"/>
      <c r="BF86" s="188"/>
      <c r="BG86" s="188"/>
      <c r="BH86" s="188"/>
      <c r="BI86" s="635"/>
      <c r="BJ86" s="636"/>
      <c r="BK86" s="636"/>
      <c r="BL86" s="637"/>
      <c r="BM86" s="332"/>
      <c r="BN86" s="332"/>
      <c r="BO86" s="332"/>
      <c r="BP86" s="332"/>
      <c r="BQ86" s="635"/>
      <c r="BR86" s="636"/>
      <c r="BS86" s="636"/>
      <c r="BT86" s="637"/>
      <c r="BU86" s="332"/>
      <c r="BV86" s="332"/>
      <c r="BW86" s="332"/>
      <c r="BX86" s="332"/>
      <c r="BY86" s="635"/>
      <c r="BZ86" s="636"/>
      <c r="CA86" s="636"/>
      <c r="CB86" s="637"/>
      <c r="CC86" s="332"/>
      <c r="CD86" s="332"/>
      <c r="CE86" s="332"/>
      <c r="CF86" s="635"/>
      <c r="CG86" s="636"/>
      <c r="CH86" s="636"/>
      <c r="CI86" s="637"/>
      <c r="CJ86" s="332"/>
      <c r="CK86" s="332"/>
      <c r="CL86" s="332"/>
      <c r="CM86" s="635"/>
      <c r="CN86" s="636"/>
      <c r="CO86" s="636"/>
      <c r="CP86" s="637"/>
      <c r="CQ86" s="332"/>
      <c r="CR86" s="332"/>
      <c r="CS86" s="332"/>
      <c r="CT86" s="635"/>
      <c r="CU86" s="636"/>
      <c r="CV86" s="636"/>
      <c r="CW86" s="637"/>
      <c r="CX86" s="188"/>
      <c r="CY86" s="188"/>
      <c r="CZ86" s="188"/>
      <c r="DA86" s="188"/>
      <c r="DB86" s="188"/>
      <c r="DC86" s="188"/>
    </row>
    <row r="87" spans="1:107" ht="9" customHeight="1">
      <c r="A87" s="614"/>
      <c r="B87" s="614"/>
      <c r="C87" s="614"/>
      <c r="D87" s="614"/>
      <c r="E87" s="614"/>
      <c r="F87" s="558"/>
      <c r="G87" s="558"/>
      <c r="H87" s="558"/>
      <c r="I87" s="558"/>
      <c r="J87" s="558"/>
      <c r="K87" s="558"/>
      <c r="L87" s="558"/>
      <c r="M87" s="558"/>
      <c r="N87" s="558"/>
      <c r="O87" s="558"/>
      <c r="P87" s="558"/>
      <c r="Q87" s="558"/>
      <c r="R87" s="558"/>
      <c r="S87" s="558"/>
      <c r="T87" s="558"/>
      <c r="U87" s="558"/>
      <c r="V87" s="558"/>
      <c r="W87" s="558"/>
      <c r="X87" s="558"/>
      <c r="Y87" s="558"/>
      <c r="Z87" s="619"/>
      <c r="AA87" s="619"/>
      <c r="AB87" s="619"/>
      <c r="AC87" s="619"/>
      <c r="AD87" s="619"/>
      <c r="AE87" s="558"/>
      <c r="AF87" s="558"/>
      <c r="AG87" s="558"/>
      <c r="AH87" s="558"/>
      <c r="AI87" s="558"/>
      <c r="AJ87" s="558"/>
      <c r="AK87" s="558"/>
      <c r="AL87" s="558"/>
      <c r="AM87" s="558"/>
      <c r="AN87" s="558"/>
      <c r="AO87" s="558"/>
      <c r="AP87" s="558"/>
      <c r="AQ87" s="558"/>
      <c r="AR87" s="558"/>
      <c r="AS87" s="558"/>
      <c r="AT87" s="558"/>
      <c r="AU87" s="558"/>
      <c r="AV87" s="558"/>
      <c r="AW87" s="558"/>
      <c r="AX87" s="558"/>
      <c r="AY87" s="188"/>
      <c r="AZ87" s="188"/>
      <c r="BA87" s="188"/>
      <c r="BB87" s="188"/>
      <c r="BC87" s="188"/>
      <c r="BD87" s="188"/>
      <c r="BE87" s="188"/>
      <c r="BF87" s="188"/>
      <c r="BG87" s="188"/>
      <c r="BH87" s="188"/>
      <c r="BI87" s="188"/>
      <c r="BJ87" s="188"/>
      <c r="BK87" s="188"/>
      <c r="BL87" s="188"/>
      <c r="BM87" s="188"/>
      <c r="BN87" s="188"/>
      <c r="BO87" s="188"/>
      <c r="BP87" s="188"/>
      <c r="BQ87" s="188"/>
      <c r="BR87" s="188"/>
      <c r="BS87" s="188"/>
      <c r="BT87" s="188"/>
      <c r="BU87" s="188"/>
      <c r="BV87" s="188"/>
      <c r="BW87" s="188"/>
      <c r="BX87" s="188"/>
      <c r="BY87" s="188"/>
      <c r="BZ87" s="188"/>
      <c r="CA87" s="188"/>
      <c r="CB87" s="188"/>
      <c r="CC87" s="188"/>
      <c r="CD87" s="188"/>
      <c r="CE87" s="188"/>
      <c r="CF87" s="188"/>
      <c r="CG87" s="188"/>
      <c r="CH87" s="188"/>
      <c r="CI87" s="188"/>
      <c r="CJ87" s="188"/>
      <c r="CK87" s="188"/>
      <c r="CL87" s="188"/>
      <c r="CM87" s="188"/>
      <c r="CN87" s="188"/>
      <c r="CO87" s="188"/>
      <c r="CP87" s="188"/>
      <c r="CQ87" s="188"/>
      <c r="CR87" s="188"/>
      <c r="CS87" s="188"/>
      <c r="CT87" s="188"/>
      <c r="CU87" s="188"/>
      <c r="CV87" s="188"/>
      <c r="CW87" s="188"/>
      <c r="CX87" s="188"/>
      <c r="CY87" s="188"/>
      <c r="CZ87" s="188"/>
      <c r="DA87" s="188"/>
      <c r="DB87" s="188"/>
      <c r="DC87" s="188"/>
    </row>
    <row r="88" spans="1:107" ht="9" customHeight="1">
      <c r="A88" s="614"/>
      <c r="B88" s="614"/>
      <c r="C88" s="614"/>
      <c r="D88" s="614"/>
      <c r="E88" s="614"/>
      <c r="F88" s="558"/>
      <c r="G88" s="558"/>
      <c r="H88" s="558"/>
      <c r="I88" s="558"/>
      <c r="J88" s="558"/>
      <c r="K88" s="558"/>
      <c r="L88" s="558"/>
      <c r="M88" s="558"/>
      <c r="N88" s="558"/>
      <c r="O88" s="558"/>
      <c r="P88" s="558"/>
      <c r="Q88" s="558"/>
      <c r="R88" s="558"/>
      <c r="S88" s="558"/>
      <c r="T88" s="558"/>
      <c r="U88" s="558"/>
      <c r="V88" s="558"/>
      <c r="W88" s="558"/>
      <c r="X88" s="558"/>
      <c r="Y88" s="558"/>
      <c r="Z88" s="619"/>
      <c r="AA88" s="619"/>
      <c r="AB88" s="619"/>
      <c r="AC88" s="619"/>
      <c r="AD88" s="619"/>
      <c r="AE88" s="558"/>
      <c r="AF88" s="558"/>
      <c r="AG88" s="558"/>
      <c r="AH88" s="558"/>
      <c r="AI88" s="558"/>
      <c r="AJ88" s="558"/>
      <c r="AK88" s="558"/>
      <c r="AL88" s="558"/>
      <c r="AM88" s="558"/>
      <c r="AN88" s="558"/>
      <c r="AO88" s="558"/>
      <c r="AP88" s="558"/>
      <c r="AQ88" s="558"/>
      <c r="AR88" s="558"/>
      <c r="AS88" s="558"/>
      <c r="AT88" s="558"/>
      <c r="AU88" s="558"/>
      <c r="AV88" s="558"/>
      <c r="AW88" s="558"/>
      <c r="AX88" s="558"/>
      <c r="AY88" s="188"/>
      <c r="AZ88" s="188"/>
      <c r="BA88" s="188"/>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188"/>
      <c r="BX88" s="188"/>
      <c r="BY88" s="188"/>
      <c r="BZ88" s="188"/>
      <c r="CA88" s="188"/>
      <c r="CB88" s="188"/>
      <c r="CC88" s="188"/>
      <c r="CD88" s="188"/>
      <c r="CE88" s="188"/>
      <c r="CF88" s="188"/>
      <c r="CG88" s="188"/>
      <c r="CH88" s="188"/>
      <c r="CI88" s="188"/>
      <c r="CJ88" s="188"/>
      <c r="CK88" s="188"/>
      <c r="CL88" s="188"/>
      <c r="CM88" s="188"/>
      <c r="CN88" s="188"/>
      <c r="CO88" s="188"/>
      <c r="CP88" s="188"/>
      <c r="CQ88" s="188"/>
      <c r="CR88" s="188"/>
      <c r="CS88" s="188"/>
      <c r="CT88" s="188"/>
      <c r="CU88" s="188"/>
      <c r="CV88" s="188"/>
      <c r="CW88" s="188"/>
      <c r="CX88" s="188"/>
      <c r="CY88" s="188"/>
      <c r="CZ88" s="188"/>
      <c r="DA88" s="188"/>
      <c r="DB88" s="188"/>
      <c r="DC88" s="188"/>
    </row>
    <row r="89" spans="1:107" ht="9" customHeight="1">
      <c r="A89" s="614"/>
      <c r="B89" s="614"/>
      <c r="C89" s="614"/>
      <c r="D89" s="614"/>
      <c r="E89" s="614"/>
      <c r="F89" s="558"/>
      <c r="G89" s="558"/>
      <c r="H89" s="558"/>
      <c r="I89" s="558"/>
      <c r="J89" s="558"/>
      <c r="K89" s="558"/>
      <c r="L89" s="558"/>
      <c r="M89" s="558"/>
      <c r="N89" s="558"/>
      <c r="O89" s="558"/>
      <c r="P89" s="558"/>
      <c r="Q89" s="558"/>
      <c r="R89" s="558"/>
      <c r="S89" s="558"/>
      <c r="T89" s="558"/>
      <c r="U89" s="558"/>
      <c r="V89" s="558"/>
      <c r="W89" s="558"/>
      <c r="X89" s="558"/>
      <c r="Y89" s="558"/>
      <c r="Z89" s="619"/>
      <c r="AA89" s="619"/>
      <c r="AB89" s="619"/>
      <c r="AC89" s="619"/>
      <c r="AD89" s="619"/>
      <c r="AE89" s="558"/>
      <c r="AF89" s="558"/>
      <c r="AG89" s="558"/>
      <c r="AH89" s="558"/>
      <c r="AI89" s="558"/>
      <c r="AJ89" s="558"/>
      <c r="AK89" s="558"/>
      <c r="AL89" s="558"/>
      <c r="AM89" s="558"/>
      <c r="AN89" s="558"/>
      <c r="AO89" s="558"/>
      <c r="AP89" s="558"/>
      <c r="AQ89" s="558"/>
      <c r="AR89" s="558"/>
      <c r="AS89" s="558"/>
      <c r="AT89" s="558"/>
      <c r="AU89" s="558"/>
      <c r="AV89" s="558"/>
      <c r="AW89" s="558"/>
      <c r="AX89" s="55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188"/>
      <c r="BW89" s="188"/>
      <c r="BX89" s="188"/>
      <c r="BY89" s="188"/>
      <c r="BZ89" s="188"/>
      <c r="CA89" s="188"/>
      <c r="CB89" s="188"/>
      <c r="CC89" s="188"/>
      <c r="CD89" s="188"/>
      <c r="CE89" s="188"/>
      <c r="CF89" s="188"/>
      <c r="CG89" s="188"/>
      <c r="CH89" s="188"/>
      <c r="CI89" s="188"/>
      <c r="CJ89" s="188"/>
      <c r="CK89" s="188"/>
      <c r="CL89" s="188"/>
      <c r="CM89" s="188"/>
      <c r="CN89" s="188"/>
      <c r="CO89" s="188"/>
      <c r="CP89" s="188"/>
      <c r="CQ89" s="188"/>
      <c r="CR89" s="188"/>
      <c r="CS89" s="188"/>
      <c r="CT89" s="188"/>
      <c r="CU89" s="188"/>
      <c r="CV89" s="188"/>
      <c r="CW89" s="188"/>
      <c r="CX89" s="188"/>
      <c r="CY89" s="188"/>
      <c r="CZ89" s="188"/>
      <c r="DA89" s="188"/>
      <c r="DB89" s="188"/>
      <c r="DC89" s="188"/>
    </row>
    <row r="90" spans="1:107" ht="9" customHeight="1">
      <c r="A90" s="614"/>
      <c r="B90" s="614"/>
      <c r="C90" s="614"/>
      <c r="D90" s="614"/>
      <c r="E90" s="614"/>
      <c r="F90" s="558"/>
      <c r="G90" s="558"/>
      <c r="H90" s="558"/>
      <c r="I90" s="558"/>
      <c r="J90" s="558"/>
      <c r="K90" s="558"/>
      <c r="L90" s="558"/>
      <c r="M90" s="558"/>
      <c r="N90" s="558"/>
      <c r="O90" s="558"/>
      <c r="P90" s="558"/>
      <c r="Q90" s="558"/>
      <c r="R90" s="558"/>
      <c r="S90" s="558"/>
      <c r="T90" s="558"/>
      <c r="U90" s="558"/>
      <c r="V90" s="558"/>
      <c r="W90" s="558"/>
      <c r="X90" s="558"/>
      <c r="Y90" s="558"/>
      <c r="Z90" s="619"/>
      <c r="AA90" s="619"/>
      <c r="AB90" s="619"/>
      <c r="AC90" s="619"/>
      <c r="AD90" s="619"/>
      <c r="AE90" s="558"/>
      <c r="AF90" s="558"/>
      <c r="AG90" s="558"/>
      <c r="AH90" s="558"/>
      <c r="AI90" s="558"/>
      <c r="AJ90" s="558"/>
      <c r="AK90" s="558"/>
      <c r="AL90" s="558"/>
      <c r="AM90" s="558"/>
      <c r="AN90" s="558"/>
      <c r="AO90" s="558"/>
      <c r="AP90" s="558"/>
      <c r="AQ90" s="558"/>
      <c r="AR90" s="558"/>
      <c r="AS90" s="558"/>
      <c r="AT90" s="558"/>
      <c r="AU90" s="558"/>
      <c r="AV90" s="558"/>
      <c r="AW90" s="558"/>
      <c r="AX90" s="558"/>
      <c r="AY90" s="188"/>
      <c r="AZ90" s="188"/>
      <c r="BA90" s="188"/>
      <c r="BB90" s="188"/>
      <c r="BC90" s="188"/>
      <c r="BD90" s="188"/>
      <c r="BE90" s="188"/>
      <c r="BF90" s="188"/>
      <c r="BG90" s="188"/>
      <c r="BH90" s="188"/>
      <c r="BI90" s="188"/>
      <c r="BJ90" s="188"/>
      <c r="BK90" s="188"/>
      <c r="BL90" s="188"/>
      <c r="BM90" s="188"/>
      <c r="BN90" s="188"/>
      <c r="BO90" s="188"/>
      <c r="BP90" s="188"/>
      <c r="BQ90" s="188"/>
      <c r="BR90" s="188"/>
      <c r="BS90" s="188"/>
      <c r="BT90" s="188"/>
      <c r="BU90" s="188"/>
      <c r="BV90" s="188"/>
      <c r="BW90" s="188"/>
      <c r="BX90" s="188"/>
      <c r="BY90" s="188"/>
      <c r="BZ90" s="188"/>
      <c r="CA90" s="188"/>
      <c r="CB90" s="188"/>
      <c r="CC90" s="188"/>
      <c r="CD90" s="188"/>
      <c r="CE90" s="188"/>
      <c r="CF90" s="188"/>
      <c r="CG90" s="188"/>
      <c r="CH90" s="188"/>
      <c r="CI90" s="188"/>
      <c r="CJ90" s="188"/>
      <c r="CK90" s="188"/>
      <c r="CL90" s="188"/>
      <c r="CM90" s="188"/>
      <c r="CN90" s="188"/>
      <c r="CO90" s="188"/>
      <c r="CP90" s="188"/>
      <c r="CQ90" s="188"/>
      <c r="CR90" s="188"/>
      <c r="CS90" s="188"/>
      <c r="CT90" s="188"/>
      <c r="CU90" s="188"/>
      <c r="CV90" s="188"/>
      <c r="CW90" s="188"/>
      <c r="CX90" s="188"/>
      <c r="CY90" s="188"/>
      <c r="CZ90" s="188"/>
      <c r="DA90" s="188"/>
      <c r="DB90" s="188"/>
      <c r="DC90" s="188"/>
    </row>
    <row r="91" spans="1:107" ht="9" customHeight="1">
      <c r="A91" s="614"/>
      <c r="B91" s="614"/>
      <c r="C91" s="614"/>
      <c r="D91" s="614"/>
      <c r="E91" s="614"/>
      <c r="F91" s="558"/>
      <c r="G91" s="558"/>
      <c r="H91" s="558"/>
      <c r="I91" s="558"/>
      <c r="J91" s="558"/>
      <c r="K91" s="558"/>
      <c r="L91" s="558"/>
      <c r="M91" s="558"/>
      <c r="N91" s="558"/>
      <c r="O91" s="558"/>
      <c r="P91" s="558"/>
      <c r="Q91" s="558"/>
      <c r="R91" s="558"/>
      <c r="S91" s="558"/>
      <c r="T91" s="558"/>
      <c r="U91" s="558"/>
      <c r="V91" s="558"/>
      <c r="W91" s="558"/>
      <c r="X91" s="558"/>
      <c r="Y91" s="558"/>
      <c r="Z91" s="619"/>
      <c r="AA91" s="619"/>
      <c r="AB91" s="619"/>
      <c r="AC91" s="619"/>
      <c r="AD91" s="619"/>
      <c r="AE91" s="558"/>
      <c r="AF91" s="558"/>
      <c r="AG91" s="558"/>
      <c r="AH91" s="558"/>
      <c r="AI91" s="558"/>
      <c r="AJ91" s="558"/>
      <c r="AK91" s="558"/>
      <c r="AL91" s="558"/>
      <c r="AM91" s="558"/>
      <c r="AN91" s="558"/>
      <c r="AO91" s="558"/>
      <c r="AP91" s="558"/>
      <c r="AQ91" s="558"/>
      <c r="AR91" s="558"/>
      <c r="AS91" s="558"/>
      <c r="AT91" s="558"/>
      <c r="AU91" s="558"/>
      <c r="AV91" s="558"/>
      <c r="AW91" s="558"/>
      <c r="AX91" s="558"/>
      <c r="AY91" s="188"/>
      <c r="AZ91" s="188"/>
      <c r="BA91" s="188"/>
      <c r="BB91" s="188"/>
      <c r="BC91" s="188"/>
      <c r="BD91" s="188"/>
      <c r="BE91" s="188"/>
      <c r="BF91" s="188"/>
      <c r="BG91" s="188"/>
      <c r="BH91" s="188"/>
      <c r="BI91" s="188"/>
      <c r="BJ91" s="188"/>
      <c r="BK91" s="188"/>
      <c r="BL91" s="188"/>
      <c r="BM91" s="188"/>
      <c r="BN91" s="188"/>
      <c r="BO91" s="188"/>
      <c r="BP91" s="188"/>
      <c r="BQ91" s="188"/>
      <c r="BR91" s="188"/>
      <c r="BS91" s="188"/>
      <c r="BT91" s="188"/>
      <c r="BU91" s="632"/>
      <c r="BV91" s="633"/>
      <c r="BW91" s="634"/>
      <c r="BX91" s="188"/>
      <c r="BY91" s="616" t="s">
        <v>135</v>
      </c>
      <c r="BZ91" s="616"/>
      <c r="CA91" s="188"/>
      <c r="CB91" s="188"/>
      <c r="CC91" s="188"/>
      <c r="CD91" s="188"/>
      <c r="CE91" s="188"/>
      <c r="CF91" s="188"/>
      <c r="CG91" s="188"/>
      <c r="CH91" s="188"/>
      <c r="CI91" s="188"/>
      <c r="CJ91" s="188"/>
      <c r="CK91" s="188"/>
      <c r="CL91" s="188"/>
      <c r="CM91" s="188"/>
      <c r="CN91" s="188"/>
      <c r="CO91" s="188"/>
      <c r="CP91" s="188"/>
      <c r="CQ91" s="188"/>
      <c r="CR91" s="188"/>
      <c r="CS91" s="188"/>
      <c r="CT91" s="188"/>
      <c r="CU91" s="188"/>
      <c r="CV91" s="188"/>
      <c r="CW91" s="188"/>
      <c r="CX91" s="188"/>
      <c r="CY91" s="188"/>
      <c r="CZ91" s="188"/>
      <c r="DA91" s="188"/>
      <c r="DB91" s="188"/>
      <c r="DC91" s="188"/>
    </row>
    <row r="92" spans="1:107" ht="9" customHeight="1">
      <c r="A92" s="614"/>
      <c r="B92" s="614"/>
      <c r="C92" s="614"/>
      <c r="D92" s="614"/>
      <c r="E92" s="614"/>
      <c r="F92" s="558"/>
      <c r="G92" s="558"/>
      <c r="H92" s="558"/>
      <c r="I92" s="558"/>
      <c r="J92" s="558"/>
      <c r="K92" s="558"/>
      <c r="L92" s="558"/>
      <c r="M92" s="558"/>
      <c r="N92" s="558"/>
      <c r="O92" s="558"/>
      <c r="P92" s="558"/>
      <c r="Q92" s="558"/>
      <c r="R92" s="558"/>
      <c r="S92" s="558"/>
      <c r="T92" s="558"/>
      <c r="U92" s="558"/>
      <c r="V92" s="558"/>
      <c r="W92" s="558"/>
      <c r="X92" s="558"/>
      <c r="Y92" s="558"/>
      <c r="Z92" s="619"/>
      <c r="AA92" s="619"/>
      <c r="AB92" s="619"/>
      <c r="AC92" s="619"/>
      <c r="AD92" s="619"/>
      <c r="AE92" s="558"/>
      <c r="AF92" s="558"/>
      <c r="AG92" s="558"/>
      <c r="AH92" s="558"/>
      <c r="AI92" s="558"/>
      <c r="AJ92" s="558"/>
      <c r="AK92" s="558"/>
      <c r="AL92" s="558"/>
      <c r="AM92" s="558"/>
      <c r="AN92" s="558"/>
      <c r="AO92" s="558"/>
      <c r="AP92" s="558"/>
      <c r="AQ92" s="558"/>
      <c r="AR92" s="558"/>
      <c r="AS92" s="558"/>
      <c r="AT92" s="558"/>
      <c r="AU92" s="558"/>
      <c r="AV92" s="558"/>
      <c r="AW92" s="558"/>
      <c r="AX92" s="558"/>
      <c r="AY92" s="188"/>
      <c r="AZ92" s="188"/>
      <c r="BA92" s="188"/>
      <c r="BB92" s="188"/>
      <c r="BC92" s="188"/>
      <c r="BD92" s="188"/>
      <c r="BE92" s="188"/>
      <c r="BF92" s="188"/>
      <c r="BG92" s="188"/>
      <c r="BH92" s="188"/>
      <c r="BI92" s="188"/>
      <c r="BJ92" s="188"/>
      <c r="BK92" s="188"/>
      <c r="BL92" s="188"/>
      <c r="BM92" s="188"/>
      <c r="BN92" s="188"/>
      <c r="BO92" s="188"/>
      <c r="BP92" s="188"/>
      <c r="BQ92" s="188"/>
      <c r="BR92" s="188"/>
      <c r="BS92" s="188"/>
      <c r="BT92" s="188"/>
      <c r="BU92" s="635"/>
      <c r="BV92" s="636"/>
      <c r="BW92" s="637"/>
      <c r="BX92" s="188"/>
      <c r="BY92" s="616"/>
      <c r="BZ92" s="616"/>
      <c r="CA92" s="188"/>
      <c r="CB92" s="188"/>
      <c r="CC92" s="188"/>
      <c r="CD92" s="188"/>
      <c r="CE92" s="188"/>
      <c r="CF92" s="188"/>
      <c r="CG92" s="188"/>
      <c r="CH92" s="188"/>
      <c r="CI92" s="188"/>
      <c r="CJ92" s="188"/>
      <c r="CK92" s="188"/>
      <c r="CL92" s="188"/>
      <c r="CM92" s="188"/>
      <c r="CN92" s="188"/>
      <c r="CO92" s="188"/>
      <c r="CP92" s="188"/>
      <c r="CQ92" s="188"/>
      <c r="CR92" s="188"/>
      <c r="CS92" s="188"/>
      <c r="CT92" s="188"/>
      <c r="CU92" s="188"/>
      <c r="CV92" s="188"/>
      <c r="CW92" s="188"/>
      <c r="CX92" s="188"/>
      <c r="CY92" s="188"/>
      <c r="CZ92" s="188"/>
      <c r="DA92" s="188"/>
      <c r="DB92" s="188"/>
      <c r="DC92" s="188"/>
    </row>
    <row r="93" spans="1:107" ht="9" customHeight="1">
      <c r="A93" s="614"/>
      <c r="B93" s="614"/>
      <c r="C93" s="614"/>
      <c r="D93" s="614"/>
      <c r="E93" s="614"/>
      <c r="F93" s="558"/>
      <c r="G93" s="558"/>
      <c r="H93" s="558"/>
      <c r="I93" s="558"/>
      <c r="J93" s="558"/>
      <c r="K93" s="558"/>
      <c r="L93" s="558"/>
      <c r="M93" s="558"/>
      <c r="N93" s="558"/>
      <c r="O93" s="558"/>
      <c r="P93" s="558"/>
      <c r="Q93" s="558"/>
      <c r="R93" s="558"/>
      <c r="S93" s="558"/>
      <c r="T93" s="558"/>
      <c r="U93" s="558"/>
      <c r="V93" s="558"/>
      <c r="W93" s="558"/>
      <c r="X93" s="558"/>
      <c r="Y93" s="558"/>
      <c r="Z93" s="619"/>
      <c r="AA93" s="619"/>
      <c r="AB93" s="619"/>
      <c r="AC93" s="619"/>
      <c r="AD93" s="619"/>
      <c r="AE93" s="558"/>
      <c r="AF93" s="558"/>
      <c r="AG93" s="558"/>
      <c r="AH93" s="558"/>
      <c r="AI93" s="558"/>
      <c r="AJ93" s="558"/>
      <c r="AK93" s="558"/>
      <c r="AL93" s="558"/>
      <c r="AM93" s="558"/>
      <c r="AN93" s="558"/>
      <c r="AO93" s="558"/>
      <c r="AP93" s="558"/>
      <c r="AQ93" s="558"/>
      <c r="AR93" s="558"/>
      <c r="AS93" s="558"/>
      <c r="AT93" s="558"/>
      <c r="AU93" s="558"/>
      <c r="AV93" s="558"/>
      <c r="AW93" s="558"/>
      <c r="AX93" s="558"/>
      <c r="AY93" s="188"/>
      <c r="AZ93" s="188"/>
      <c r="BA93" s="188"/>
      <c r="BB93" s="188"/>
      <c r="BC93" s="188"/>
      <c r="BD93" s="188"/>
      <c r="BE93" s="188"/>
      <c r="BF93" s="188"/>
      <c r="BG93" s="188"/>
      <c r="BH93" s="188"/>
      <c r="BI93" s="188"/>
      <c r="BJ93" s="188"/>
      <c r="BK93" s="188"/>
      <c r="BL93" s="188"/>
      <c r="BM93" s="188"/>
      <c r="BN93" s="188"/>
      <c r="BO93" s="188"/>
      <c r="BP93" s="188"/>
      <c r="BQ93" s="188"/>
      <c r="BR93" s="188"/>
      <c r="BS93" s="188"/>
      <c r="BT93" s="188"/>
      <c r="BU93" s="188"/>
      <c r="BV93" s="188"/>
      <c r="BW93" s="188"/>
      <c r="BX93" s="188"/>
      <c r="BY93" s="188"/>
      <c r="BZ93" s="188"/>
      <c r="CA93" s="188"/>
      <c r="CB93" s="188"/>
      <c r="CC93" s="188"/>
      <c r="CD93" s="188"/>
      <c r="CE93" s="188"/>
      <c r="CF93" s="188"/>
      <c r="CG93" s="188"/>
      <c r="CH93" s="188"/>
      <c r="CI93" s="188"/>
      <c r="CJ93" s="188"/>
      <c r="CK93" s="188"/>
      <c r="CL93" s="188"/>
      <c r="CM93" s="188"/>
      <c r="CN93" s="188"/>
      <c r="CO93" s="188"/>
      <c r="CP93" s="188"/>
      <c r="CQ93" s="188"/>
      <c r="CR93" s="188"/>
      <c r="CS93" s="188"/>
      <c r="CT93" s="188"/>
      <c r="CU93" s="188"/>
      <c r="CV93" s="188"/>
      <c r="CW93" s="188"/>
      <c r="CX93" s="188"/>
      <c r="CY93" s="188"/>
      <c r="CZ93" s="188"/>
      <c r="DA93" s="188"/>
      <c r="DB93" s="188"/>
      <c r="DC93" s="188"/>
    </row>
    <row r="94" spans="1:107" ht="9" customHeight="1">
      <c r="A94" s="614"/>
      <c r="B94" s="614"/>
      <c r="C94" s="614"/>
      <c r="D94" s="614"/>
      <c r="E94" s="614"/>
      <c r="F94" s="558"/>
      <c r="G94" s="558"/>
      <c r="H94" s="558"/>
      <c r="I94" s="558"/>
      <c r="J94" s="558"/>
      <c r="K94" s="558"/>
      <c r="L94" s="558"/>
      <c r="M94" s="558"/>
      <c r="N94" s="558"/>
      <c r="O94" s="558"/>
      <c r="P94" s="558"/>
      <c r="Q94" s="558"/>
      <c r="R94" s="558"/>
      <c r="S94" s="558"/>
      <c r="T94" s="558"/>
      <c r="U94" s="558"/>
      <c r="V94" s="558"/>
      <c r="W94" s="558"/>
      <c r="X94" s="558"/>
      <c r="Y94" s="558"/>
      <c r="Z94" s="619"/>
      <c r="AA94" s="619"/>
      <c r="AB94" s="619"/>
      <c r="AC94" s="619"/>
      <c r="AD94" s="619"/>
      <c r="AE94" s="558"/>
      <c r="AF94" s="558"/>
      <c r="AG94" s="558"/>
      <c r="AH94" s="558"/>
      <c r="AI94" s="558"/>
      <c r="AJ94" s="558"/>
      <c r="AK94" s="558"/>
      <c r="AL94" s="558"/>
      <c r="AM94" s="558"/>
      <c r="AN94" s="558"/>
      <c r="AO94" s="558"/>
      <c r="AP94" s="558"/>
      <c r="AQ94" s="558"/>
      <c r="AR94" s="558"/>
      <c r="AS94" s="558"/>
      <c r="AT94" s="558"/>
      <c r="AU94" s="558"/>
      <c r="AV94" s="558"/>
      <c r="AW94" s="558"/>
      <c r="AX94" s="558"/>
      <c r="AY94" s="188"/>
      <c r="AZ94" s="188"/>
      <c r="BA94" s="188"/>
      <c r="BB94" s="188"/>
      <c r="BC94" s="188"/>
      <c r="BD94" s="188"/>
      <c r="BE94" s="188"/>
      <c r="BF94" s="188"/>
      <c r="BG94" s="188"/>
      <c r="BH94" s="188"/>
      <c r="BI94" s="188"/>
      <c r="BJ94" s="188"/>
      <c r="BK94" s="188"/>
      <c r="BL94" s="188"/>
      <c r="BM94" s="188"/>
      <c r="BN94" s="188"/>
      <c r="BO94" s="188"/>
      <c r="BP94" s="188"/>
      <c r="BQ94" s="188"/>
      <c r="BR94" s="188"/>
      <c r="BS94" s="188"/>
      <c r="BT94" s="188"/>
      <c r="BU94" s="188"/>
      <c r="BV94" s="188"/>
      <c r="BW94" s="188"/>
      <c r="BX94" s="188"/>
      <c r="BY94" s="188"/>
      <c r="BZ94" s="188"/>
      <c r="CA94" s="188"/>
      <c r="CB94" s="188"/>
      <c r="CC94" s="188"/>
      <c r="CD94" s="188"/>
      <c r="CE94" s="188"/>
      <c r="CF94" s="188"/>
      <c r="CG94" s="188"/>
      <c r="CH94" s="188"/>
      <c r="CI94" s="188"/>
      <c r="CJ94" s="188"/>
      <c r="CK94" s="188"/>
      <c r="CL94" s="188"/>
      <c r="CM94" s="188"/>
      <c r="CN94" s="188"/>
      <c r="CO94" s="188"/>
      <c r="CP94" s="188"/>
      <c r="CQ94" s="188"/>
      <c r="CR94" s="188"/>
      <c r="CS94" s="188"/>
      <c r="CT94" s="188"/>
      <c r="CU94" s="188"/>
      <c r="CV94" s="188"/>
      <c r="CW94" s="188"/>
      <c r="CX94" s="188"/>
      <c r="CY94" s="188"/>
      <c r="CZ94" s="188"/>
      <c r="DA94" s="188"/>
      <c r="DB94" s="188"/>
      <c r="DC94" s="188"/>
    </row>
    <row r="95" spans="1:107" ht="9" customHeight="1">
      <c r="A95" s="614"/>
      <c r="B95" s="614"/>
      <c r="C95" s="614"/>
      <c r="D95" s="614"/>
      <c r="E95" s="614"/>
      <c r="F95" s="558"/>
      <c r="G95" s="558"/>
      <c r="H95" s="558"/>
      <c r="I95" s="558"/>
      <c r="J95" s="558"/>
      <c r="K95" s="558"/>
      <c r="L95" s="558"/>
      <c r="M95" s="558"/>
      <c r="N95" s="558"/>
      <c r="O95" s="558"/>
      <c r="P95" s="558"/>
      <c r="Q95" s="558"/>
      <c r="R95" s="558"/>
      <c r="S95" s="558"/>
      <c r="T95" s="558"/>
      <c r="U95" s="558"/>
      <c r="V95" s="558"/>
      <c r="W95" s="558"/>
      <c r="X95" s="558"/>
      <c r="Y95" s="558"/>
      <c r="Z95" s="619"/>
      <c r="AA95" s="619"/>
      <c r="AB95" s="619"/>
      <c r="AC95" s="619"/>
      <c r="AD95" s="619"/>
      <c r="AE95" s="558"/>
      <c r="AF95" s="558"/>
      <c r="AG95" s="558"/>
      <c r="AH95" s="558"/>
      <c r="AI95" s="558"/>
      <c r="AJ95" s="558"/>
      <c r="AK95" s="558"/>
      <c r="AL95" s="558"/>
      <c r="AM95" s="558"/>
      <c r="AN95" s="558"/>
      <c r="AO95" s="558"/>
      <c r="AP95" s="558"/>
      <c r="AQ95" s="558"/>
      <c r="AR95" s="558"/>
      <c r="AS95" s="558"/>
      <c r="AT95" s="558"/>
      <c r="AU95" s="558"/>
      <c r="AV95" s="558"/>
      <c r="AW95" s="558"/>
      <c r="AX95" s="558"/>
      <c r="AY95" s="188"/>
      <c r="AZ95" s="188"/>
      <c r="BA95" s="188"/>
      <c r="BB95" s="188"/>
      <c r="BC95" s="188"/>
      <c r="BD95" s="188"/>
      <c r="BE95" s="188"/>
      <c r="BF95" s="188"/>
      <c r="BG95" s="188"/>
      <c r="BH95" s="188"/>
      <c r="BI95" s="188"/>
      <c r="BJ95" s="188"/>
      <c r="BK95" s="188"/>
      <c r="BL95" s="188"/>
      <c r="BM95" s="188"/>
      <c r="BN95" s="188"/>
      <c r="BO95" s="188"/>
      <c r="BP95" s="188"/>
      <c r="BQ95" s="188"/>
      <c r="BR95" s="188"/>
      <c r="BS95" s="188"/>
      <c r="BT95" s="188"/>
      <c r="BU95" s="188"/>
      <c r="BV95" s="188"/>
      <c r="BW95" s="188"/>
      <c r="BX95" s="188"/>
      <c r="BY95" s="188"/>
      <c r="BZ95" s="188"/>
      <c r="CA95" s="188"/>
      <c r="CB95" s="188"/>
      <c r="CC95" s="188"/>
      <c r="CD95" s="188"/>
      <c r="CE95" s="188"/>
      <c r="CF95" s="188"/>
      <c r="CG95" s="188"/>
      <c r="CH95" s="188"/>
      <c r="CI95" s="188"/>
      <c r="CJ95" s="188"/>
      <c r="CK95" s="188"/>
      <c r="CL95" s="188"/>
      <c r="CM95" s="188"/>
      <c r="CN95" s="188"/>
      <c r="CO95" s="188"/>
      <c r="CP95" s="188"/>
      <c r="CQ95" s="188"/>
      <c r="CR95" s="188"/>
      <c r="CS95" s="188"/>
      <c r="CT95" s="188"/>
      <c r="CU95" s="188"/>
      <c r="CV95" s="188"/>
      <c r="CW95" s="188"/>
      <c r="CX95" s="188"/>
      <c r="CY95" s="188"/>
      <c r="CZ95" s="188"/>
      <c r="DA95" s="188"/>
      <c r="DB95" s="188"/>
      <c r="DC95" s="188"/>
    </row>
    <row r="96" spans="1:107" ht="9" customHeight="1">
      <c r="A96" s="614"/>
      <c r="B96" s="614"/>
      <c r="C96" s="614"/>
      <c r="D96" s="614"/>
      <c r="E96" s="614"/>
      <c r="F96" s="558"/>
      <c r="G96" s="558"/>
      <c r="H96" s="558"/>
      <c r="I96" s="558"/>
      <c r="J96" s="558"/>
      <c r="K96" s="558"/>
      <c r="L96" s="558"/>
      <c r="M96" s="558"/>
      <c r="N96" s="558"/>
      <c r="O96" s="558"/>
      <c r="P96" s="558"/>
      <c r="Q96" s="558"/>
      <c r="R96" s="558"/>
      <c r="S96" s="558"/>
      <c r="T96" s="558"/>
      <c r="U96" s="558"/>
      <c r="V96" s="558"/>
      <c r="W96" s="558"/>
      <c r="X96" s="558"/>
      <c r="Y96" s="558"/>
      <c r="Z96" s="619"/>
      <c r="AA96" s="619"/>
      <c r="AB96" s="619"/>
      <c r="AC96" s="619"/>
      <c r="AD96" s="619"/>
      <c r="AE96" s="558"/>
      <c r="AF96" s="558"/>
      <c r="AG96" s="558"/>
      <c r="AH96" s="558"/>
      <c r="AI96" s="558"/>
      <c r="AJ96" s="558"/>
      <c r="AK96" s="558"/>
      <c r="AL96" s="558"/>
      <c r="AM96" s="558"/>
      <c r="AN96" s="558"/>
      <c r="AO96" s="558"/>
      <c r="AP96" s="558"/>
      <c r="AQ96" s="558"/>
      <c r="AR96" s="558"/>
      <c r="AS96" s="558"/>
      <c r="AT96" s="558"/>
      <c r="AU96" s="558"/>
      <c r="AV96" s="558"/>
      <c r="AW96" s="558"/>
      <c r="AX96" s="558"/>
      <c r="AY96" s="188"/>
      <c r="AZ96" s="188"/>
      <c r="BA96" s="188"/>
      <c r="BB96" s="188"/>
      <c r="BC96" s="188"/>
      <c r="BD96" s="188"/>
      <c r="BE96" s="188"/>
      <c r="BF96" s="188"/>
      <c r="BG96" s="188"/>
      <c r="BH96" s="188"/>
      <c r="BI96" s="188"/>
      <c r="BJ96" s="188"/>
      <c r="BK96" s="188"/>
      <c r="BL96" s="188"/>
      <c r="BM96" s="188"/>
      <c r="BN96" s="188"/>
      <c r="BO96" s="188"/>
      <c r="BP96" s="188"/>
      <c r="BQ96" s="188"/>
      <c r="BR96" s="188"/>
      <c r="BS96" s="188"/>
      <c r="BT96" s="188"/>
      <c r="BU96" s="188"/>
      <c r="BV96" s="188"/>
      <c r="BW96" s="188"/>
      <c r="BX96" s="188"/>
      <c r="BY96" s="188"/>
      <c r="BZ96" s="188"/>
      <c r="CA96" s="188"/>
      <c r="CB96" s="188"/>
      <c r="CC96" s="188"/>
      <c r="CD96" s="188"/>
      <c r="CE96" s="188"/>
      <c r="CF96" s="188"/>
      <c r="CG96" s="188"/>
      <c r="CH96" s="188"/>
      <c r="CI96" s="188"/>
      <c r="CJ96" s="188"/>
      <c r="CK96" s="188"/>
      <c r="CL96" s="188"/>
      <c r="CM96" s="188"/>
      <c r="CN96" s="188"/>
      <c r="CO96" s="188"/>
      <c r="CP96" s="188"/>
      <c r="CQ96" s="188"/>
      <c r="CR96" s="188"/>
      <c r="CS96" s="188"/>
      <c r="CT96" s="188"/>
      <c r="CU96" s="188"/>
      <c r="CV96" s="188"/>
      <c r="CW96" s="188"/>
      <c r="CX96" s="188"/>
      <c r="CY96" s="188"/>
      <c r="CZ96" s="188"/>
      <c r="DA96" s="188"/>
      <c r="DB96" s="188"/>
      <c r="DC96" s="188"/>
    </row>
    <row r="97" spans="1:107" ht="9" customHeight="1">
      <c r="A97" s="614"/>
      <c r="B97" s="614"/>
      <c r="C97" s="614"/>
      <c r="D97" s="614"/>
      <c r="E97" s="614"/>
      <c r="F97" s="558"/>
      <c r="G97" s="558"/>
      <c r="H97" s="558"/>
      <c r="I97" s="558"/>
      <c r="J97" s="558"/>
      <c r="K97" s="558"/>
      <c r="L97" s="558"/>
      <c r="M97" s="558"/>
      <c r="N97" s="558"/>
      <c r="O97" s="558"/>
      <c r="P97" s="558"/>
      <c r="Q97" s="558"/>
      <c r="R97" s="558"/>
      <c r="S97" s="558"/>
      <c r="T97" s="558"/>
      <c r="U97" s="558"/>
      <c r="V97" s="558"/>
      <c r="W97" s="558"/>
      <c r="X97" s="558"/>
      <c r="Y97" s="558"/>
      <c r="Z97" s="619"/>
      <c r="AA97" s="619"/>
      <c r="AB97" s="619"/>
      <c r="AC97" s="619"/>
      <c r="AD97" s="619"/>
      <c r="AE97" s="558"/>
      <c r="AF97" s="558"/>
      <c r="AG97" s="558"/>
      <c r="AH97" s="558"/>
      <c r="AI97" s="558"/>
      <c r="AJ97" s="558"/>
      <c r="AK97" s="558"/>
      <c r="AL97" s="558"/>
      <c r="AM97" s="558"/>
      <c r="AN97" s="558"/>
      <c r="AO97" s="558"/>
      <c r="AP97" s="558"/>
      <c r="AQ97" s="558"/>
      <c r="AR97" s="558"/>
      <c r="AS97" s="558"/>
      <c r="AT97" s="558"/>
      <c r="AU97" s="558"/>
      <c r="AV97" s="558"/>
      <c r="AW97" s="558"/>
      <c r="AX97" s="558"/>
      <c r="AY97" s="188"/>
      <c r="AZ97" s="188"/>
      <c r="BA97" s="188"/>
      <c r="BB97" s="188"/>
      <c r="BC97" s="188"/>
      <c r="BD97" s="188"/>
      <c r="BE97" s="188"/>
      <c r="BF97" s="188"/>
      <c r="BG97" s="188"/>
      <c r="BH97" s="188"/>
      <c r="BI97" s="188"/>
      <c r="BJ97" s="188"/>
      <c r="BK97" s="188"/>
      <c r="BL97" s="188"/>
      <c r="BM97" s="188"/>
      <c r="BN97" s="188"/>
      <c r="BO97" s="188"/>
      <c r="BP97" s="188"/>
      <c r="BQ97" s="188"/>
      <c r="BR97" s="188"/>
      <c r="BS97" s="188"/>
      <c r="BT97" s="188"/>
      <c r="BU97" s="188"/>
      <c r="BV97" s="188"/>
      <c r="BW97" s="188"/>
      <c r="BX97" s="188"/>
      <c r="BY97" s="188"/>
      <c r="BZ97" s="188"/>
      <c r="CA97" s="188"/>
      <c r="CB97" s="188"/>
      <c r="CC97" s="188"/>
      <c r="CD97" s="188"/>
      <c r="CE97" s="188"/>
      <c r="CF97" s="188"/>
      <c r="CG97" s="188"/>
      <c r="CH97" s="188"/>
      <c r="CI97" s="188"/>
      <c r="CJ97" s="188"/>
      <c r="CK97" s="188"/>
      <c r="CL97" s="188"/>
      <c r="CM97" s="188"/>
      <c r="CN97" s="188"/>
      <c r="CO97" s="188"/>
      <c r="CP97" s="188"/>
      <c r="CQ97" s="188"/>
      <c r="CR97" s="188"/>
      <c r="CS97" s="188"/>
      <c r="CT97" s="188"/>
      <c r="CU97" s="188"/>
      <c r="CV97" s="188"/>
      <c r="CW97" s="188"/>
      <c r="CX97" s="188"/>
      <c r="CY97" s="188"/>
      <c r="CZ97" s="188"/>
      <c r="DA97" s="188"/>
      <c r="DB97" s="188"/>
      <c r="DC97" s="188"/>
    </row>
    <row r="98" spans="1:107" ht="9" customHeight="1">
      <c r="A98" s="614"/>
      <c r="B98" s="614"/>
      <c r="C98" s="614"/>
      <c r="D98" s="614"/>
      <c r="E98" s="614"/>
      <c r="F98" s="558"/>
      <c r="G98" s="558"/>
      <c r="H98" s="558"/>
      <c r="I98" s="558"/>
      <c r="J98" s="558"/>
      <c r="K98" s="558"/>
      <c r="L98" s="558"/>
      <c r="M98" s="558"/>
      <c r="N98" s="558"/>
      <c r="O98" s="558"/>
      <c r="P98" s="558"/>
      <c r="Q98" s="558"/>
      <c r="R98" s="558"/>
      <c r="S98" s="558"/>
      <c r="T98" s="558"/>
      <c r="U98" s="558"/>
      <c r="V98" s="558"/>
      <c r="W98" s="558"/>
      <c r="X98" s="558"/>
      <c r="Y98" s="558"/>
      <c r="Z98" s="619"/>
      <c r="AA98" s="619"/>
      <c r="AB98" s="619"/>
      <c r="AC98" s="619"/>
      <c r="AD98" s="619"/>
      <c r="AE98" s="558"/>
      <c r="AF98" s="558"/>
      <c r="AG98" s="558"/>
      <c r="AH98" s="558"/>
      <c r="AI98" s="558"/>
      <c r="AJ98" s="558"/>
      <c r="AK98" s="558"/>
      <c r="AL98" s="558"/>
      <c r="AM98" s="558"/>
      <c r="AN98" s="558"/>
      <c r="AO98" s="558"/>
      <c r="AP98" s="558"/>
      <c r="AQ98" s="558"/>
      <c r="AR98" s="558"/>
      <c r="AS98" s="558"/>
      <c r="AT98" s="558"/>
      <c r="AU98" s="558"/>
      <c r="AV98" s="558"/>
      <c r="AW98" s="558"/>
      <c r="AX98" s="558"/>
      <c r="AY98" s="188"/>
      <c r="AZ98" s="188"/>
      <c r="BA98" s="188"/>
      <c r="BB98" s="188"/>
      <c r="BC98" s="188"/>
      <c r="BD98" s="188"/>
      <c r="BE98" s="188"/>
      <c r="BF98" s="188"/>
      <c r="BG98" s="188"/>
      <c r="BH98" s="188"/>
      <c r="BI98" s="188"/>
      <c r="BJ98" s="188"/>
      <c r="BK98" s="188"/>
      <c r="BL98" s="188"/>
      <c r="BM98" s="188"/>
      <c r="BN98" s="188"/>
      <c r="BO98" s="188"/>
      <c r="BP98" s="332"/>
      <c r="BQ98" s="331"/>
      <c r="BR98" s="331"/>
      <c r="BS98" s="331"/>
      <c r="BT98" s="331"/>
      <c r="BU98" s="332"/>
      <c r="BV98" s="188"/>
      <c r="BW98" s="188"/>
      <c r="BX98" s="188"/>
      <c r="BY98" s="188"/>
      <c r="BZ98" s="188"/>
      <c r="CA98" s="188"/>
      <c r="CB98" s="188"/>
      <c r="CC98" s="188"/>
      <c r="CD98" s="188"/>
      <c r="CE98" s="188"/>
      <c r="CF98" s="188"/>
      <c r="CG98" s="188"/>
      <c r="CH98" s="188"/>
      <c r="CI98" s="188"/>
      <c r="CJ98" s="188"/>
      <c r="CK98" s="188"/>
      <c r="CL98" s="188"/>
      <c r="CM98" s="188"/>
      <c r="CN98" s="188"/>
      <c r="CO98" s="188"/>
      <c r="CP98" s="188"/>
      <c r="CQ98" s="188"/>
      <c r="CR98" s="188"/>
      <c r="CS98" s="188"/>
      <c r="CT98" s="188"/>
      <c r="CU98" s="188"/>
      <c r="CV98" s="188"/>
      <c r="CW98" s="188"/>
      <c r="CX98" s="188"/>
      <c r="CY98" s="188"/>
      <c r="CZ98" s="188"/>
      <c r="DA98" s="188"/>
      <c r="DB98" s="188"/>
      <c r="DC98" s="188"/>
    </row>
    <row r="99" spans="1:107" ht="9" customHeight="1">
      <c r="A99" s="614"/>
      <c r="B99" s="614"/>
      <c r="C99" s="614"/>
      <c r="D99" s="614"/>
      <c r="E99" s="614"/>
      <c r="F99" s="558"/>
      <c r="G99" s="558"/>
      <c r="H99" s="558"/>
      <c r="I99" s="558"/>
      <c r="J99" s="558"/>
      <c r="K99" s="558"/>
      <c r="L99" s="558"/>
      <c r="M99" s="558"/>
      <c r="N99" s="558"/>
      <c r="O99" s="558"/>
      <c r="P99" s="558"/>
      <c r="Q99" s="558"/>
      <c r="R99" s="558"/>
      <c r="S99" s="558"/>
      <c r="T99" s="558"/>
      <c r="U99" s="558"/>
      <c r="V99" s="558"/>
      <c r="W99" s="558"/>
      <c r="X99" s="558"/>
      <c r="Y99" s="558"/>
      <c r="Z99" s="619"/>
      <c r="AA99" s="619"/>
      <c r="AB99" s="619"/>
      <c r="AC99" s="619"/>
      <c r="AD99" s="619"/>
      <c r="AE99" s="558"/>
      <c r="AF99" s="558"/>
      <c r="AG99" s="558"/>
      <c r="AH99" s="558"/>
      <c r="AI99" s="558"/>
      <c r="AJ99" s="558"/>
      <c r="AK99" s="558"/>
      <c r="AL99" s="558"/>
      <c r="AM99" s="558"/>
      <c r="AN99" s="558"/>
      <c r="AO99" s="558"/>
      <c r="AP99" s="558"/>
      <c r="AQ99" s="558"/>
      <c r="AR99" s="558"/>
      <c r="AS99" s="558"/>
      <c r="AT99" s="558"/>
      <c r="AU99" s="558"/>
      <c r="AV99" s="558"/>
      <c r="AW99" s="558"/>
      <c r="AX99" s="558"/>
      <c r="AY99" s="188"/>
      <c r="AZ99" s="188"/>
      <c r="BA99" s="188"/>
      <c r="BB99" s="188"/>
      <c r="BC99" s="188"/>
      <c r="BD99" s="188"/>
      <c r="BE99" s="188"/>
      <c r="BF99" s="568"/>
      <c r="BG99" s="569"/>
      <c r="BH99" s="570"/>
      <c r="BI99" s="684" t="s">
        <v>135</v>
      </c>
      <c r="BJ99" s="610"/>
      <c r="BK99" s="188"/>
      <c r="BL99" s="188"/>
      <c r="BM99" s="188"/>
      <c r="BN99" s="188"/>
      <c r="BO99" s="188"/>
      <c r="BP99" s="332"/>
      <c r="BQ99" s="678"/>
      <c r="BR99" s="679"/>
      <c r="BS99" s="679"/>
      <c r="BT99" s="680"/>
      <c r="BU99" s="684" t="s">
        <v>135</v>
      </c>
      <c r="BV99" s="498"/>
      <c r="BW99" s="188"/>
      <c r="BX99" s="188"/>
      <c r="BY99" s="188"/>
      <c r="BZ99" s="188"/>
      <c r="CA99" s="188"/>
      <c r="CB99" s="188"/>
      <c r="CC99" s="568"/>
      <c r="CD99" s="569"/>
      <c r="CE99" s="570"/>
      <c r="CF99" s="684" t="s">
        <v>135</v>
      </c>
      <c r="CG99" s="610"/>
      <c r="CH99" s="188"/>
      <c r="CI99" s="188"/>
      <c r="CJ99" s="568"/>
      <c r="CK99" s="569"/>
      <c r="CL99" s="570"/>
      <c r="CM99" s="684" t="s">
        <v>135</v>
      </c>
      <c r="CN99" s="610"/>
      <c r="CO99" s="188"/>
      <c r="CP99" s="188"/>
      <c r="CQ99" s="568"/>
      <c r="CR99" s="569"/>
      <c r="CS99" s="570"/>
      <c r="CT99" s="684" t="s">
        <v>135</v>
      </c>
      <c r="CU99" s="610"/>
      <c r="CV99" s="188"/>
      <c r="CW99" s="188"/>
      <c r="CX99" s="188"/>
      <c r="CY99" s="188"/>
      <c r="CZ99" s="188"/>
      <c r="DA99" s="188"/>
      <c r="DB99" s="188"/>
      <c r="DC99" s="188"/>
    </row>
    <row r="100" spans="1:107" ht="9" customHeight="1">
      <c r="A100" s="614"/>
      <c r="B100" s="614"/>
      <c r="C100" s="614"/>
      <c r="D100" s="614"/>
      <c r="E100" s="614"/>
      <c r="F100" s="558"/>
      <c r="G100" s="558"/>
      <c r="H100" s="558"/>
      <c r="I100" s="558"/>
      <c r="J100" s="558"/>
      <c r="K100" s="558"/>
      <c r="L100" s="558"/>
      <c r="M100" s="558"/>
      <c r="N100" s="558"/>
      <c r="O100" s="558"/>
      <c r="P100" s="558"/>
      <c r="Q100" s="558"/>
      <c r="R100" s="558"/>
      <c r="S100" s="558"/>
      <c r="T100" s="558"/>
      <c r="U100" s="558"/>
      <c r="V100" s="558"/>
      <c r="W100" s="558"/>
      <c r="X100" s="558"/>
      <c r="Y100" s="558"/>
      <c r="Z100" s="619"/>
      <c r="AA100" s="619"/>
      <c r="AB100" s="619"/>
      <c r="AC100" s="619"/>
      <c r="AD100" s="619"/>
      <c r="AE100" s="558"/>
      <c r="AF100" s="558"/>
      <c r="AG100" s="558"/>
      <c r="AH100" s="558"/>
      <c r="AI100" s="558"/>
      <c r="AJ100" s="558"/>
      <c r="AK100" s="558"/>
      <c r="AL100" s="558"/>
      <c r="AM100" s="558"/>
      <c r="AN100" s="558"/>
      <c r="AO100" s="558"/>
      <c r="AP100" s="558"/>
      <c r="AQ100" s="558"/>
      <c r="AR100" s="558"/>
      <c r="AS100" s="558"/>
      <c r="AT100" s="558"/>
      <c r="AU100" s="558"/>
      <c r="AV100" s="558"/>
      <c r="AW100" s="558"/>
      <c r="AX100" s="558"/>
      <c r="AY100" s="188"/>
      <c r="AZ100" s="188"/>
      <c r="BA100" s="188"/>
      <c r="BB100" s="188"/>
      <c r="BC100" s="188"/>
      <c r="BD100" s="188"/>
      <c r="BE100" s="188"/>
      <c r="BF100" s="571"/>
      <c r="BG100" s="551"/>
      <c r="BH100" s="572"/>
      <c r="BI100" s="684"/>
      <c r="BJ100" s="610"/>
      <c r="BK100" s="188"/>
      <c r="BL100" s="188"/>
      <c r="BM100" s="188"/>
      <c r="BN100" s="188"/>
      <c r="BO100" s="188"/>
      <c r="BP100" s="332"/>
      <c r="BQ100" s="681"/>
      <c r="BR100" s="682"/>
      <c r="BS100" s="682"/>
      <c r="BT100" s="683"/>
      <c r="BU100" s="575"/>
      <c r="BV100" s="498"/>
      <c r="BW100" s="188"/>
      <c r="BX100" s="188"/>
      <c r="BY100" s="188"/>
      <c r="BZ100" s="188"/>
      <c r="CA100" s="188"/>
      <c r="CB100" s="188"/>
      <c r="CC100" s="571"/>
      <c r="CD100" s="551"/>
      <c r="CE100" s="572"/>
      <c r="CF100" s="684"/>
      <c r="CG100" s="610"/>
      <c r="CH100" s="188"/>
      <c r="CI100" s="188"/>
      <c r="CJ100" s="571"/>
      <c r="CK100" s="551"/>
      <c r="CL100" s="572"/>
      <c r="CM100" s="684"/>
      <c r="CN100" s="610"/>
      <c r="CO100" s="188"/>
      <c r="CP100" s="188"/>
      <c r="CQ100" s="571"/>
      <c r="CR100" s="551"/>
      <c r="CS100" s="572"/>
      <c r="CT100" s="684"/>
      <c r="CU100" s="610"/>
      <c r="CV100" s="188"/>
      <c r="CW100" s="188"/>
      <c r="CX100" s="188"/>
      <c r="CY100" s="188"/>
      <c r="CZ100" s="188"/>
      <c r="DA100" s="188"/>
      <c r="DB100" s="188"/>
      <c r="DC100" s="188"/>
    </row>
    <row r="101" spans="1:107" ht="9" customHeight="1">
      <c r="A101" s="614"/>
      <c r="B101" s="614"/>
      <c r="C101" s="614"/>
      <c r="D101" s="614"/>
      <c r="E101" s="614"/>
      <c r="F101" s="558"/>
      <c r="G101" s="558"/>
      <c r="H101" s="558"/>
      <c r="I101" s="558"/>
      <c r="J101" s="558"/>
      <c r="K101" s="558"/>
      <c r="L101" s="558"/>
      <c r="M101" s="558"/>
      <c r="N101" s="558"/>
      <c r="O101" s="558"/>
      <c r="P101" s="558"/>
      <c r="Q101" s="558"/>
      <c r="R101" s="558"/>
      <c r="S101" s="558"/>
      <c r="T101" s="558"/>
      <c r="U101" s="558"/>
      <c r="V101" s="558"/>
      <c r="W101" s="558"/>
      <c r="X101" s="558"/>
      <c r="Y101" s="558"/>
      <c r="Z101" s="619"/>
      <c r="AA101" s="619"/>
      <c r="AB101" s="619"/>
      <c r="AC101" s="619"/>
      <c r="AD101" s="619"/>
      <c r="AE101" s="558"/>
      <c r="AF101" s="558"/>
      <c r="AG101" s="558"/>
      <c r="AH101" s="558"/>
      <c r="AI101" s="558"/>
      <c r="AJ101" s="558"/>
      <c r="AK101" s="558"/>
      <c r="AL101" s="558"/>
      <c r="AM101" s="558"/>
      <c r="AN101" s="558"/>
      <c r="AO101" s="558"/>
      <c r="AP101" s="558"/>
      <c r="AQ101" s="558"/>
      <c r="AR101" s="558"/>
      <c r="AS101" s="558"/>
      <c r="AT101" s="558"/>
      <c r="AU101" s="558"/>
      <c r="AV101" s="558"/>
      <c r="AW101" s="558"/>
      <c r="AX101" s="558"/>
      <c r="AY101" s="188"/>
      <c r="AZ101" s="188"/>
      <c r="BA101" s="188"/>
      <c r="BB101" s="188"/>
      <c r="BC101" s="188"/>
      <c r="BD101" s="188"/>
      <c r="BE101" s="188"/>
      <c r="BF101" s="188"/>
      <c r="BG101" s="188"/>
      <c r="BH101" s="188"/>
      <c r="BI101" s="188"/>
      <c r="BJ101" s="188"/>
      <c r="BK101" s="188"/>
      <c r="BL101" s="188"/>
      <c r="BM101" s="188"/>
      <c r="BN101" s="188"/>
      <c r="BO101" s="188"/>
      <c r="BP101" s="188"/>
      <c r="BQ101" s="188"/>
      <c r="BR101" s="188"/>
      <c r="BS101" s="188"/>
      <c r="BT101" s="188"/>
      <c r="BU101" s="188"/>
      <c r="BV101" s="188"/>
      <c r="BW101" s="188"/>
      <c r="BX101" s="188"/>
      <c r="BY101" s="188"/>
      <c r="BZ101" s="188"/>
      <c r="CA101" s="188"/>
      <c r="CB101" s="188"/>
      <c r="CC101" s="188"/>
      <c r="CD101" s="188"/>
      <c r="CE101" s="188"/>
      <c r="CF101" s="188"/>
      <c r="CG101" s="188"/>
      <c r="CH101" s="188"/>
      <c r="CI101" s="188"/>
      <c r="CJ101" s="188"/>
      <c r="CK101" s="188"/>
      <c r="CL101" s="188"/>
      <c r="CM101" s="188"/>
      <c r="CN101" s="188"/>
      <c r="CO101" s="188"/>
      <c r="CP101" s="188"/>
      <c r="CQ101" s="188"/>
      <c r="CR101" s="188"/>
      <c r="CS101" s="188"/>
      <c r="CT101" s="188"/>
      <c r="CU101" s="188"/>
      <c r="CV101" s="188"/>
      <c r="CW101" s="188"/>
      <c r="CX101" s="188"/>
      <c r="CY101" s="188"/>
      <c r="CZ101" s="188"/>
      <c r="DA101" s="188"/>
      <c r="DB101" s="188"/>
      <c r="DC101" s="188"/>
    </row>
    <row r="102" spans="1:107" ht="9" customHeight="1">
      <c r="A102" s="614"/>
      <c r="B102" s="614"/>
      <c r="C102" s="614"/>
      <c r="D102" s="614"/>
      <c r="E102" s="614"/>
      <c r="F102" s="558"/>
      <c r="G102" s="558"/>
      <c r="H102" s="558"/>
      <c r="I102" s="558"/>
      <c r="J102" s="558"/>
      <c r="K102" s="558"/>
      <c r="L102" s="558"/>
      <c r="M102" s="558"/>
      <c r="N102" s="558"/>
      <c r="O102" s="558"/>
      <c r="P102" s="558"/>
      <c r="Q102" s="558"/>
      <c r="R102" s="558"/>
      <c r="S102" s="558"/>
      <c r="T102" s="558"/>
      <c r="U102" s="558"/>
      <c r="V102" s="558"/>
      <c r="W102" s="558"/>
      <c r="X102" s="558"/>
      <c r="Y102" s="558"/>
      <c r="Z102" s="619"/>
      <c r="AA102" s="619"/>
      <c r="AB102" s="619"/>
      <c r="AC102" s="619"/>
      <c r="AD102" s="619"/>
      <c r="AE102" s="558"/>
      <c r="AF102" s="558"/>
      <c r="AG102" s="558"/>
      <c r="AH102" s="558"/>
      <c r="AI102" s="558"/>
      <c r="AJ102" s="558"/>
      <c r="AK102" s="558"/>
      <c r="AL102" s="558"/>
      <c r="AM102" s="558"/>
      <c r="AN102" s="558"/>
      <c r="AO102" s="558"/>
      <c r="AP102" s="558"/>
      <c r="AQ102" s="558"/>
      <c r="AR102" s="558"/>
      <c r="AS102" s="558"/>
      <c r="AT102" s="558"/>
      <c r="AU102" s="558"/>
      <c r="AV102" s="558"/>
      <c r="AW102" s="558"/>
      <c r="AX102" s="558"/>
      <c r="AY102" s="188"/>
      <c r="AZ102" s="188"/>
      <c r="BA102" s="188"/>
      <c r="BB102" s="188"/>
      <c r="BC102" s="188"/>
      <c r="BD102" s="188"/>
      <c r="BE102" s="188"/>
      <c r="BF102" s="188"/>
      <c r="BG102" s="188"/>
      <c r="BH102" s="188"/>
      <c r="BI102" s="188"/>
      <c r="BJ102" s="188"/>
      <c r="BK102" s="188"/>
      <c r="BL102" s="188"/>
      <c r="BM102" s="188"/>
      <c r="BN102" s="188"/>
      <c r="BO102" s="188"/>
      <c r="BP102" s="188"/>
      <c r="BQ102" s="188"/>
      <c r="BR102" s="188"/>
      <c r="BS102" s="188"/>
      <c r="BT102" s="188"/>
      <c r="BU102" s="198"/>
      <c r="BV102" s="198"/>
      <c r="BW102" s="198"/>
      <c r="BX102" s="198"/>
      <c r="BY102" s="198"/>
      <c r="BZ102" s="198"/>
      <c r="CA102" s="198"/>
      <c r="CB102" s="198"/>
      <c r="CC102" s="198"/>
      <c r="CD102" s="198"/>
      <c r="CE102" s="198"/>
      <c r="CF102" s="188"/>
      <c r="CG102" s="188"/>
      <c r="CH102" s="188"/>
      <c r="CI102" s="188"/>
      <c r="CJ102" s="188"/>
      <c r="CK102" s="188"/>
      <c r="CL102" s="188"/>
      <c r="CM102" s="188"/>
      <c r="CN102" s="188"/>
      <c r="CO102" s="188"/>
      <c r="CP102" s="188"/>
      <c r="CQ102" s="188"/>
      <c r="CR102" s="188"/>
      <c r="CS102" s="188"/>
      <c r="CT102" s="188"/>
      <c r="CU102" s="188"/>
      <c r="CV102" s="188"/>
      <c r="CW102" s="188"/>
      <c r="CX102" s="188"/>
      <c r="CY102" s="188"/>
      <c r="CZ102" s="188"/>
      <c r="DA102" s="188"/>
      <c r="DB102" s="188"/>
      <c r="DC102" s="188"/>
    </row>
    <row r="103" spans="1:107" ht="9" customHeight="1">
      <c r="A103" s="614"/>
      <c r="B103" s="614"/>
      <c r="C103" s="614"/>
      <c r="D103" s="614"/>
      <c r="E103" s="614"/>
      <c r="F103" s="558"/>
      <c r="G103" s="558"/>
      <c r="H103" s="558"/>
      <c r="I103" s="558"/>
      <c r="J103" s="558"/>
      <c r="K103" s="558"/>
      <c r="L103" s="558"/>
      <c r="M103" s="558"/>
      <c r="N103" s="558"/>
      <c r="O103" s="558"/>
      <c r="P103" s="558"/>
      <c r="Q103" s="558"/>
      <c r="R103" s="558"/>
      <c r="S103" s="558"/>
      <c r="T103" s="558"/>
      <c r="U103" s="558"/>
      <c r="V103" s="558"/>
      <c r="W103" s="558"/>
      <c r="X103" s="558"/>
      <c r="Y103" s="558"/>
      <c r="Z103" s="619"/>
      <c r="AA103" s="619"/>
      <c r="AB103" s="619"/>
      <c r="AC103" s="619"/>
      <c r="AD103" s="619"/>
      <c r="AE103" s="558"/>
      <c r="AF103" s="558"/>
      <c r="AG103" s="558"/>
      <c r="AH103" s="558"/>
      <c r="AI103" s="558"/>
      <c r="AJ103" s="558"/>
      <c r="AK103" s="558"/>
      <c r="AL103" s="558"/>
      <c r="AM103" s="558"/>
      <c r="AN103" s="558"/>
      <c r="AO103" s="558"/>
      <c r="AP103" s="558"/>
      <c r="AQ103" s="558"/>
      <c r="AR103" s="558"/>
      <c r="AS103" s="558"/>
      <c r="AT103" s="558"/>
      <c r="AU103" s="558"/>
      <c r="AV103" s="558"/>
      <c r="AW103" s="558"/>
      <c r="AX103" s="558"/>
      <c r="AY103" s="188"/>
      <c r="AZ103" s="188"/>
      <c r="BA103" s="188"/>
      <c r="BC103" s="610" t="s">
        <v>241</v>
      </c>
      <c r="BD103" s="498"/>
      <c r="BE103" s="498"/>
      <c r="BF103" s="498"/>
      <c r="BG103" s="498"/>
      <c r="BH103" s="498"/>
      <c r="BI103" s="498"/>
      <c r="BJ103" s="498"/>
      <c r="BK103" s="498"/>
      <c r="BL103" s="498"/>
      <c r="BM103" s="498"/>
      <c r="BN103" s="498"/>
      <c r="BO103" s="498"/>
      <c r="BP103" s="498"/>
      <c r="BQ103" s="696"/>
      <c r="BR103" s="696"/>
      <c r="BS103" s="696"/>
      <c r="BT103" s="696"/>
      <c r="BU103" s="353"/>
      <c r="BV103" s="353"/>
      <c r="BW103" s="353"/>
      <c r="BX103" s="353"/>
      <c r="BY103" s="353"/>
      <c r="BZ103" s="353"/>
      <c r="CA103" s="353"/>
      <c r="CB103" s="353"/>
      <c r="CC103" s="198"/>
      <c r="CD103" s="198"/>
      <c r="CE103" s="198"/>
      <c r="CF103" s="610" t="s">
        <v>142</v>
      </c>
      <c r="CG103" s="610"/>
      <c r="CH103" s="610"/>
      <c r="CI103" s="610"/>
      <c r="CJ103" s="498"/>
      <c r="CK103" s="685"/>
      <c r="CL103" s="685"/>
      <c r="CM103" s="685"/>
      <c r="CN103" s="685"/>
      <c r="CO103" s="685"/>
      <c r="CP103" s="685"/>
      <c r="CQ103" s="685"/>
      <c r="CR103" s="685"/>
      <c r="CS103" s="685"/>
      <c r="CT103" s="685"/>
      <c r="CU103" s="685"/>
      <c r="CV103" s="685"/>
      <c r="CW103" s="685"/>
      <c r="CX103" s="188"/>
      <c r="CY103" s="188"/>
      <c r="CZ103" s="188"/>
      <c r="DA103" s="188"/>
      <c r="DB103" s="188"/>
      <c r="DC103" s="188"/>
    </row>
    <row r="104" spans="1:107" ht="9" customHeight="1">
      <c r="A104" s="614"/>
      <c r="B104" s="614"/>
      <c r="C104" s="614"/>
      <c r="D104" s="614"/>
      <c r="E104" s="614"/>
      <c r="F104" s="558"/>
      <c r="G104" s="558"/>
      <c r="H104" s="558"/>
      <c r="I104" s="558"/>
      <c r="J104" s="558"/>
      <c r="K104" s="558"/>
      <c r="L104" s="558"/>
      <c r="M104" s="558"/>
      <c r="N104" s="558"/>
      <c r="O104" s="558"/>
      <c r="P104" s="558"/>
      <c r="Q104" s="558"/>
      <c r="R104" s="558"/>
      <c r="S104" s="558"/>
      <c r="T104" s="558"/>
      <c r="U104" s="558"/>
      <c r="V104" s="558"/>
      <c r="W104" s="558"/>
      <c r="X104" s="558"/>
      <c r="Y104" s="558"/>
      <c r="Z104" s="619"/>
      <c r="AA104" s="619"/>
      <c r="AB104" s="619"/>
      <c r="AC104" s="619"/>
      <c r="AD104" s="619"/>
      <c r="AE104" s="558"/>
      <c r="AF104" s="558"/>
      <c r="AG104" s="558"/>
      <c r="AH104" s="558"/>
      <c r="AI104" s="558"/>
      <c r="AJ104" s="558"/>
      <c r="AK104" s="558"/>
      <c r="AL104" s="558"/>
      <c r="AM104" s="558"/>
      <c r="AN104" s="558"/>
      <c r="AO104" s="558"/>
      <c r="AP104" s="558"/>
      <c r="AQ104" s="558"/>
      <c r="AR104" s="558"/>
      <c r="AS104" s="558"/>
      <c r="AT104" s="558"/>
      <c r="AU104" s="558"/>
      <c r="AV104" s="558"/>
      <c r="AW104" s="558"/>
      <c r="AX104" s="558"/>
      <c r="AY104" s="188"/>
      <c r="AZ104" s="188"/>
      <c r="BA104" s="188"/>
      <c r="BC104" s="498"/>
      <c r="BD104" s="498"/>
      <c r="BE104" s="498"/>
      <c r="BF104" s="498"/>
      <c r="BG104" s="498"/>
      <c r="BH104" s="498"/>
      <c r="BI104" s="498"/>
      <c r="BJ104" s="498"/>
      <c r="BK104" s="498"/>
      <c r="BL104" s="498"/>
      <c r="BM104" s="498"/>
      <c r="BN104" s="498"/>
      <c r="BO104" s="498"/>
      <c r="BP104" s="498"/>
      <c r="BQ104" s="697"/>
      <c r="BR104" s="697"/>
      <c r="BS104" s="697"/>
      <c r="BT104" s="697"/>
      <c r="BU104" s="265"/>
      <c r="BV104" s="265"/>
      <c r="BW104" s="265"/>
      <c r="BX104" s="265"/>
      <c r="BY104" s="265"/>
      <c r="BZ104" s="265"/>
      <c r="CA104" s="265"/>
      <c r="CB104" s="265"/>
      <c r="CC104" s="198"/>
      <c r="CD104" s="198"/>
      <c r="CE104" s="198"/>
      <c r="CF104" s="498"/>
      <c r="CG104" s="498"/>
      <c r="CH104" s="498"/>
      <c r="CI104" s="498"/>
      <c r="CJ104" s="498"/>
      <c r="CK104" s="626"/>
      <c r="CL104" s="626"/>
      <c r="CM104" s="626"/>
      <c r="CN104" s="626"/>
      <c r="CO104" s="626"/>
      <c r="CP104" s="626"/>
      <c r="CQ104" s="626"/>
      <c r="CR104" s="626"/>
      <c r="CS104" s="626"/>
      <c r="CT104" s="626"/>
      <c r="CU104" s="626"/>
      <c r="CV104" s="626"/>
      <c r="CW104" s="626"/>
      <c r="CX104" s="188"/>
      <c r="CY104" s="188"/>
      <c r="CZ104" s="188"/>
      <c r="DA104" s="188"/>
      <c r="DB104" s="188"/>
      <c r="DC104" s="188"/>
    </row>
    <row r="105" spans="1:107" ht="9" customHeight="1">
      <c r="A105" s="614"/>
      <c r="B105" s="614"/>
      <c r="C105" s="614"/>
      <c r="D105" s="614"/>
      <c r="E105" s="614"/>
      <c r="F105" s="558"/>
      <c r="G105" s="558"/>
      <c r="H105" s="558"/>
      <c r="I105" s="558"/>
      <c r="J105" s="558"/>
      <c r="K105" s="558"/>
      <c r="L105" s="558"/>
      <c r="M105" s="558"/>
      <c r="N105" s="558"/>
      <c r="O105" s="558"/>
      <c r="P105" s="558"/>
      <c r="Q105" s="558"/>
      <c r="R105" s="558"/>
      <c r="S105" s="558"/>
      <c r="T105" s="558"/>
      <c r="U105" s="558"/>
      <c r="V105" s="558"/>
      <c r="W105" s="558"/>
      <c r="X105" s="558"/>
      <c r="Y105" s="558"/>
      <c r="Z105" s="619"/>
      <c r="AA105" s="619"/>
      <c r="AB105" s="619"/>
      <c r="AC105" s="619"/>
      <c r="AD105" s="619"/>
      <c r="AE105" s="558"/>
      <c r="AF105" s="558"/>
      <c r="AG105" s="558"/>
      <c r="AH105" s="558"/>
      <c r="AI105" s="558"/>
      <c r="AJ105" s="558"/>
      <c r="AK105" s="558"/>
      <c r="AL105" s="558"/>
      <c r="AM105" s="558"/>
      <c r="AN105" s="558"/>
      <c r="AO105" s="558"/>
      <c r="AP105" s="558"/>
      <c r="AQ105" s="558"/>
      <c r="AR105" s="558"/>
      <c r="AS105" s="558"/>
      <c r="AT105" s="558"/>
      <c r="AU105" s="558"/>
      <c r="AV105" s="558"/>
      <c r="AW105" s="558"/>
      <c r="AX105" s="558"/>
      <c r="AY105" s="188"/>
      <c r="AZ105" s="188"/>
      <c r="BA105" s="188"/>
      <c r="BB105" s="189"/>
      <c r="BC105" s="189"/>
      <c r="BD105" s="189"/>
      <c r="BE105" s="189"/>
      <c r="BF105" s="189"/>
      <c r="BG105" s="188"/>
      <c r="BH105" s="188"/>
      <c r="BI105" s="188"/>
      <c r="BJ105" s="188"/>
      <c r="BK105" s="188"/>
      <c r="BL105" s="188"/>
      <c r="BM105" s="188"/>
      <c r="BN105" s="188"/>
      <c r="BO105" s="188"/>
      <c r="BP105" s="188"/>
      <c r="BQ105" s="188"/>
      <c r="BR105" s="188"/>
      <c r="BS105" s="188"/>
      <c r="BT105" s="188"/>
      <c r="BU105" s="188"/>
      <c r="BV105" s="188"/>
      <c r="BW105" s="188"/>
      <c r="BX105" s="188"/>
      <c r="BY105" s="188"/>
      <c r="BZ105" s="188"/>
      <c r="CA105" s="188"/>
      <c r="CB105" s="188"/>
      <c r="CC105" s="188"/>
      <c r="CD105" s="188"/>
      <c r="CE105" s="188"/>
      <c r="CF105" s="188"/>
      <c r="CG105" s="188"/>
      <c r="CH105" s="188"/>
      <c r="CI105" s="188"/>
      <c r="CJ105" s="188"/>
      <c r="CK105" s="188"/>
      <c r="CL105" s="188"/>
      <c r="CM105" s="188"/>
      <c r="CN105" s="188"/>
      <c r="CO105" s="188"/>
      <c r="CP105" s="188"/>
      <c r="CQ105" s="188"/>
      <c r="CR105" s="188"/>
      <c r="CS105" s="188"/>
      <c r="CT105" s="188"/>
      <c r="CU105" s="188"/>
      <c r="CV105" s="188"/>
      <c r="CW105" s="188"/>
      <c r="CX105" s="188"/>
      <c r="CY105" s="188"/>
      <c r="CZ105" s="188"/>
      <c r="DA105" s="188"/>
      <c r="DB105" s="188"/>
      <c r="DC105" s="188"/>
    </row>
    <row r="106" spans="1:107" ht="9" customHeight="1">
      <c r="A106" s="614"/>
      <c r="B106" s="614"/>
      <c r="C106" s="614"/>
      <c r="D106" s="614"/>
      <c r="E106" s="614"/>
      <c r="F106" s="558"/>
      <c r="G106" s="558"/>
      <c r="H106" s="558"/>
      <c r="I106" s="558"/>
      <c r="J106" s="558"/>
      <c r="K106" s="558"/>
      <c r="L106" s="558"/>
      <c r="M106" s="558"/>
      <c r="N106" s="558"/>
      <c r="O106" s="558"/>
      <c r="P106" s="558"/>
      <c r="Q106" s="558"/>
      <c r="R106" s="558"/>
      <c r="S106" s="558"/>
      <c r="T106" s="558"/>
      <c r="U106" s="558"/>
      <c r="V106" s="558"/>
      <c r="W106" s="558"/>
      <c r="X106" s="558"/>
      <c r="Y106" s="558"/>
      <c r="Z106" s="619"/>
      <c r="AA106" s="619"/>
      <c r="AB106" s="619"/>
      <c r="AC106" s="619"/>
      <c r="AD106" s="619"/>
      <c r="AE106" s="558"/>
      <c r="AF106" s="558"/>
      <c r="AG106" s="558"/>
      <c r="AH106" s="558"/>
      <c r="AI106" s="558"/>
      <c r="AJ106" s="558"/>
      <c r="AK106" s="558"/>
      <c r="AL106" s="558"/>
      <c r="AM106" s="558"/>
      <c r="AN106" s="558"/>
      <c r="AO106" s="558"/>
      <c r="AP106" s="558"/>
      <c r="AQ106" s="558"/>
      <c r="AR106" s="558"/>
      <c r="AS106" s="558"/>
      <c r="AT106" s="558"/>
      <c r="AU106" s="558"/>
      <c r="AV106" s="558"/>
      <c r="AW106" s="558"/>
      <c r="AX106" s="558"/>
      <c r="AY106" s="188"/>
      <c r="AZ106" s="188"/>
      <c r="BA106" s="188"/>
      <c r="BB106" s="331"/>
      <c r="BC106" s="331"/>
      <c r="BD106" s="331"/>
      <c r="BE106" s="331"/>
      <c r="BF106" s="188"/>
      <c r="BG106" s="188"/>
      <c r="BH106" s="188"/>
      <c r="BI106" s="331"/>
      <c r="BJ106" s="331"/>
      <c r="BK106" s="331"/>
      <c r="BL106" s="331"/>
      <c r="BM106" s="332"/>
      <c r="BN106" s="332"/>
      <c r="BO106" s="332"/>
      <c r="BP106" s="332"/>
      <c r="BQ106" s="331"/>
      <c r="BR106" s="331"/>
      <c r="BS106" s="331"/>
      <c r="BT106" s="331"/>
      <c r="BU106" s="332"/>
      <c r="BV106" s="332"/>
      <c r="BW106" s="332"/>
      <c r="BX106" s="332"/>
      <c r="BY106" s="331"/>
      <c r="BZ106" s="331"/>
      <c r="CA106" s="331"/>
      <c r="CB106" s="331"/>
      <c r="CC106" s="332"/>
      <c r="CD106" s="332"/>
      <c r="CE106" s="332"/>
      <c r="CF106" s="331"/>
      <c r="CG106" s="331"/>
      <c r="CH106" s="331"/>
      <c r="CI106" s="331"/>
      <c r="CJ106" s="332"/>
      <c r="CK106" s="332"/>
      <c r="CL106" s="332"/>
      <c r="CM106" s="331"/>
      <c r="CN106" s="331"/>
      <c r="CO106" s="331"/>
      <c r="CP106" s="331"/>
      <c r="CQ106" s="332"/>
      <c r="CR106" s="332"/>
      <c r="CS106" s="332"/>
      <c r="CT106" s="331"/>
      <c r="CU106" s="331"/>
      <c r="CV106" s="331"/>
      <c r="CW106" s="331"/>
      <c r="CX106" s="188"/>
      <c r="CY106" s="188"/>
      <c r="CZ106" s="188"/>
      <c r="DA106" s="188"/>
      <c r="DB106" s="188"/>
      <c r="DC106" s="188"/>
    </row>
    <row r="107" spans="1:107" ht="9" customHeight="1">
      <c r="A107" s="614"/>
      <c r="B107" s="614"/>
      <c r="C107" s="614"/>
      <c r="D107" s="614"/>
      <c r="E107" s="614"/>
      <c r="F107" s="558"/>
      <c r="G107" s="558"/>
      <c r="H107" s="558"/>
      <c r="I107" s="558"/>
      <c r="J107" s="558"/>
      <c r="K107" s="558"/>
      <c r="L107" s="558"/>
      <c r="M107" s="558"/>
      <c r="N107" s="558"/>
      <c r="O107" s="558"/>
      <c r="P107" s="558"/>
      <c r="Q107" s="558"/>
      <c r="R107" s="558"/>
      <c r="S107" s="558"/>
      <c r="T107" s="558"/>
      <c r="U107" s="558"/>
      <c r="V107" s="558"/>
      <c r="W107" s="558"/>
      <c r="X107" s="558"/>
      <c r="Y107" s="558"/>
      <c r="Z107" s="619"/>
      <c r="AA107" s="619"/>
      <c r="AB107" s="619"/>
      <c r="AC107" s="619"/>
      <c r="AD107" s="619"/>
      <c r="AE107" s="558"/>
      <c r="AF107" s="558"/>
      <c r="AG107" s="558"/>
      <c r="AH107" s="558"/>
      <c r="AI107" s="558"/>
      <c r="AJ107" s="558"/>
      <c r="AK107" s="558"/>
      <c r="AL107" s="558"/>
      <c r="AM107" s="558"/>
      <c r="AN107" s="558"/>
      <c r="AO107" s="558"/>
      <c r="AP107" s="558"/>
      <c r="AQ107" s="558"/>
      <c r="AR107" s="558"/>
      <c r="AS107" s="558"/>
      <c r="AT107" s="558"/>
      <c r="AU107" s="558"/>
      <c r="AV107" s="558"/>
      <c r="AW107" s="558"/>
      <c r="AX107" s="558"/>
      <c r="AY107" s="188"/>
      <c r="AZ107" s="188"/>
      <c r="BA107" s="188"/>
      <c r="BB107" s="632"/>
      <c r="BC107" s="633"/>
      <c r="BD107" s="633"/>
      <c r="BE107" s="634"/>
      <c r="BF107" s="188"/>
      <c r="BG107" s="188"/>
      <c r="BH107" s="188"/>
      <c r="BI107" s="632"/>
      <c r="BJ107" s="633"/>
      <c r="BK107" s="633"/>
      <c r="BL107" s="634"/>
      <c r="BM107" s="332"/>
      <c r="BN107" s="332"/>
      <c r="BO107" s="332"/>
      <c r="BP107" s="332"/>
      <c r="BQ107" s="632"/>
      <c r="BR107" s="633"/>
      <c r="BS107" s="633"/>
      <c r="BT107" s="634"/>
      <c r="BU107" s="332"/>
      <c r="BV107" s="332"/>
      <c r="BW107" s="332"/>
      <c r="BX107" s="332"/>
      <c r="BY107" s="632"/>
      <c r="BZ107" s="633"/>
      <c r="CA107" s="633"/>
      <c r="CB107" s="634"/>
      <c r="CC107" s="332"/>
      <c r="CD107" s="332"/>
      <c r="CE107" s="332"/>
      <c r="CF107" s="632"/>
      <c r="CG107" s="633"/>
      <c r="CH107" s="633"/>
      <c r="CI107" s="634"/>
      <c r="CJ107" s="332"/>
      <c r="CK107" s="332"/>
      <c r="CL107" s="332"/>
      <c r="CM107" s="632"/>
      <c r="CN107" s="633"/>
      <c r="CO107" s="633"/>
      <c r="CP107" s="634"/>
      <c r="CQ107" s="332"/>
      <c r="CR107" s="332"/>
      <c r="CS107" s="332"/>
      <c r="CT107" s="632"/>
      <c r="CU107" s="633"/>
      <c r="CV107" s="633"/>
      <c r="CW107" s="634"/>
      <c r="CX107" s="188"/>
      <c r="CY107" s="188"/>
      <c r="CZ107" s="188"/>
      <c r="DA107" s="188"/>
      <c r="DB107" s="188"/>
      <c r="DC107" s="188"/>
    </row>
    <row r="108" spans="1:107" ht="9" customHeight="1">
      <c r="A108" s="614"/>
      <c r="B108" s="614"/>
      <c r="C108" s="614"/>
      <c r="D108" s="614"/>
      <c r="E108" s="614"/>
      <c r="F108" s="558"/>
      <c r="G108" s="558"/>
      <c r="H108" s="558"/>
      <c r="I108" s="558"/>
      <c r="J108" s="558"/>
      <c r="K108" s="558"/>
      <c r="L108" s="558"/>
      <c r="M108" s="558"/>
      <c r="N108" s="558"/>
      <c r="O108" s="558"/>
      <c r="P108" s="558"/>
      <c r="Q108" s="558"/>
      <c r="R108" s="558"/>
      <c r="S108" s="558"/>
      <c r="T108" s="558"/>
      <c r="U108" s="558"/>
      <c r="V108" s="558"/>
      <c r="W108" s="558"/>
      <c r="X108" s="558"/>
      <c r="Y108" s="558"/>
      <c r="Z108" s="619"/>
      <c r="AA108" s="619"/>
      <c r="AB108" s="619"/>
      <c r="AC108" s="619"/>
      <c r="AD108" s="619"/>
      <c r="AE108" s="558"/>
      <c r="AF108" s="558"/>
      <c r="AG108" s="558"/>
      <c r="AH108" s="558"/>
      <c r="AI108" s="558"/>
      <c r="AJ108" s="558"/>
      <c r="AK108" s="558"/>
      <c r="AL108" s="558"/>
      <c r="AM108" s="558"/>
      <c r="AN108" s="558"/>
      <c r="AO108" s="558"/>
      <c r="AP108" s="558"/>
      <c r="AQ108" s="558"/>
      <c r="AR108" s="558"/>
      <c r="AS108" s="558"/>
      <c r="AT108" s="558"/>
      <c r="AU108" s="558"/>
      <c r="AV108" s="558"/>
      <c r="AW108" s="558"/>
      <c r="AX108" s="558"/>
      <c r="AY108" s="188"/>
      <c r="AZ108" s="188"/>
      <c r="BA108" s="188"/>
      <c r="BB108" s="635"/>
      <c r="BC108" s="636"/>
      <c r="BD108" s="636"/>
      <c r="BE108" s="637"/>
      <c r="BF108" s="188"/>
      <c r="BG108" s="188"/>
      <c r="BH108" s="188"/>
      <c r="BI108" s="635"/>
      <c r="BJ108" s="636"/>
      <c r="BK108" s="636"/>
      <c r="BL108" s="637"/>
      <c r="BM108" s="332"/>
      <c r="BN108" s="332"/>
      <c r="BO108" s="332"/>
      <c r="BP108" s="332"/>
      <c r="BQ108" s="635"/>
      <c r="BR108" s="636"/>
      <c r="BS108" s="636"/>
      <c r="BT108" s="637"/>
      <c r="BU108" s="332"/>
      <c r="BV108" s="332"/>
      <c r="BW108" s="332"/>
      <c r="BX108" s="332"/>
      <c r="BY108" s="635"/>
      <c r="BZ108" s="636"/>
      <c r="CA108" s="636"/>
      <c r="CB108" s="637"/>
      <c r="CC108" s="332"/>
      <c r="CD108" s="332"/>
      <c r="CE108" s="332"/>
      <c r="CF108" s="635"/>
      <c r="CG108" s="636"/>
      <c r="CH108" s="636"/>
      <c r="CI108" s="637"/>
      <c r="CJ108" s="332"/>
      <c r="CK108" s="332"/>
      <c r="CL108" s="332"/>
      <c r="CM108" s="635"/>
      <c r="CN108" s="636"/>
      <c r="CO108" s="636"/>
      <c r="CP108" s="637"/>
      <c r="CQ108" s="332"/>
      <c r="CR108" s="332"/>
      <c r="CS108" s="332"/>
      <c r="CT108" s="635"/>
      <c r="CU108" s="636"/>
      <c r="CV108" s="636"/>
      <c r="CW108" s="637"/>
      <c r="CX108" s="188"/>
      <c r="CY108" s="188"/>
      <c r="CZ108" s="188"/>
      <c r="DA108" s="188"/>
      <c r="DB108" s="188"/>
      <c r="DC108" s="188"/>
    </row>
    <row r="109" spans="1:107" ht="9" customHeight="1">
      <c r="A109" s="614"/>
      <c r="B109" s="614"/>
      <c r="C109" s="614"/>
      <c r="D109" s="614"/>
      <c r="E109" s="614"/>
      <c r="F109" s="558"/>
      <c r="G109" s="558"/>
      <c r="H109" s="558"/>
      <c r="I109" s="558"/>
      <c r="J109" s="558"/>
      <c r="K109" s="558"/>
      <c r="L109" s="558"/>
      <c r="M109" s="558"/>
      <c r="N109" s="558"/>
      <c r="O109" s="558"/>
      <c r="P109" s="558"/>
      <c r="Q109" s="558"/>
      <c r="R109" s="558"/>
      <c r="S109" s="558"/>
      <c r="T109" s="558"/>
      <c r="U109" s="558"/>
      <c r="V109" s="558"/>
      <c r="W109" s="558"/>
      <c r="X109" s="558"/>
      <c r="Y109" s="558"/>
      <c r="Z109" s="619"/>
      <c r="AA109" s="619"/>
      <c r="AB109" s="619"/>
      <c r="AC109" s="619"/>
      <c r="AD109" s="619"/>
      <c r="AE109" s="558"/>
      <c r="AF109" s="558"/>
      <c r="AG109" s="558"/>
      <c r="AH109" s="558"/>
      <c r="AI109" s="558"/>
      <c r="AJ109" s="558"/>
      <c r="AK109" s="558"/>
      <c r="AL109" s="558"/>
      <c r="AM109" s="558"/>
      <c r="AN109" s="558"/>
      <c r="AO109" s="558"/>
      <c r="AP109" s="558"/>
      <c r="AQ109" s="558"/>
      <c r="AR109" s="558"/>
      <c r="AS109" s="558"/>
      <c r="AT109" s="558"/>
      <c r="AU109" s="558"/>
      <c r="AV109" s="558"/>
      <c r="AW109" s="558"/>
      <c r="AX109" s="558"/>
      <c r="AY109" s="188"/>
      <c r="AZ109" s="188"/>
      <c r="BA109" s="188"/>
      <c r="BB109" s="188"/>
      <c r="BC109" s="188"/>
      <c r="BD109" s="188"/>
      <c r="BE109" s="188"/>
      <c r="BF109" s="188"/>
      <c r="BG109" s="188"/>
      <c r="BH109" s="188"/>
      <c r="BI109" s="188"/>
      <c r="BJ109" s="188"/>
      <c r="BK109" s="188"/>
      <c r="BL109" s="188"/>
      <c r="BM109" s="188"/>
      <c r="BN109" s="188"/>
      <c r="BO109" s="188"/>
      <c r="BP109" s="188"/>
      <c r="BQ109" s="188"/>
      <c r="BR109" s="188"/>
      <c r="BS109" s="188"/>
      <c r="BT109" s="188"/>
      <c r="BU109" s="188"/>
      <c r="BV109" s="188"/>
      <c r="BW109" s="188"/>
      <c r="BX109" s="188"/>
      <c r="BY109" s="188"/>
      <c r="BZ109" s="188"/>
      <c r="CA109" s="188"/>
      <c r="CB109" s="188"/>
      <c r="CC109" s="188"/>
      <c r="CD109" s="188"/>
      <c r="CE109" s="188"/>
      <c r="CF109" s="188"/>
      <c r="CG109" s="188"/>
      <c r="CH109" s="188"/>
      <c r="CI109" s="188"/>
      <c r="CJ109" s="188"/>
      <c r="CK109" s="188"/>
      <c r="CL109" s="188"/>
      <c r="CM109" s="188"/>
      <c r="CN109" s="188"/>
      <c r="CO109" s="188"/>
      <c r="CP109" s="188"/>
      <c r="CQ109" s="188"/>
      <c r="CR109" s="188"/>
      <c r="CS109" s="188"/>
      <c r="CT109" s="188"/>
      <c r="CU109" s="188"/>
      <c r="CV109" s="188"/>
      <c r="CW109" s="188"/>
      <c r="CX109" s="188"/>
      <c r="CY109" s="188"/>
      <c r="CZ109" s="188"/>
      <c r="DA109" s="188"/>
      <c r="DB109" s="188"/>
      <c r="DC109" s="188"/>
    </row>
    <row r="110" spans="1:107" ht="9" customHeight="1">
      <c r="A110" s="614"/>
      <c r="B110" s="614"/>
      <c r="C110" s="614"/>
      <c r="D110" s="614"/>
      <c r="E110" s="614"/>
      <c r="F110" s="558"/>
      <c r="G110" s="558"/>
      <c r="H110" s="558"/>
      <c r="I110" s="558"/>
      <c r="J110" s="558"/>
      <c r="K110" s="558"/>
      <c r="L110" s="558"/>
      <c r="M110" s="558"/>
      <c r="N110" s="558"/>
      <c r="O110" s="558"/>
      <c r="P110" s="558"/>
      <c r="Q110" s="558"/>
      <c r="R110" s="558"/>
      <c r="S110" s="558"/>
      <c r="T110" s="558"/>
      <c r="U110" s="558"/>
      <c r="V110" s="558"/>
      <c r="W110" s="558"/>
      <c r="X110" s="558"/>
      <c r="Y110" s="558"/>
      <c r="Z110" s="619"/>
      <c r="AA110" s="619"/>
      <c r="AB110" s="619"/>
      <c r="AC110" s="619"/>
      <c r="AD110" s="619"/>
      <c r="AE110" s="558"/>
      <c r="AF110" s="558"/>
      <c r="AG110" s="558"/>
      <c r="AH110" s="558"/>
      <c r="AI110" s="558"/>
      <c r="AJ110" s="558"/>
      <c r="AK110" s="558"/>
      <c r="AL110" s="558"/>
      <c r="AM110" s="558"/>
      <c r="AN110" s="558"/>
      <c r="AO110" s="558"/>
      <c r="AP110" s="558"/>
      <c r="AQ110" s="558"/>
      <c r="AR110" s="558"/>
      <c r="AS110" s="558"/>
      <c r="AT110" s="558"/>
      <c r="AU110" s="558"/>
      <c r="AV110" s="558"/>
      <c r="AW110" s="558"/>
      <c r="AX110" s="558"/>
      <c r="AY110" s="188"/>
      <c r="AZ110" s="188"/>
      <c r="BA110" s="188"/>
      <c r="BB110" s="188"/>
      <c r="BC110" s="188"/>
      <c r="BD110" s="188"/>
      <c r="BE110" s="188"/>
      <c r="BF110" s="188"/>
      <c r="BG110" s="188"/>
      <c r="BH110" s="188"/>
      <c r="BI110" s="188"/>
      <c r="BJ110" s="188"/>
      <c r="BK110" s="188"/>
      <c r="BL110" s="188"/>
      <c r="BM110" s="188"/>
      <c r="BN110" s="188"/>
      <c r="BO110" s="188"/>
      <c r="BP110" s="188"/>
      <c r="BQ110" s="188"/>
      <c r="BR110" s="188"/>
      <c r="BS110" s="188"/>
      <c r="BT110" s="188"/>
      <c r="BU110" s="188"/>
      <c r="BV110" s="188"/>
      <c r="BW110" s="188"/>
      <c r="BX110" s="188"/>
      <c r="BY110" s="188"/>
      <c r="BZ110" s="188"/>
      <c r="CA110" s="188"/>
      <c r="CB110" s="188"/>
      <c r="CC110" s="188"/>
      <c r="CD110" s="188"/>
      <c r="CE110" s="188"/>
      <c r="CF110" s="188"/>
      <c r="CG110" s="188"/>
      <c r="CH110" s="188"/>
      <c r="CI110" s="188"/>
      <c r="CJ110" s="188"/>
      <c r="CK110" s="188"/>
      <c r="CL110" s="188"/>
      <c r="CM110" s="188"/>
      <c r="CN110" s="188"/>
      <c r="CO110" s="188"/>
      <c r="CP110" s="188"/>
      <c r="CQ110" s="188"/>
      <c r="CR110" s="188"/>
      <c r="CS110" s="188"/>
      <c r="CT110" s="188"/>
      <c r="CU110" s="188"/>
      <c r="CV110" s="188"/>
      <c r="CW110" s="188"/>
      <c r="CX110" s="188"/>
      <c r="CY110" s="188"/>
      <c r="CZ110" s="188"/>
      <c r="DA110" s="188"/>
      <c r="DB110" s="188"/>
      <c r="DC110" s="188"/>
    </row>
    <row r="111" spans="1:107" ht="9" customHeight="1">
      <c r="A111" s="614"/>
      <c r="B111" s="614"/>
      <c r="C111" s="614"/>
      <c r="D111" s="614"/>
      <c r="E111" s="614"/>
      <c r="F111" s="558"/>
      <c r="G111" s="558"/>
      <c r="H111" s="558"/>
      <c r="I111" s="558"/>
      <c r="J111" s="558"/>
      <c r="K111" s="558"/>
      <c r="L111" s="558"/>
      <c r="M111" s="558"/>
      <c r="N111" s="558"/>
      <c r="O111" s="558"/>
      <c r="P111" s="558"/>
      <c r="Q111" s="558"/>
      <c r="R111" s="558"/>
      <c r="S111" s="558"/>
      <c r="T111" s="558"/>
      <c r="U111" s="558"/>
      <c r="V111" s="558"/>
      <c r="W111" s="558"/>
      <c r="X111" s="558"/>
      <c r="Y111" s="558"/>
      <c r="Z111" s="619"/>
      <c r="AA111" s="619"/>
      <c r="AB111" s="619"/>
      <c r="AC111" s="619"/>
      <c r="AD111" s="619"/>
      <c r="AE111" s="558"/>
      <c r="AF111" s="558"/>
      <c r="AG111" s="558"/>
      <c r="AH111" s="558"/>
      <c r="AI111" s="558"/>
      <c r="AJ111" s="558"/>
      <c r="AK111" s="558"/>
      <c r="AL111" s="558"/>
      <c r="AM111" s="558"/>
      <c r="AN111" s="558"/>
      <c r="AO111" s="558"/>
      <c r="AP111" s="558"/>
      <c r="AQ111" s="558"/>
      <c r="AR111" s="558"/>
      <c r="AS111" s="558"/>
      <c r="AT111" s="558"/>
      <c r="AU111" s="558"/>
      <c r="AV111" s="558"/>
      <c r="AW111" s="558"/>
      <c r="AX111" s="558"/>
      <c r="AY111" s="188"/>
      <c r="AZ111" s="188"/>
      <c r="BA111" s="188"/>
      <c r="BB111" s="188"/>
      <c r="BC111" s="188"/>
      <c r="BD111" s="188"/>
      <c r="BE111" s="188"/>
      <c r="BF111" s="188"/>
      <c r="BG111" s="188"/>
      <c r="BH111" s="188"/>
      <c r="BI111" s="188"/>
      <c r="BJ111" s="188"/>
      <c r="BK111" s="188"/>
      <c r="BL111" s="188"/>
      <c r="BM111" s="188"/>
      <c r="BN111" s="188"/>
      <c r="BO111" s="188"/>
      <c r="BP111" s="188"/>
      <c r="BQ111" s="188"/>
      <c r="BR111" s="188"/>
      <c r="BS111" s="188"/>
      <c r="BT111" s="188"/>
      <c r="BU111" s="188"/>
      <c r="BV111" s="188"/>
      <c r="BW111" s="188"/>
      <c r="BX111" s="188"/>
      <c r="BY111" s="188"/>
      <c r="BZ111" s="188"/>
      <c r="CA111" s="188"/>
      <c r="CB111" s="188"/>
      <c r="CC111" s="188"/>
      <c r="CD111" s="188"/>
      <c r="CE111" s="188"/>
      <c r="CF111" s="188"/>
      <c r="CG111" s="188"/>
      <c r="CH111" s="188"/>
      <c r="CI111" s="188"/>
      <c r="CJ111" s="188"/>
      <c r="CK111" s="188"/>
      <c r="CL111" s="188"/>
      <c r="CM111" s="188"/>
      <c r="CN111" s="188"/>
      <c r="CO111" s="188"/>
      <c r="CP111" s="188"/>
      <c r="CQ111" s="188"/>
      <c r="CR111" s="188"/>
      <c r="CS111" s="188"/>
      <c r="CT111" s="188"/>
      <c r="CU111" s="188"/>
      <c r="CV111" s="188"/>
      <c r="CW111" s="188"/>
      <c r="CX111" s="188"/>
      <c r="CY111" s="188"/>
      <c r="CZ111" s="188"/>
      <c r="DA111" s="188"/>
      <c r="DB111" s="188"/>
      <c r="DC111" s="188"/>
    </row>
    <row r="112" spans="1:107" ht="9" customHeight="1">
      <c r="A112" s="614"/>
      <c r="B112" s="614"/>
      <c r="C112" s="614"/>
      <c r="D112" s="614"/>
      <c r="E112" s="614"/>
      <c r="F112" s="558"/>
      <c r="G112" s="558"/>
      <c r="H112" s="558"/>
      <c r="I112" s="558"/>
      <c r="J112" s="558"/>
      <c r="K112" s="558"/>
      <c r="L112" s="558"/>
      <c r="M112" s="558"/>
      <c r="N112" s="558"/>
      <c r="O112" s="558"/>
      <c r="P112" s="558"/>
      <c r="Q112" s="558"/>
      <c r="R112" s="558"/>
      <c r="S112" s="558"/>
      <c r="T112" s="558"/>
      <c r="U112" s="558"/>
      <c r="V112" s="558"/>
      <c r="W112" s="558"/>
      <c r="X112" s="558"/>
      <c r="Y112" s="558"/>
      <c r="Z112" s="619"/>
      <c r="AA112" s="619"/>
      <c r="AB112" s="619"/>
      <c r="AC112" s="619"/>
      <c r="AD112" s="619"/>
      <c r="AE112" s="558"/>
      <c r="AF112" s="558"/>
      <c r="AG112" s="558"/>
      <c r="AH112" s="558"/>
      <c r="AI112" s="558"/>
      <c r="AJ112" s="558"/>
      <c r="AK112" s="558"/>
      <c r="AL112" s="558"/>
      <c r="AM112" s="558"/>
      <c r="AN112" s="558"/>
      <c r="AO112" s="558"/>
      <c r="AP112" s="558"/>
      <c r="AQ112" s="558"/>
      <c r="AR112" s="558"/>
      <c r="AS112" s="558"/>
      <c r="AT112" s="558"/>
      <c r="AU112" s="558"/>
      <c r="AV112" s="558"/>
      <c r="AW112" s="558"/>
      <c r="AX112" s="558"/>
      <c r="AY112" s="188"/>
      <c r="AZ112" s="188"/>
      <c r="BA112" s="188"/>
      <c r="BB112" s="188"/>
      <c r="BC112" s="188"/>
      <c r="BD112" s="188"/>
      <c r="BE112" s="188"/>
      <c r="BF112" s="188"/>
      <c r="BG112" s="188"/>
      <c r="BH112" s="188"/>
      <c r="BI112" s="188"/>
      <c r="BJ112" s="188"/>
      <c r="BK112" s="188"/>
      <c r="BL112" s="188"/>
      <c r="BM112" s="188"/>
      <c r="BN112" s="188"/>
      <c r="BO112" s="188"/>
      <c r="BP112" s="188"/>
      <c r="BQ112" s="188"/>
      <c r="BR112" s="188"/>
      <c r="BS112" s="188"/>
      <c r="BT112" s="188"/>
      <c r="BU112" s="188"/>
      <c r="BV112" s="188"/>
      <c r="BW112" s="188"/>
      <c r="BX112" s="188"/>
      <c r="BY112" s="188"/>
      <c r="BZ112" s="188"/>
      <c r="CA112" s="188"/>
      <c r="CB112" s="188"/>
      <c r="CC112" s="188"/>
      <c r="CD112" s="188"/>
      <c r="CE112" s="188"/>
      <c r="CF112" s="188"/>
      <c r="CG112" s="188"/>
      <c r="CH112" s="188"/>
      <c r="CI112" s="188"/>
      <c r="CJ112" s="188"/>
      <c r="CK112" s="188"/>
      <c r="CL112" s="188"/>
      <c r="CM112" s="188"/>
      <c r="CN112" s="188"/>
      <c r="CO112" s="188"/>
      <c r="CP112" s="188"/>
      <c r="CQ112" s="188"/>
      <c r="CR112" s="188"/>
      <c r="CS112" s="188"/>
      <c r="CT112" s="188"/>
      <c r="CU112" s="188"/>
      <c r="CV112" s="188"/>
      <c r="CW112" s="188"/>
      <c r="CX112" s="188"/>
      <c r="CY112" s="188"/>
      <c r="CZ112" s="188"/>
      <c r="DA112" s="188"/>
      <c r="DB112" s="188"/>
      <c r="DC112" s="188"/>
    </row>
    <row r="113" spans="1:107" ht="9" customHeight="1">
      <c r="A113" s="614"/>
      <c r="B113" s="614"/>
      <c r="C113" s="614"/>
      <c r="D113" s="614"/>
      <c r="E113" s="614"/>
      <c r="F113" s="558"/>
      <c r="G113" s="558"/>
      <c r="H113" s="558"/>
      <c r="I113" s="558"/>
      <c r="J113" s="558"/>
      <c r="K113" s="558"/>
      <c r="L113" s="558"/>
      <c r="M113" s="558"/>
      <c r="N113" s="558"/>
      <c r="O113" s="558"/>
      <c r="P113" s="558"/>
      <c r="Q113" s="558"/>
      <c r="R113" s="558"/>
      <c r="S113" s="558"/>
      <c r="T113" s="558"/>
      <c r="U113" s="558"/>
      <c r="V113" s="558"/>
      <c r="W113" s="558"/>
      <c r="X113" s="558"/>
      <c r="Y113" s="558"/>
      <c r="Z113" s="619"/>
      <c r="AA113" s="619"/>
      <c r="AB113" s="619"/>
      <c r="AC113" s="619"/>
      <c r="AD113" s="619"/>
      <c r="AE113" s="558"/>
      <c r="AF113" s="558"/>
      <c r="AG113" s="558"/>
      <c r="AH113" s="558"/>
      <c r="AI113" s="558"/>
      <c r="AJ113" s="558"/>
      <c r="AK113" s="558"/>
      <c r="AL113" s="558"/>
      <c r="AM113" s="558"/>
      <c r="AN113" s="558"/>
      <c r="AO113" s="558"/>
      <c r="AP113" s="558"/>
      <c r="AQ113" s="558"/>
      <c r="AR113" s="558"/>
      <c r="AS113" s="558"/>
      <c r="AT113" s="558"/>
      <c r="AU113" s="558"/>
      <c r="AV113" s="558"/>
      <c r="AW113" s="558"/>
      <c r="AX113" s="558"/>
      <c r="AY113" s="188"/>
      <c r="AZ113" s="188"/>
      <c r="BA113" s="188"/>
      <c r="BB113" s="188"/>
      <c r="BC113" s="188"/>
      <c r="BD113" s="188"/>
      <c r="BE113" s="188"/>
      <c r="BF113" s="188"/>
      <c r="BG113" s="188"/>
      <c r="BH113" s="188"/>
      <c r="BI113" s="188"/>
      <c r="BJ113" s="188"/>
      <c r="BK113" s="188"/>
      <c r="BL113" s="188"/>
      <c r="BM113" s="188"/>
      <c r="BN113" s="188"/>
      <c r="BO113" s="188"/>
      <c r="BP113" s="188"/>
      <c r="BQ113" s="188"/>
      <c r="BR113" s="188"/>
      <c r="BS113" s="188"/>
      <c r="BT113" s="188"/>
      <c r="BU113" s="632"/>
      <c r="BV113" s="633"/>
      <c r="BW113" s="634"/>
      <c r="BX113" s="188"/>
      <c r="BY113" s="616" t="s">
        <v>135</v>
      </c>
      <c r="BZ113" s="616"/>
      <c r="CA113" s="188"/>
      <c r="CB113" s="188"/>
      <c r="CC113" s="188"/>
      <c r="CD113" s="188"/>
      <c r="CE113" s="188"/>
      <c r="CF113" s="188"/>
      <c r="CG113" s="188"/>
      <c r="CH113" s="188"/>
      <c r="CI113" s="188"/>
      <c r="CJ113" s="188"/>
      <c r="CK113" s="188"/>
      <c r="CL113" s="188"/>
      <c r="CM113" s="188"/>
      <c r="CN113" s="188"/>
      <c r="CO113" s="188"/>
      <c r="CP113" s="188"/>
      <c r="CQ113" s="188"/>
      <c r="CR113" s="188"/>
      <c r="CS113" s="188"/>
      <c r="CT113" s="188"/>
      <c r="CU113" s="188"/>
      <c r="CV113" s="188"/>
      <c r="CW113" s="188"/>
      <c r="CX113" s="188"/>
      <c r="CY113" s="188"/>
      <c r="CZ113" s="188"/>
      <c r="DA113" s="188"/>
      <c r="DB113" s="188"/>
      <c r="DC113" s="188"/>
    </row>
    <row r="114" spans="1:107" ht="9" customHeight="1">
      <c r="A114" s="614"/>
      <c r="B114" s="614"/>
      <c r="C114" s="614"/>
      <c r="D114" s="614"/>
      <c r="E114" s="614"/>
      <c r="F114" s="558"/>
      <c r="G114" s="558"/>
      <c r="H114" s="558"/>
      <c r="I114" s="558"/>
      <c r="J114" s="558"/>
      <c r="K114" s="558"/>
      <c r="L114" s="558"/>
      <c r="M114" s="558"/>
      <c r="N114" s="558"/>
      <c r="O114" s="558"/>
      <c r="P114" s="558"/>
      <c r="Q114" s="558"/>
      <c r="R114" s="558"/>
      <c r="S114" s="558"/>
      <c r="T114" s="558"/>
      <c r="U114" s="558"/>
      <c r="V114" s="558"/>
      <c r="W114" s="558"/>
      <c r="X114" s="558"/>
      <c r="Y114" s="558"/>
      <c r="Z114" s="619"/>
      <c r="AA114" s="619"/>
      <c r="AB114" s="619"/>
      <c r="AC114" s="619"/>
      <c r="AD114" s="619"/>
      <c r="AE114" s="558"/>
      <c r="AF114" s="558"/>
      <c r="AG114" s="558"/>
      <c r="AH114" s="558"/>
      <c r="AI114" s="558"/>
      <c r="AJ114" s="558"/>
      <c r="AK114" s="558"/>
      <c r="AL114" s="558"/>
      <c r="AM114" s="558"/>
      <c r="AN114" s="558"/>
      <c r="AO114" s="558"/>
      <c r="AP114" s="558"/>
      <c r="AQ114" s="558"/>
      <c r="AR114" s="558"/>
      <c r="AS114" s="558"/>
      <c r="AT114" s="558"/>
      <c r="AU114" s="558"/>
      <c r="AV114" s="558"/>
      <c r="AW114" s="558"/>
      <c r="AX114" s="558"/>
      <c r="AY114" s="188"/>
      <c r="AZ114" s="188"/>
      <c r="BA114" s="188"/>
      <c r="BB114" s="188"/>
      <c r="BC114" s="188"/>
      <c r="BD114" s="188"/>
      <c r="BE114" s="188"/>
      <c r="BF114" s="188"/>
      <c r="BG114" s="188"/>
      <c r="BH114" s="188"/>
      <c r="BI114" s="188"/>
      <c r="BJ114" s="188"/>
      <c r="BK114" s="188"/>
      <c r="BL114" s="188"/>
      <c r="BM114" s="188"/>
      <c r="BN114" s="188"/>
      <c r="BO114" s="188"/>
      <c r="BP114" s="188"/>
      <c r="BQ114" s="188"/>
      <c r="BR114" s="188"/>
      <c r="BS114" s="188"/>
      <c r="BT114" s="188"/>
      <c r="BU114" s="635"/>
      <c r="BV114" s="636"/>
      <c r="BW114" s="637"/>
      <c r="BX114" s="188"/>
      <c r="BY114" s="616"/>
      <c r="BZ114" s="616"/>
      <c r="CA114" s="188"/>
      <c r="CB114" s="188"/>
      <c r="CC114" s="188"/>
      <c r="CD114" s="188"/>
      <c r="CE114" s="188"/>
      <c r="CF114" s="188"/>
      <c r="CG114" s="188"/>
      <c r="CH114" s="188"/>
      <c r="CI114" s="188"/>
      <c r="CJ114" s="188"/>
      <c r="CK114" s="188"/>
      <c r="CL114" s="188"/>
      <c r="CM114" s="188"/>
      <c r="CN114" s="188"/>
      <c r="CO114" s="188"/>
      <c r="CP114" s="188"/>
      <c r="CQ114" s="188"/>
      <c r="CR114" s="188"/>
      <c r="CS114" s="188"/>
      <c r="CT114" s="188"/>
      <c r="CU114" s="188"/>
      <c r="CV114" s="188"/>
      <c r="CW114" s="188"/>
      <c r="CX114" s="188"/>
      <c r="CY114" s="188"/>
      <c r="CZ114" s="188"/>
      <c r="DA114" s="188"/>
      <c r="DB114" s="188"/>
      <c r="DC114" s="188"/>
    </row>
    <row r="115" spans="1:107" ht="9" customHeight="1">
      <c r="A115" s="614"/>
      <c r="B115" s="614"/>
      <c r="C115" s="614"/>
      <c r="D115" s="614"/>
      <c r="E115" s="614"/>
      <c r="F115" s="558"/>
      <c r="G115" s="558"/>
      <c r="H115" s="558"/>
      <c r="I115" s="558"/>
      <c r="J115" s="558"/>
      <c r="K115" s="558"/>
      <c r="L115" s="558"/>
      <c r="M115" s="558"/>
      <c r="N115" s="558"/>
      <c r="O115" s="558"/>
      <c r="P115" s="558"/>
      <c r="Q115" s="558"/>
      <c r="R115" s="558"/>
      <c r="S115" s="558"/>
      <c r="T115" s="558"/>
      <c r="U115" s="558"/>
      <c r="V115" s="558"/>
      <c r="W115" s="558"/>
      <c r="X115" s="558"/>
      <c r="Y115" s="558"/>
      <c r="Z115" s="619"/>
      <c r="AA115" s="619"/>
      <c r="AB115" s="619"/>
      <c r="AC115" s="619"/>
      <c r="AD115" s="619"/>
      <c r="AE115" s="558"/>
      <c r="AF115" s="558"/>
      <c r="AG115" s="558"/>
      <c r="AH115" s="558"/>
      <c r="AI115" s="558"/>
      <c r="AJ115" s="558"/>
      <c r="AK115" s="558"/>
      <c r="AL115" s="558"/>
      <c r="AM115" s="558"/>
      <c r="AN115" s="558"/>
      <c r="AO115" s="558"/>
      <c r="AP115" s="558"/>
      <c r="AQ115" s="558"/>
      <c r="AR115" s="558"/>
      <c r="AS115" s="558"/>
      <c r="AT115" s="558"/>
      <c r="AU115" s="558"/>
      <c r="AV115" s="558"/>
      <c r="AW115" s="558"/>
      <c r="AX115" s="558"/>
      <c r="AY115" s="188"/>
      <c r="AZ115" s="188"/>
      <c r="BA115" s="188"/>
      <c r="BB115" s="188"/>
      <c r="BC115" s="188"/>
      <c r="BD115" s="188"/>
      <c r="BE115" s="188"/>
      <c r="BF115" s="188"/>
      <c r="BG115" s="188"/>
      <c r="BH115" s="188"/>
      <c r="BI115" s="188"/>
      <c r="BJ115" s="188"/>
      <c r="BK115" s="188"/>
      <c r="BL115" s="188"/>
      <c r="BM115" s="188"/>
      <c r="BN115" s="188"/>
      <c r="BO115" s="188"/>
      <c r="BP115" s="188"/>
      <c r="BQ115" s="188"/>
      <c r="BR115" s="188"/>
      <c r="BS115" s="188"/>
      <c r="BT115" s="188"/>
      <c r="BU115" s="188"/>
      <c r="BV115" s="188"/>
      <c r="BW115" s="188"/>
      <c r="BX115" s="188"/>
      <c r="BY115" s="188"/>
      <c r="BZ115" s="188"/>
      <c r="CA115" s="188"/>
      <c r="CB115" s="188"/>
      <c r="CC115" s="188"/>
      <c r="CD115" s="188"/>
      <c r="CE115" s="188"/>
      <c r="CF115" s="188"/>
      <c r="CG115" s="188"/>
      <c r="CH115" s="188"/>
      <c r="CI115" s="188"/>
      <c r="CJ115" s="188"/>
      <c r="CK115" s="188"/>
      <c r="CL115" s="188"/>
      <c r="CM115" s="188"/>
      <c r="CN115" s="188"/>
      <c r="CO115" s="188"/>
      <c r="CP115" s="188"/>
      <c r="CQ115" s="188"/>
      <c r="CR115" s="188"/>
      <c r="CS115" s="188"/>
      <c r="CT115" s="188"/>
      <c r="CU115" s="188"/>
      <c r="CV115" s="188"/>
      <c r="CW115" s="188"/>
      <c r="CX115" s="188"/>
      <c r="CY115" s="188"/>
      <c r="CZ115" s="188"/>
      <c r="DA115" s="188"/>
      <c r="DB115" s="188"/>
      <c r="DC115" s="188"/>
    </row>
    <row r="116" spans="1:107" ht="9" customHeight="1">
      <c r="A116" s="614"/>
      <c r="B116" s="614"/>
      <c r="C116" s="614"/>
      <c r="D116" s="614"/>
      <c r="E116" s="614"/>
      <c r="F116" s="558"/>
      <c r="G116" s="558"/>
      <c r="H116" s="558"/>
      <c r="I116" s="558"/>
      <c r="J116" s="558"/>
      <c r="K116" s="558"/>
      <c r="L116" s="558"/>
      <c r="M116" s="558"/>
      <c r="N116" s="558"/>
      <c r="O116" s="558"/>
      <c r="P116" s="558"/>
      <c r="Q116" s="558"/>
      <c r="R116" s="558"/>
      <c r="S116" s="558"/>
      <c r="T116" s="558"/>
      <c r="U116" s="558"/>
      <c r="V116" s="558"/>
      <c r="W116" s="558"/>
      <c r="X116" s="558"/>
      <c r="Y116" s="558"/>
      <c r="Z116" s="619"/>
      <c r="AA116" s="619"/>
      <c r="AB116" s="619"/>
      <c r="AC116" s="619"/>
      <c r="AD116" s="619"/>
      <c r="AE116" s="558"/>
      <c r="AF116" s="558"/>
      <c r="AG116" s="558"/>
      <c r="AH116" s="558"/>
      <c r="AI116" s="558"/>
      <c r="AJ116" s="558"/>
      <c r="AK116" s="558"/>
      <c r="AL116" s="558"/>
      <c r="AM116" s="558"/>
      <c r="AN116" s="558"/>
      <c r="AO116" s="558"/>
      <c r="AP116" s="558"/>
      <c r="AQ116" s="558"/>
      <c r="AR116" s="558"/>
      <c r="AS116" s="558"/>
      <c r="AT116" s="558"/>
      <c r="AU116" s="558"/>
      <c r="AV116" s="558"/>
      <c r="AW116" s="558"/>
      <c r="AX116" s="558"/>
      <c r="AY116" s="188"/>
      <c r="AZ116" s="188"/>
      <c r="BA116" s="188"/>
      <c r="BB116" s="188"/>
      <c r="BC116" s="188"/>
      <c r="BD116" s="188"/>
      <c r="BE116" s="188"/>
      <c r="BF116" s="188"/>
      <c r="BG116" s="188"/>
      <c r="BH116" s="188"/>
      <c r="BI116" s="188"/>
      <c r="BJ116" s="188"/>
      <c r="BK116" s="188"/>
      <c r="BL116" s="188"/>
      <c r="BM116" s="188"/>
      <c r="BN116" s="188"/>
      <c r="BO116" s="188"/>
      <c r="BP116" s="188"/>
      <c r="BQ116" s="188"/>
      <c r="BR116" s="188"/>
      <c r="BS116" s="188"/>
      <c r="BT116" s="188"/>
      <c r="BU116" s="188"/>
      <c r="BV116" s="188"/>
      <c r="BW116" s="188"/>
      <c r="BX116" s="188"/>
      <c r="BY116" s="188"/>
      <c r="BZ116" s="188"/>
      <c r="CA116" s="188"/>
      <c r="CB116" s="188"/>
      <c r="CC116" s="188"/>
      <c r="CD116" s="188"/>
      <c r="CE116" s="188"/>
      <c r="CF116" s="188"/>
      <c r="CG116" s="188"/>
      <c r="CH116" s="188"/>
      <c r="CI116" s="188"/>
      <c r="CJ116" s="188"/>
      <c r="CK116" s="188"/>
      <c r="CL116" s="188"/>
      <c r="CM116" s="188"/>
      <c r="CN116" s="188"/>
      <c r="CO116" s="188"/>
      <c r="CP116" s="188"/>
      <c r="CQ116" s="188"/>
      <c r="CR116" s="188"/>
      <c r="CS116" s="188"/>
      <c r="CT116" s="188"/>
      <c r="CU116" s="188"/>
      <c r="CV116" s="188"/>
      <c r="CW116" s="188"/>
      <c r="CX116" s="188"/>
      <c r="CY116" s="188"/>
      <c r="CZ116" s="188"/>
      <c r="DA116" s="188"/>
      <c r="DB116" s="188"/>
      <c r="DC116" s="188"/>
    </row>
    <row r="117" spans="1:107" ht="9" customHeight="1">
      <c r="A117" s="614"/>
      <c r="B117" s="614"/>
      <c r="C117" s="614"/>
      <c r="D117" s="614"/>
      <c r="E117" s="614"/>
      <c r="F117" s="558"/>
      <c r="G117" s="558"/>
      <c r="H117" s="558"/>
      <c r="I117" s="558"/>
      <c r="J117" s="558"/>
      <c r="K117" s="558"/>
      <c r="L117" s="558"/>
      <c r="M117" s="558"/>
      <c r="N117" s="558"/>
      <c r="O117" s="558"/>
      <c r="P117" s="558"/>
      <c r="Q117" s="558"/>
      <c r="R117" s="558"/>
      <c r="S117" s="558"/>
      <c r="T117" s="558"/>
      <c r="U117" s="558"/>
      <c r="V117" s="558"/>
      <c r="W117" s="558"/>
      <c r="X117" s="558"/>
      <c r="Y117" s="558"/>
      <c r="Z117" s="619"/>
      <c r="AA117" s="619"/>
      <c r="AB117" s="619"/>
      <c r="AC117" s="619"/>
      <c r="AD117" s="619"/>
      <c r="AE117" s="558"/>
      <c r="AF117" s="558"/>
      <c r="AG117" s="558"/>
      <c r="AH117" s="558"/>
      <c r="AI117" s="558"/>
      <c r="AJ117" s="558"/>
      <c r="AK117" s="558"/>
      <c r="AL117" s="558"/>
      <c r="AM117" s="558"/>
      <c r="AN117" s="558"/>
      <c r="AO117" s="558"/>
      <c r="AP117" s="558"/>
      <c r="AQ117" s="558"/>
      <c r="AR117" s="558"/>
      <c r="AS117" s="558"/>
      <c r="AT117" s="558"/>
      <c r="AU117" s="558"/>
      <c r="AV117" s="558"/>
      <c r="AW117" s="558"/>
      <c r="AX117" s="558"/>
      <c r="AY117" s="188"/>
      <c r="AZ117" s="188"/>
      <c r="BA117" s="188"/>
      <c r="BB117" s="188"/>
      <c r="BC117" s="188"/>
      <c r="BD117" s="188"/>
      <c r="BE117" s="188"/>
      <c r="BF117" s="188"/>
      <c r="BG117" s="188"/>
      <c r="BH117" s="188"/>
      <c r="BI117" s="188"/>
      <c r="BJ117" s="188"/>
      <c r="BK117" s="188"/>
      <c r="BL117" s="188"/>
      <c r="BM117" s="188"/>
      <c r="BN117" s="188"/>
      <c r="BO117" s="188"/>
      <c r="BP117" s="188"/>
      <c r="BQ117" s="188"/>
      <c r="BR117" s="188"/>
      <c r="BS117" s="188"/>
      <c r="BT117" s="188"/>
      <c r="BU117" s="188"/>
      <c r="BV117" s="188"/>
      <c r="BW117" s="188"/>
      <c r="BX117" s="188"/>
      <c r="BY117" s="188"/>
      <c r="BZ117" s="188"/>
      <c r="CA117" s="188"/>
      <c r="CB117" s="188"/>
      <c r="CC117" s="188"/>
      <c r="CD117" s="188"/>
      <c r="CE117" s="188"/>
      <c r="CF117" s="188"/>
      <c r="CG117" s="188"/>
      <c r="CH117" s="188"/>
      <c r="CI117" s="188"/>
      <c r="CJ117" s="188"/>
      <c r="CK117" s="188"/>
      <c r="CL117" s="188"/>
      <c r="CM117" s="188"/>
      <c r="CN117" s="188"/>
      <c r="CO117" s="188"/>
      <c r="CP117" s="188"/>
      <c r="CQ117" s="188"/>
      <c r="CR117" s="188"/>
      <c r="CS117" s="188"/>
      <c r="CT117" s="188"/>
      <c r="CU117" s="188"/>
      <c r="CV117" s="188"/>
      <c r="CW117" s="188"/>
      <c r="CX117" s="188"/>
      <c r="CY117" s="188"/>
      <c r="CZ117" s="188"/>
      <c r="DA117" s="188"/>
      <c r="DB117" s="188"/>
      <c r="DC117" s="188"/>
    </row>
    <row r="118" spans="1:107" ht="9" customHeight="1">
      <c r="A118" s="614"/>
      <c r="B118" s="614"/>
      <c r="C118" s="614"/>
      <c r="D118" s="614"/>
      <c r="E118" s="614"/>
      <c r="F118" s="558"/>
      <c r="G118" s="558"/>
      <c r="H118" s="558"/>
      <c r="I118" s="558"/>
      <c r="J118" s="558"/>
      <c r="K118" s="558"/>
      <c r="L118" s="558"/>
      <c r="M118" s="558"/>
      <c r="N118" s="558"/>
      <c r="O118" s="558"/>
      <c r="P118" s="558"/>
      <c r="Q118" s="558"/>
      <c r="R118" s="558"/>
      <c r="S118" s="558"/>
      <c r="T118" s="558"/>
      <c r="U118" s="558"/>
      <c r="V118" s="558"/>
      <c r="W118" s="558"/>
      <c r="X118" s="558"/>
      <c r="Y118" s="558"/>
      <c r="Z118" s="619"/>
      <c r="AA118" s="619"/>
      <c r="AB118" s="619"/>
      <c r="AC118" s="619"/>
      <c r="AD118" s="619"/>
      <c r="AE118" s="558"/>
      <c r="AF118" s="558"/>
      <c r="AG118" s="558"/>
      <c r="AH118" s="558"/>
      <c r="AI118" s="558"/>
      <c r="AJ118" s="558"/>
      <c r="AK118" s="558"/>
      <c r="AL118" s="558"/>
      <c r="AM118" s="558"/>
      <c r="AN118" s="558"/>
      <c r="AO118" s="558"/>
      <c r="AP118" s="558"/>
      <c r="AQ118" s="558"/>
      <c r="AR118" s="558"/>
      <c r="AS118" s="558"/>
      <c r="AT118" s="558"/>
      <c r="AU118" s="558"/>
      <c r="AV118" s="558"/>
      <c r="AW118" s="558"/>
      <c r="AX118" s="558"/>
      <c r="AY118" s="188"/>
      <c r="AZ118" s="188"/>
      <c r="BA118" s="188"/>
      <c r="BB118" s="188"/>
      <c r="BC118" s="188"/>
      <c r="BD118" s="188"/>
      <c r="BE118" s="188"/>
      <c r="BF118" s="188"/>
      <c r="BG118" s="188"/>
      <c r="BH118" s="188"/>
      <c r="BI118" s="188"/>
      <c r="BJ118" s="188"/>
      <c r="BK118" s="188"/>
      <c r="BL118" s="188"/>
      <c r="BM118" s="188"/>
      <c r="BN118" s="188"/>
      <c r="BO118" s="188"/>
      <c r="BP118" s="188"/>
      <c r="BQ118" s="188"/>
      <c r="BR118" s="188"/>
      <c r="BS118" s="188"/>
      <c r="BT118" s="188"/>
      <c r="BU118" s="188"/>
      <c r="BV118" s="188"/>
      <c r="BW118" s="188"/>
      <c r="BX118" s="188"/>
      <c r="BY118" s="188"/>
      <c r="BZ118" s="188"/>
      <c r="CA118" s="188"/>
      <c r="CB118" s="188"/>
      <c r="CC118" s="188"/>
      <c r="CD118" s="188"/>
      <c r="CE118" s="188"/>
      <c r="CF118" s="188"/>
      <c r="CG118" s="188"/>
      <c r="CH118" s="188"/>
      <c r="CI118" s="188"/>
      <c r="CJ118" s="188"/>
      <c r="CK118" s="188"/>
      <c r="CL118" s="188"/>
      <c r="CM118" s="188"/>
      <c r="CN118" s="188"/>
      <c r="CO118" s="188"/>
      <c r="CP118" s="188"/>
      <c r="CQ118" s="188"/>
      <c r="CR118" s="188"/>
      <c r="CS118" s="188"/>
      <c r="CT118" s="188"/>
      <c r="CU118" s="188"/>
      <c r="CV118" s="188"/>
      <c r="CW118" s="188"/>
      <c r="CX118" s="188"/>
      <c r="CY118" s="188"/>
      <c r="CZ118" s="188"/>
      <c r="DA118" s="188"/>
      <c r="DB118" s="188"/>
      <c r="DC118" s="188"/>
    </row>
    <row r="119" spans="1:107" ht="9" customHeight="1">
      <c r="A119" s="614"/>
      <c r="B119" s="614"/>
      <c r="C119" s="614"/>
      <c r="D119" s="614"/>
      <c r="E119" s="614"/>
      <c r="F119" s="558"/>
      <c r="G119" s="558"/>
      <c r="H119" s="558"/>
      <c r="I119" s="558"/>
      <c r="J119" s="558"/>
      <c r="K119" s="558"/>
      <c r="L119" s="558"/>
      <c r="M119" s="558"/>
      <c r="N119" s="558"/>
      <c r="O119" s="558"/>
      <c r="P119" s="558"/>
      <c r="Q119" s="558"/>
      <c r="R119" s="558"/>
      <c r="S119" s="558"/>
      <c r="T119" s="558"/>
      <c r="U119" s="558"/>
      <c r="V119" s="558"/>
      <c r="W119" s="558"/>
      <c r="X119" s="558"/>
      <c r="Y119" s="558"/>
      <c r="Z119" s="619"/>
      <c r="AA119" s="619"/>
      <c r="AB119" s="619"/>
      <c r="AC119" s="619"/>
      <c r="AD119" s="619"/>
      <c r="AE119" s="558"/>
      <c r="AF119" s="558"/>
      <c r="AG119" s="558"/>
      <c r="AH119" s="558"/>
      <c r="AI119" s="558"/>
      <c r="AJ119" s="558"/>
      <c r="AK119" s="558"/>
      <c r="AL119" s="558"/>
      <c r="AM119" s="558"/>
      <c r="AN119" s="558"/>
      <c r="AO119" s="558"/>
      <c r="AP119" s="558"/>
      <c r="AQ119" s="558"/>
      <c r="AR119" s="558"/>
      <c r="AS119" s="558"/>
      <c r="AT119" s="558"/>
      <c r="AU119" s="558"/>
      <c r="AV119" s="558"/>
      <c r="AW119" s="558"/>
      <c r="AX119" s="558"/>
      <c r="AY119" s="188"/>
      <c r="AZ119" s="188"/>
      <c r="BA119" s="188"/>
      <c r="BB119" s="188"/>
      <c r="BC119" s="188"/>
      <c r="BD119" s="188"/>
      <c r="BE119" s="188"/>
      <c r="BF119" s="188"/>
      <c r="BG119" s="188"/>
      <c r="BH119" s="188"/>
      <c r="BI119" s="188"/>
      <c r="BJ119" s="188"/>
      <c r="BK119" s="188"/>
      <c r="BL119" s="188"/>
      <c r="BM119" s="188"/>
      <c r="BN119" s="188"/>
      <c r="BO119" s="188"/>
      <c r="BP119" s="188"/>
      <c r="BQ119" s="188"/>
      <c r="BR119" s="188"/>
      <c r="BS119" s="188"/>
      <c r="BT119" s="188"/>
      <c r="BU119" s="188"/>
      <c r="BV119" s="188"/>
      <c r="BW119" s="188"/>
      <c r="BX119" s="188"/>
      <c r="BY119" s="188"/>
      <c r="BZ119" s="188"/>
      <c r="CA119" s="188"/>
      <c r="CB119" s="188"/>
      <c r="CC119" s="188"/>
      <c r="CD119" s="188"/>
      <c r="CE119" s="188"/>
      <c r="CF119" s="188"/>
      <c r="CG119" s="188"/>
      <c r="CH119" s="188"/>
      <c r="CI119" s="188"/>
      <c r="CJ119" s="188"/>
      <c r="CK119" s="188"/>
      <c r="CL119" s="188"/>
      <c r="CM119" s="188"/>
      <c r="CN119" s="188"/>
      <c r="CO119" s="188"/>
      <c r="CP119" s="188"/>
      <c r="CQ119" s="188"/>
      <c r="CR119" s="188"/>
      <c r="CS119" s="188"/>
      <c r="CT119" s="188"/>
      <c r="CU119" s="188"/>
      <c r="CV119" s="188"/>
      <c r="CW119" s="188"/>
      <c r="CX119" s="188"/>
      <c r="CY119" s="188"/>
      <c r="CZ119" s="188"/>
      <c r="DA119" s="188"/>
      <c r="DB119" s="188"/>
      <c r="DC119" s="188"/>
    </row>
    <row r="120" spans="1:107" ht="9" customHeight="1">
      <c r="A120" s="614"/>
      <c r="B120" s="614"/>
      <c r="C120" s="614"/>
      <c r="D120" s="614"/>
      <c r="E120" s="614"/>
      <c r="F120" s="558"/>
      <c r="G120" s="558"/>
      <c r="H120" s="558"/>
      <c r="I120" s="558"/>
      <c r="J120" s="558"/>
      <c r="K120" s="558"/>
      <c r="L120" s="558"/>
      <c r="M120" s="558"/>
      <c r="N120" s="558"/>
      <c r="O120" s="558"/>
      <c r="P120" s="558"/>
      <c r="Q120" s="558"/>
      <c r="R120" s="558"/>
      <c r="S120" s="558"/>
      <c r="T120" s="558"/>
      <c r="U120" s="558"/>
      <c r="V120" s="558"/>
      <c r="W120" s="558"/>
      <c r="X120" s="558"/>
      <c r="Y120" s="558"/>
      <c r="Z120" s="619"/>
      <c r="AA120" s="619"/>
      <c r="AB120" s="619"/>
      <c r="AC120" s="619"/>
      <c r="AD120" s="619"/>
      <c r="AE120" s="558"/>
      <c r="AF120" s="558"/>
      <c r="AG120" s="558"/>
      <c r="AH120" s="558"/>
      <c r="AI120" s="558"/>
      <c r="AJ120" s="558"/>
      <c r="AK120" s="558"/>
      <c r="AL120" s="558"/>
      <c r="AM120" s="558"/>
      <c r="AN120" s="558"/>
      <c r="AO120" s="558"/>
      <c r="AP120" s="558"/>
      <c r="AQ120" s="558"/>
      <c r="AR120" s="558"/>
      <c r="AS120" s="558"/>
      <c r="AT120" s="558"/>
      <c r="AU120" s="558"/>
      <c r="AV120" s="558"/>
      <c r="AW120" s="558"/>
      <c r="AX120" s="558"/>
      <c r="AY120" s="188"/>
      <c r="AZ120" s="188"/>
      <c r="BA120" s="188"/>
      <c r="BB120" s="188"/>
      <c r="BC120" s="188"/>
      <c r="BD120" s="188"/>
      <c r="BE120" s="188"/>
      <c r="BF120" s="188"/>
      <c r="BG120" s="188"/>
      <c r="BH120" s="188"/>
      <c r="BI120" s="188"/>
      <c r="BJ120" s="188"/>
      <c r="BK120" s="188"/>
      <c r="BL120" s="188"/>
      <c r="BM120" s="188"/>
      <c r="BN120" s="188"/>
      <c r="BO120" s="188"/>
      <c r="BP120" s="332"/>
      <c r="BQ120" s="331"/>
      <c r="BR120" s="331"/>
      <c r="BS120" s="331"/>
      <c r="BT120" s="331"/>
      <c r="BU120" s="332"/>
      <c r="BV120" s="188"/>
      <c r="BW120" s="188"/>
      <c r="BX120" s="188"/>
      <c r="BY120" s="188"/>
      <c r="BZ120" s="188"/>
      <c r="CA120" s="188"/>
      <c r="CB120" s="188"/>
      <c r="CC120" s="188"/>
      <c r="CD120" s="188"/>
      <c r="CE120" s="188"/>
      <c r="CF120" s="188"/>
      <c r="CG120" s="188"/>
      <c r="CH120" s="188"/>
      <c r="CI120" s="188"/>
      <c r="CJ120" s="188"/>
      <c r="CK120" s="188"/>
      <c r="CL120" s="188"/>
      <c r="CM120" s="188"/>
      <c r="CN120" s="188"/>
      <c r="CO120" s="188"/>
      <c r="CP120" s="188"/>
      <c r="CQ120" s="188"/>
      <c r="CR120" s="188"/>
      <c r="CS120" s="188"/>
      <c r="CT120" s="188"/>
      <c r="CU120" s="188"/>
      <c r="CV120" s="188"/>
      <c r="CW120" s="188"/>
      <c r="CX120" s="188"/>
      <c r="CY120" s="188"/>
      <c r="CZ120" s="188"/>
      <c r="DA120" s="188"/>
      <c r="DB120" s="188"/>
      <c r="DC120" s="188"/>
    </row>
    <row r="121" spans="1:107" ht="9" customHeight="1">
      <c r="A121" s="614"/>
      <c r="B121" s="614"/>
      <c r="C121" s="614"/>
      <c r="D121" s="614"/>
      <c r="E121" s="614"/>
      <c r="F121" s="558"/>
      <c r="G121" s="558"/>
      <c r="H121" s="558"/>
      <c r="I121" s="558"/>
      <c r="J121" s="558"/>
      <c r="K121" s="558"/>
      <c r="L121" s="558"/>
      <c r="M121" s="558"/>
      <c r="N121" s="558"/>
      <c r="O121" s="558"/>
      <c r="P121" s="558"/>
      <c r="Q121" s="558"/>
      <c r="R121" s="558"/>
      <c r="S121" s="558"/>
      <c r="T121" s="558"/>
      <c r="U121" s="558"/>
      <c r="V121" s="558"/>
      <c r="W121" s="558"/>
      <c r="X121" s="558"/>
      <c r="Y121" s="558"/>
      <c r="Z121" s="619"/>
      <c r="AA121" s="619"/>
      <c r="AB121" s="619"/>
      <c r="AC121" s="619"/>
      <c r="AD121" s="619"/>
      <c r="AE121" s="558"/>
      <c r="AF121" s="558"/>
      <c r="AG121" s="558"/>
      <c r="AH121" s="558"/>
      <c r="AI121" s="558"/>
      <c r="AJ121" s="558"/>
      <c r="AK121" s="558"/>
      <c r="AL121" s="558"/>
      <c r="AM121" s="558"/>
      <c r="AN121" s="558"/>
      <c r="AO121" s="558"/>
      <c r="AP121" s="558"/>
      <c r="AQ121" s="558"/>
      <c r="AR121" s="558"/>
      <c r="AS121" s="558"/>
      <c r="AT121" s="558"/>
      <c r="AU121" s="558"/>
      <c r="AV121" s="558"/>
      <c r="AW121" s="558"/>
      <c r="AX121" s="558"/>
      <c r="AY121" s="188"/>
      <c r="AZ121" s="188"/>
      <c r="BA121" s="188"/>
      <c r="BB121" s="188"/>
      <c r="BC121" s="188"/>
      <c r="BD121" s="188"/>
      <c r="BE121" s="188"/>
      <c r="BF121" s="568"/>
      <c r="BG121" s="569"/>
      <c r="BH121" s="570"/>
      <c r="BI121" s="684" t="s">
        <v>135</v>
      </c>
      <c r="BJ121" s="610"/>
      <c r="BK121" s="188"/>
      <c r="BL121" s="188"/>
      <c r="BM121" s="188"/>
      <c r="BN121" s="188"/>
      <c r="BO121" s="188"/>
      <c r="BP121" s="332"/>
      <c r="BQ121" s="678"/>
      <c r="BR121" s="679"/>
      <c r="BS121" s="679"/>
      <c r="BT121" s="680"/>
      <c r="BU121" s="684" t="s">
        <v>135</v>
      </c>
      <c r="BV121" s="498"/>
      <c r="BW121" s="188"/>
      <c r="BX121" s="188"/>
      <c r="BY121" s="188"/>
      <c r="BZ121" s="188"/>
      <c r="CA121" s="188"/>
      <c r="CB121" s="188"/>
      <c r="CC121" s="568"/>
      <c r="CD121" s="569"/>
      <c r="CE121" s="570"/>
      <c r="CF121" s="684" t="s">
        <v>135</v>
      </c>
      <c r="CG121" s="610"/>
      <c r="CH121" s="188"/>
      <c r="CI121" s="188"/>
      <c r="CJ121" s="568"/>
      <c r="CK121" s="569"/>
      <c r="CL121" s="570"/>
      <c r="CM121" s="684" t="s">
        <v>135</v>
      </c>
      <c r="CN121" s="610"/>
      <c r="CO121" s="188"/>
      <c r="CP121" s="188"/>
      <c r="CQ121" s="568"/>
      <c r="CR121" s="569"/>
      <c r="CS121" s="570"/>
      <c r="CT121" s="684" t="s">
        <v>135</v>
      </c>
      <c r="CU121" s="610"/>
      <c r="CV121" s="188"/>
      <c r="CW121" s="188"/>
      <c r="CX121" s="188"/>
      <c r="CY121" s="188"/>
      <c r="CZ121" s="188"/>
      <c r="DA121" s="188"/>
      <c r="DB121" s="188"/>
      <c r="DC121" s="188"/>
    </row>
    <row r="122" spans="1:107" ht="9" customHeight="1">
      <c r="A122" s="614"/>
      <c r="B122" s="614"/>
      <c r="C122" s="614"/>
      <c r="D122" s="614"/>
      <c r="E122" s="614"/>
      <c r="F122" s="558"/>
      <c r="G122" s="558"/>
      <c r="H122" s="558"/>
      <c r="I122" s="558"/>
      <c r="J122" s="558"/>
      <c r="K122" s="558"/>
      <c r="L122" s="558"/>
      <c r="M122" s="558"/>
      <c r="N122" s="558"/>
      <c r="O122" s="558"/>
      <c r="P122" s="558"/>
      <c r="Q122" s="558"/>
      <c r="R122" s="558"/>
      <c r="S122" s="558"/>
      <c r="T122" s="558"/>
      <c r="U122" s="558"/>
      <c r="V122" s="558"/>
      <c r="W122" s="558"/>
      <c r="X122" s="558"/>
      <c r="Y122" s="558"/>
      <c r="Z122" s="619"/>
      <c r="AA122" s="619"/>
      <c r="AB122" s="619"/>
      <c r="AC122" s="619"/>
      <c r="AD122" s="619"/>
      <c r="AE122" s="558"/>
      <c r="AF122" s="558"/>
      <c r="AG122" s="558"/>
      <c r="AH122" s="558"/>
      <c r="AI122" s="558"/>
      <c r="AJ122" s="558"/>
      <c r="AK122" s="558"/>
      <c r="AL122" s="558"/>
      <c r="AM122" s="558"/>
      <c r="AN122" s="558"/>
      <c r="AO122" s="558"/>
      <c r="AP122" s="558"/>
      <c r="AQ122" s="558"/>
      <c r="AR122" s="558"/>
      <c r="AS122" s="558"/>
      <c r="AT122" s="558"/>
      <c r="AU122" s="558"/>
      <c r="AV122" s="558"/>
      <c r="AW122" s="558"/>
      <c r="AX122" s="558"/>
      <c r="AY122" s="188"/>
      <c r="AZ122" s="188"/>
      <c r="BA122" s="188"/>
      <c r="BB122" s="188"/>
      <c r="BC122" s="188"/>
      <c r="BD122" s="188"/>
      <c r="BE122" s="188"/>
      <c r="BF122" s="571"/>
      <c r="BG122" s="551"/>
      <c r="BH122" s="572"/>
      <c r="BI122" s="684"/>
      <c r="BJ122" s="610"/>
      <c r="BK122" s="188"/>
      <c r="BL122" s="188"/>
      <c r="BM122" s="188"/>
      <c r="BN122" s="188"/>
      <c r="BO122" s="188"/>
      <c r="BP122" s="332"/>
      <c r="BQ122" s="681"/>
      <c r="BR122" s="682"/>
      <c r="BS122" s="682"/>
      <c r="BT122" s="683"/>
      <c r="BU122" s="575"/>
      <c r="BV122" s="498"/>
      <c r="BW122" s="188"/>
      <c r="BX122" s="188"/>
      <c r="BY122" s="188"/>
      <c r="BZ122" s="188"/>
      <c r="CA122" s="188"/>
      <c r="CB122" s="188"/>
      <c r="CC122" s="571"/>
      <c r="CD122" s="551"/>
      <c r="CE122" s="572"/>
      <c r="CF122" s="684"/>
      <c r="CG122" s="610"/>
      <c r="CH122" s="188"/>
      <c r="CI122" s="188"/>
      <c r="CJ122" s="571"/>
      <c r="CK122" s="551"/>
      <c r="CL122" s="572"/>
      <c r="CM122" s="684"/>
      <c r="CN122" s="610"/>
      <c r="CO122" s="188"/>
      <c r="CP122" s="188"/>
      <c r="CQ122" s="571"/>
      <c r="CR122" s="551"/>
      <c r="CS122" s="572"/>
      <c r="CT122" s="684"/>
      <c r="CU122" s="610"/>
      <c r="CV122" s="188"/>
      <c r="CW122" s="188"/>
      <c r="CX122" s="188"/>
      <c r="CY122" s="188"/>
      <c r="CZ122" s="188"/>
      <c r="DA122" s="188"/>
      <c r="DB122" s="188"/>
      <c r="DC122" s="188"/>
    </row>
    <row r="123" spans="1:107" ht="9" customHeight="1">
      <c r="A123" s="614"/>
      <c r="B123" s="614"/>
      <c r="C123" s="614"/>
      <c r="D123" s="614"/>
      <c r="E123" s="614"/>
      <c r="F123" s="558"/>
      <c r="G123" s="558"/>
      <c r="H123" s="558"/>
      <c r="I123" s="558"/>
      <c r="J123" s="558"/>
      <c r="K123" s="558"/>
      <c r="L123" s="558"/>
      <c r="M123" s="558"/>
      <c r="N123" s="558"/>
      <c r="O123" s="558"/>
      <c r="P123" s="558"/>
      <c r="Q123" s="558"/>
      <c r="R123" s="558"/>
      <c r="S123" s="558"/>
      <c r="T123" s="558"/>
      <c r="U123" s="558"/>
      <c r="V123" s="558"/>
      <c r="W123" s="558"/>
      <c r="X123" s="558"/>
      <c r="Y123" s="558"/>
      <c r="Z123" s="619"/>
      <c r="AA123" s="619"/>
      <c r="AB123" s="619"/>
      <c r="AC123" s="619"/>
      <c r="AD123" s="619"/>
      <c r="AE123" s="558"/>
      <c r="AF123" s="558"/>
      <c r="AG123" s="558"/>
      <c r="AH123" s="558"/>
      <c r="AI123" s="558"/>
      <c r="AJ123" s="558"/>
      <c r="AK123" s="558"/>
      <c r="AL123" s="558"/>
      <c r="AM123" s="558"/>
      <c r="AN123" s="558"/>
      <c r="AO123" s="558"/>
      <c r="AP123" s="558"/>
      <c r="AQ123" s="558"/>
      <c r="AR123" s="558"/>
      <c r="AS123" s="558"/>
      <c r="AT123" s="558"/>
      <c r="AU123" s="558"/>
      <c r="AV123" s="558"/>
      <c r="AW123" s="558"/>
      <c r="AX123" s="558"/>
      <c r="AY123" s="188"/>
      <c r="AZ123" s="188"/>
      <c r="BA123" s="188"/>
      <c r="BB123" s="188"/>
      <c r="BC123" s="188"/>
      <c r="BD123" s="188"/>
      <c r="BE123" s="188"/>
      <c r="BF123" s="188"/>
      <c r="BG123" s="188"/>
      <c r="BH123" s="188"/>
      <c r="BI123" s="188"/>
      <c r="BJ123" s="188"/>
      <c r="BK123" s="188"/>
      <c r="BL123" s="188"/>
      <c r="BM123" s="188"/>
      <c r="BN123" s="188"/>
      <c r="BO123" s="188"/>
      <c r="BP123" s="188"/>
      <c r="BQ123" s="188"/>
      <c r="BR123" s="188"/>
      <c r="BS123" s="188"/>
      <c r="BT123" s="188"/>
      <c r="BU123" s="188"/>
      <c r="BV123" s="188"/>
      <c r="BW123" s="188"/>
      <c r="BX123" s="188"/>
      <c r="BY123" s="188"/>
      <c r="BZ123" s="188"/>
      <c r="CA123" s="188"/>
      <c r="CB123" s="188"/>
      <c r="CC123" s="188"/>
      <c r="CD123" s="188"/>
      <c r="CE123" s="188"/>
      <c r="CF123" s="188"/>
      <c r="CG123" s="188"/>
      <c r="CH123" s="188"/>
      <c r="CI123" s="188"/>
      <c r="CJ123" s="188"/>
      <c r="CK123" s="188"/>
      <c r="CL123" s="188"/>
      <c r="CM123" s="188"/>
      <c r="CN123" s="188"/>
      <c r="CO123" s="188"/>
      <c r="CP123" s="188"/>
      <c r="CQ123" s="188"/>
      <c r="CR123" s="188"/>
      <c r="CS123" s="188"/>
      <c r="CT123" s="188"/>
      <c r="CU123" s="188"/>
      <c r="CV123" s="188"/>
      <c r="CW123" s="188"/>
      <c r="CX123" s="188"/>
      <c r="CY123" s="188"/>
      <c r="CZ123" s="188"/>
      <c r="DA123" s="188"/>
      <c r="DB123" s="188"/>
      <c r="DC123" s="188"/>
    </row>
    <row r="124" spans="1:107" ht="9" customHeight="1">
      <c r="A124" s="614"/>
      <c r="B124" s="614"/>
      <c r="C124" s="614"/>
      <c r="D124" s="614"/>
      <c r="E124" s="614"/>
      <c r="F124" s="558"/>
      <c r="G124" s="558"/>
      <c r="H124" s="558"/>
      <c r="I124" s="558"/>
      <c r="J124" s="558"/>
      <c r="K124" s="558"/>
      <c r="L124" s="558"/>
      <c r="M124" s="558"/>
      <c r="N124" s="558"/>
      <c r="O124" s="558"/>
      <c r="P124" s="558"/>
      <c r="Q124" s="558"/>
      <c r="R124" s="558"/>
      <c r="S124" s="558"/>
      <c r="T124" s="558"/>
      <c r="U124" s="558"/>
      <c r="V124" s="558"/>
      <c r="W124" s="558"/>
      <c r="X124" s="558"/>
      <c r="Y124" s="558"/>
      <c r="Z124" s="619"/>
      <c r="AA124" s="619"/>
      <c r="AB124" s="619"/>
      <c r="AC124" s="619"/>
      <c r="AD124" s="619"/>
      <c r="AE124" s="558"/>
      <c r="AF124" s="558"/>
      <c r="AG124" s="558"/>
      <c r="AH124" s="558"/>
      <c r="AI124" s="558"/>
      <c r="AJ124" s="558"/>
      <c r="AK124" s="558"/>
      <c r="AL124" s="558"/>
      <c r="AM124" s="558"/>
      <c r="AN124" s="558"/>
      <c r="AO124" s="558"/>
      <c r="AP124" s="558"/>
      <c r="AQ124" s="558"/>
      <c r="AR124" s="558"/>
      <c r="AS124" s="558"/>
      <c r="AT124" s="558"/>
      <c r="AU124" s="558"/>
      <c r="AV124" s="558"/>
      <c r="AW124" s="558"/>
      <c r="AX124" s="558"/>
      <c r="AY124" s="188"/>
      <c r="AZ124" s="188"/>
      <c r="BA124" s="188"/>
      <c r="BB124" s="612" t="s">
        <v>151</v>
      </c>
      <c r="BC124" s="612"/>
      <c r="BD124" s="612"/>
      <c r="BE124" s="612"/>
      <c r="BF124" s="612"/>
      <c r="BG124" s="612"/>
      <c r="BH124" s="612"/>
      <c r="BI124" s="612"/>
      <c r="BJ124" s="612"/>
      <c r="BK124" s="612"/>
      <c r="BL124" s="612"/>
      <c r="BM124" s="612"/>
      <c r="BN124" s="612"/>
      <c r="BO124" s="612"/>
      <c r="BP124" s="613"/>
      <c r="BQ124" s="613"/>
      <c r="BR124" s="548"/>
      <c r="BS124" s="548"/>
      <c r="BT124" s="548"/>
      <c r="BU124" s="548"/>
      <c r="BV124" s="548"/>
      <c r="BW124" s="548"/>
      <c r="BX124" s="548"/>
      <c r="BY124" s="548"/>
      <c r="BZ124" s="548"/>
      <c r="CA124" s="548"/>
      <c r="CB124" s="548"/>
      <c r="CC124" s="548"/>
      <c r="CD124" s="548"/>
      <c r="CE124" s="548"/>
      <c r="CF124" s="548"/>
      <c r="CG124" s="548"/>
      <c r="CH124" s="548"/>
      <c r="CI124" s="548"/>
      <c r="CJ124" s="548"/>
      <c r="CK124" s="548"/>
      <c r="CL124" s="548"/>
      <c r="CM124" s="548"/>
      <c r="CN124" s="548"/>
      <c r="CO124" s="548"/>
      <c r="CP124" s="548"/>
      <c r="CQ124" s="548"/>
      <c r="CR124" s="548"/>
      <c r="CS124" s="548"/>
      <c r="CT124" s="548"/>
      <c r="CU124" s="548"/>
      <c r="CV124" s="548"/>
      <c r="CW124" s="548"/>
      <c r="CX124" s="188"/>
      <c r="CY124" s="188"/>
      <c r="CZ124" s="188"/>
      <c r="DA124" s="188"/>
      <c r="DB124" s="188"/>
      <c r="DC124" s="188"/>
    </row>
    <row r="125" spans="1:107" ht="9" customHeight="1">
      <c r="A125" s="614"/>
      <c r="B125" s="614"/>
      <c r="C125" s="614"/>
      <c r="D125" s="614"/>
      <c r="E125" s="614"/>
      <c r="F125" s="558"/>
      <c r="G125" s="558"/>
      <c r="H125" s="558"/>
      <c r="I125" s="558"/>
      <c r="J125" s="558"/>
      <c r="K125" s="558"/>
      <c r="L125" s="558"/>
      <c r="M125" s="558"/>
      <c r="N125" s="558"/>
      <c r="O125" s="558"/>
      <c r="P125" s="558"/>
      <c r="Q125" s="558"/>
      <c r="R125" s="558"/>
      <c r="S125" s="558"/>
      <c r="T125" s="558"/>
      <c r="U125" s="558"/>
      <c r="V125" s="558"/>
      <c r="W125" s="558"/>
      <c r="X125" s="558"/>
      <c r="Y125" s="558"/>
      <c r="Z125" s="619"/>
      <c r="AA125" s="619"/>
      <c r="AB125" s="619"/>
      <c r="AC125" s="619"/>
      <c r="AD125" s="619"/>
      <c r="AE125" s="558"/>
      <c r="AF125" s="558"/>
      <c r="AG125" s="558"/>
      <c r="AH125" s="558"/>
      <c r="AI125" s="558"/>
      <c r="AJ125" s="558"/>
      <c r="AK125" s="558"/>
      <c r="AL125" s="558"/>
      <c r="AM125" s="558"/>
      <c r="AN125" s="558"/>
      <c r="AO125" s="558"/>
      <c r="AP125" s="558"/>
      <c r="AQ125" s="558"/>
      <c r="AR125" s="558"/>
      <c r="AS125" s="558"/>
      <c r="AT125" s="558"/>
      <c r="AU125" s="558"/>
      <c r="AV125" s="558"/>
      <c r="AW125" s="558"/>
      <c r="AX125" s="558"/>
      <c r="AY125" s="188"/>
      <c r="AZ125" s="188"/>
      <c r="BA125" s="188"/>
      <c r="BB125" s="612"/>
      <c r="BC125" s="612"/>
      <c r="BD125" s="612"/>
      <c r="BE125" s="612"/>
      <c r="BF125" s="612"/>
      <c r="BG125" s="612"/>
      <c r="BH125" s="612"/>
      <c r="BI125" s="612"/>
      <c r="BJ125" s="612"/>
      <c r="BK125" s="612"/>
      <c r="BL125" s="612"/>
      <c r="BM125" s="612"/>
      <c r="BN125" s="612"/>
      <c r="BO125" s="612"/>
      <c r="BP125" s="613"/>
      <c r="BQ125" s="613"/>
      <c r="BR125" s="549"/>
      <c r="BS125" s="549"/>
      <c r="BT125" s="549"/>
      <c r="BU125" s="549"/>
      <c r="BV125" s="549"/>
      <c r="BW125" s="549"/>
      <c r="BX125" s="549"/>
      <c r="BY125" s="549"/>
      <c r="BZ125" s="549"/>
      <c r="CA125" s="549"/>
      <c r="CB125" s="549"/>
      <c r="CC125" s="549"/>
      <c r="CD125" s="549"/>
      <c r="CE125" s="549"/>
      <c r="CF125" s="549"/>
      <c r="CG125" s="549"/>
      <c r="CH125" s="549"/>
      <c r="CI125" s="549"/>
      <c r="CJ125" s="549"/>
      <c r="CK125" s="549"/>
      <c r="CL125" s="549"/>
      <c r="CM125" s="549"/>
      <c r="CN125" s="549"/>
      <c r="CO125" s="549"/>
      <c r="CP125" s="549"/>
      <c r="CQ125" s="549"/>
      <c r="CR125" s="549"/>
      <c r="CS125" s="549"/>
      <c r="CT125" s="549"/>
      <c r="CU125" s="549"/>
      <c r="CV125" s="549"/>
      <c r="CW125" s="549"/>
      <c r="CX125" s="188"/>
      <c r="CY125" s="188"/>
      <c r="CZ125" s="188"/>
      <c r="DA125" s="188"/>
      <c r="DB125" s="188"/>
      <c r="DC125" s="188"/>
    </row>
    <row r="126" spans="1:107" ht="9" customHeight="1">
      <c r="A126" s="614"/>
      <c r="B126" s="614"/>
      <c r="C126" s="614"/>
      <c r="D126" s="614"/>
      <c r="E126" s="614"/>
      <c r="F126" s="558"/>
      <c r="G126" s="558"/>
      <c r="H126" s="558"/>
      <c r="I126" s="558"/>
      <c r="J126" s="558"/>
      <c r="K126" s="558"/>
      <c r="L126" s="558"/>
      <c r="M126" s="558"/>
      <c r="N126" s="558"/>
      <c r="O126" s="558"/>
      <c r="P126" s="558"/>
      <c r="Q126" s="558"/>
      <c r="R126" s="558"/>
      <c r="S126" s="558"/>
      <c r="T126" s="558"/>
      <c r="U126" s="558"/>
      <c r="V126" s="558"/>
      <c r="W126" s="558"/>
      <c r="X126" s="558"/>
      <c r="Y126" s="558"/>
      <c r="Z126" s="619"/>
      <c r="AA126" s="619"/>
      <c r="AB126" s="619"/>
      <c r="AC126" s="619"/>
      <c r="AD126" s="619"/>
      <c r="AE126" s="558"/>
      <c r="AF126" s="558"/>
      <c r="AG126" s="558"/>
      <c r="AH126" s="558"/>
      <c r="AI126" s="558"/>
      <c r="AJ126" s="558"/>
      <c r="AK126" s="558"/>
      <c r="AL126" s="558"/>
      <c r="AM126" s="558"/>
      <c r="AN126" s="558"/>
      <c r="AO126" s="558"/>
      <c r="AP126" s="558"/>
      <c r="AQ126" s="558"/>
      <c r="AR126" s="558"/>
      <c r="AS126" s="558"/>
      <c r="AT126" s="558"/>
      <c r="AU126" s="558"/>
      <c r="AV126" s="558"/>
      <c r="AW126" s="558"/>
      <c r="AX126" s="558"/>
      <c r="AY126" s="188"/>
      <c r="AZ126" s="188"/>
      <c r="BA126" s="188"/>
      <c r="BB126" s="610" t="s">
        <v>152</v>
      </c>
      <c r="BC126" s="610"/>
      <c r="BD126" s="610"/>
      <c r="BE126" s="610"/>
      <c r="BF126" s="610"/>
      <c r="BG126" s="610"/>
      <c r="BH126" s="610"/>
      <c r="BI126" s="610"/>
      <c r="BJ126" s="610"/>
      <c r="BK126" s="610"/>
      <c r="BL126" s="610"/>
      <c r="BM126" s="610"/>
      <c r="BN126" s="550"/>
      <c r="BO126" s="550"/>
      <c r="BP126" s="550"/>
      <c r="BQ126" s="550"/>
      <c r="BR126" s="550"/>
      <c r="BS126" s="550"/>
      <c r="BW126" s="574" t="s">
        <v>317</v>
      </c>
      <c r="BX126" s="574"/>
      <c r="BY126" s="574"/>
      <c r="BZ126" s="574"/>
      <c r="CA126" s="574"/>
      <c r="CB126" s="574"/>
      <c r="CC126" s="611"/>
      <c r="CD126" s="611"/>
      <c r="CE126" s="611"/>
      <c r="CF126" s="611"/>
      <c r="CG126" s="611"/>
      <c r="CH126" s="611"/>
      <c r="CI126" s="611"/>
      <c r="CJ126" s="611"/>
      <c r="CK126" s="611"/>
      <c r="CL126" s="611"/>
      <c r="CM126" s="611"/>
      <c r="CN126" s="611"/>
      <c r="CO126" s="611"/>
      <c r="CP126" s="611"/>
      <c r="CQ126" s="611"/>
      <c r="CR126" s="611"/>
      <c r="CS126" s="611"/>
      <c r="CT126" s="611"/>
      <c r="CU126" s="611"/>
      <c r="CV126" s="611"/>
      <c r="CW126" s="611"/>
      <c r="CX126" s="188"/>
      <c r="CY126" s="188"/>
      <c r="CZ126" s="188"/>
      <c r="DA126" s="188"/>
      <c r="DB126" s="188"/>
      <c r="DC126" s="188"/>
    </row>
    <row r="127" spans="1:107" ht="9" customHeight="1">
      <c r="A127" s="614"/>
      <c r="B127" s="614"/>
      <c r="C127" s="614"/>
      <c r="D127" s="614"/>
      <c r="E127" s="614"/>
      <c r="F127" s="558"/>
      <c r="G127" s="558"/>
      <c r="H127" s="558"/>
      <c r="I127" s="558"/>
      <c r="J127" s="558"/>
      <c r="K127" s="558"/>
      <c r="L127" s="558"/>
      <c r="M127" s="558"/>
      <c r="N127" s="558"/>
      <c r="O127" s="558"/>
      <c r="P127" s="558"/>
      <c r="Q127" s="558"/>
      <c r="R127" s="558"/>
      <c r="S127" s="558"/>
      <c r="T127" s="558"/>
      <c r="U127" s="558"/>
      <c r="V127" s="558"/>
      <c r="W127" s="558"/>
      <c r="X127" s="558"/>
      <c r="Y127" s="558"/>
      <c r="Z127" s="619"/>
      <c r="AA127" s="619"/>
      <c r="AB127" s="619"/>
      <c r="AC127" s="619"/>
      <c r="AD127" s="619"/>
      <c r="AE127" s="558"/>
      <c r="AF127" s="558"/>
      <c r="AG127" s="558"/>
      <c r="AH127" s="558"/>
      <c r="AI127" s="558"/>
      <c r="AJ127" s="558"/>
      <c r="AK127" s="558"/>
      <c r="AL127" s="558"/>
      <c r="AM127" s="558"/>
      <c r="AN127" s="558"/>
      <c r="AO127" s="558"/>
      <c r="AP127" s="558"/>
      <c r="AQ127" s="558"/>
      <c r="AR127" s="558"/>
      <c r="AS127" s="558"/>
      <c r="AT127" s="558"/>
      <c r="AU127" s="558"/>
      <c r="AV127" s="558"/>
      <c r="AW127" s="558"/>
      <c r="AX127" s="558"/>
      <c r="AY127" s="188"/>
      <c r="AZ127" s="188"/>
      <c r="BA127" s="188"/>
      <c r="BB127" s="610"/>
      <c r="BC127" s="610"/>
      <c r="BD127" s="610"/>
      <c r="BE127" s="610"/>
      <c r="BF127" s="610"/>
      <c r="BG127" s="610"/>
      <c r="BH127" s="610"/>
      <c r="BI127" s="610"/>
      <c r="BJ127" s="610"/>
      <c r="BK127" s="610"/>
      <c r="BL127" s="610"/>
      <c r="BM127" s="610"/>
      <c r="BN127" s="551"/>
      <c r="BO127" s="551"/>
      <c r="BP127" s="551"/>
      <c r="BQ127" s="551"/>
      <c r="BR127" s="551"/>
      <c r="BS127" s="551"/>
      <c r="BW127" s="498"/>
      <c r="BX127" s="498"/>
      <c r="BY127" s="498"/>
      <c r="BZ127" s="498"/>
      <c r="CA127" s="498"/>
      <c r="CB127" s="498"/>
      <c r="CC127" s="549"/>
      <c r="CD127" s="549"/>
      <c r="CE127" s="549"/>
      <c r="CF127" s="549"/>
      <c r="CG127" s="549"/>
      <c r="CH127" s="549"/>
      <c r="CI127" s="549"/>
      <c r="CJ127" s="549"/>
      <c r="CK127" s="549"/>
      <c r="CL127" s="549"/>
      <c r="CM127" s="549"/>
      <c r="CN127" s="549"/>
      <c r="CO127" s="549"/>
      <c r="CP127" s="549"/>
      <c r="CQ127" s="549"/>
      <c r="CR127" s="549"/>
      <c r="CS127" s="549"/>
      <c r="CT127" s="549"/>
      <c r="CU127" s="549"/>
      <c r="CV127" s="549"/>
      <c r="CW127" s="549"/>
      <c r="CX127" s="188"/>
      <c r="CY127" s="188"/>
      <c r="CZ127" s="188"/>
      <c r="DA127" s="188"/>
      <c r="DB127" s="188"/>
      <c r="DC127" s="188"/>
    </row>
    <row r="128" spans="1:107" ht="9" customHeight="1">
      <c r="A128" s="614"/>
      <c r="B128" s="614"/>
      <c r="C128" s="614"/>
      <c r="D128" s="614"/>
      <c r="E128" s="614"/>
      <c r="F128" s="558"/>
      <c r="G128" s="558"/>
      <c r="H128" s="558"/>
      <c r="I128" s="558"/>
      <c r="J128" s="558"/>
      <c r="K128" s="558"/>
      <c r="L128" s="558"/>
      <c r="M128" s="558"/>
      <c r="N128" s="558"/>
      <c r="O128" s="558"/>
      <c r="P128" s="558"/>
      <c r="Q128" s="558"/>
      <c r="R128" s="558"/>
      <c r="S128" s="558"/>
      <c r="T128" s="558"/>
      <c r="U128" s="558"/>
      <c r="V128" s="558"/>
      <c r="W128" s="558"/>
      <c r="X128" s="558"/>
      <c r="Y128" s="558"/>
      <c r="Z128" s="619"/>
      <c r="AA128" s="619"/>
      <c r="AB128" s="619"/>
      <c r="AC128" s="619"/>
      <c r="AD128" s="619"/>
      <c r="AE128" s="558"/>
      <c r="AF128" s="558"/>
      <c r="AG128" s="558"/>
      <c r="AH128" s="558"/>
      <c r="AI128" s="558"/>
      <c r="AJ128" s="558"/>
      <c r="AK128" s="558"/>
      <c r="AL128" s="558"/>
      <c r="AM128" s="558"/>
      <c r="AN128" s="558"/>
      <c r="AO128" s="558"/>
      <c r="AP128" s="558"/>
      <c r="AQ128" s="558"/>
      <c r="AR128" s="558"/>
      <c r="AS128" s="558"/>
      <c r="AT128" s="558"/>
      <c r="AU128" s="558"/>
      <c r="AV128" s="558"/>
      <c r="AW128" s="558"/>
      <c r="AX128" s="558"/>
      <c r="AY128" s="188"/>
      <c r="AZ128" s="188"/>
      <c r="BA128" s="188"/>
      <c r="BB128" s="188"/>
      <c r="BC128" s="188"/>
      <c r="BD128" s="188"/>
      <c r="BE128" s="188"/>
      <c r="BF128" s="188"/>
      <c r="BG128" s="188"/>
      <c r="BH128" s="188"/>
      <c r="BI128" s="188"/>
      <c r="BJ128" s="188"/>
      <c r="BK128" s="188"/>
      <c r="BL128" s="188"/>
      <c r="BM128" s="188"/>
      <c r="BN128" s="188"/>
      <c r="BO128" s="188"/>
      <c r="BP128" s="188"/>
      <c r="BQ128" s="188"/>
      <c r="BR128" s="188"/>
      <c r="BS128" s="188"/>
      <c r="BT128" s="188"/>
      <c r="BU128" s="188"/>
      <c r="BV128" s="188"/>
      <c r="BW128" s="545"/>
      <c r="BX128" s="545"/>
      <c r="BY128" s="545"/>
      <c r="BZ128" s="545"/>
      <c r="CA128" s="545"/>
      <c r="CB128" s="545"/>
      <c r="CC128" s="545"/>
      <c r="CD128" s="545"/>
      <c r="CE128" s="545"/>
      <c r="CF128" s="545"/>
      <c r="CG128" s="545"/>
      <c r="CH128" s="545"/>
      <c r="CI128" s="545"/>
      <c r="CJ128" s="545"/>
      <c r="CK128" s="545"/>
      <c r="CL128" s="545"/>
      <c r="CM128" s="545"/>
      <c r="CN128" s="545"/>
      <c r="CO128" s="545"/>
      <c r="CP128" s="545"/>
      <c r="CQ128" s="545"/>
      <c r="CR128" s="545"/>
      <c r="CS128" s="545"/>
      <c r="CT128" s="545"/>
      <c r="CU128" s="545"/>
      <c r="CV128" s="545"/>
      <c r="CW128" s="545"/>
      <c r="CX128" s="188"/>
      <c r="CY128" s="188"/>
      <c r="CZ128" s="188"/>
      <c r="DA128" s="188"/>
      <c r="DB128" s="188"/>
      <c r="DC128" s="188"/>
    </row>
    <row r="129" spans="1:107" ht="9" customHeight="1">
      <c r="A129" s="614"/>
      <c r="B129" s="614"/>
      <c r="C129" s="614"/>
      <c r="D129" s="614"/>
      <c r="E129" s="614"/>
      <c r="F129" s="558"/>
      <c r="G129" s="558"/>
      <c r="H129" s="558"/>
      <c r="I129" s="558"/>
      <c r="J129" s="558"/>
      <c r="K129" s="558"/>
      <c r="L129" s="558"/>
      <c r="M129" s="558"/>
      <c r="N129" s="558"/>
      <c r="O129" s="558"/>
      <c r="P129" s="558"/>
      <c r="Q129" s="558"/>
      <c r="R129" s="558"/>
      <c r="S129" s="558"/>
      <c r="T129" s="558"/>
      <c r="U129" s="558"/>
      <c r="V129" s="558"/>
      <c r="W129" s="558"/>
      <c r="X129" s="558"/>
      <c r="Y129" s="558"/>
      <c r="Z129" s="619"/>
      <c r="AA129" s="619"/>
      <c r="AB129" s="619"/>
      <c r="AC129" s="619"/>
      <c r="AD129" s="619"/>
      <c r="AE129" s="558"/>
      <c r="AF129" s="558"/>
      <c r="AG129" s="558"/>
      <c r="AH129" s="558"/>
      <c r="AI129" s="558"/>
      <c r="AJ129" s="558"/>
      <c r="AK129" s="558"/>
      <c r="AL129" s="558"/>
      <c r="AM129" s="558"/>
      <c r="AN129" s="558"/>
      <c r="AO129" s="558"/>
      <c r="AP129" s="558"/>
      <c r="AQ129" s="558"/>
      <c r="AR129" s="558"/>
      <c r="AS129" s="558"/>
      <c r="AT129" s="558"/>
      <c r="AU129" s="558"/>
      <c r="AV129" s="558"/>
      <c r="AW129" s="558"/>
      <c r="AX129" s="558"/>
      <c r="AY129" s="188"/>
      <c r="AZ129" s="188"/>
      <c r="BA129" s="188"/>
      <c r="BB129" s="552" t="s">
        <v>244</v>
      </c>
      <c r="BC129" s="553"/>
      <c r="BD129" s="553"/>
      <c r="BE129" s="553"/>
      <c r="BF129" s="554"/>
      <c r="BG129" s="552" t="s">
        <v>209</v>
      </c>
      <c r="BH129" s="553"/>
      <c r="BI129" s="553"/>
      <c r="BJ129" s="553"/>
      <c r="BK129" s="553"/>
      <c r="BL129" s="553"/>
      <c r="BM129" s="554"/>
      <c r="BN129" s="552" t="s">
        <v>211</v>
      </c>
      <c r="BO129" s="553"/>
      <c r="BP129" s="553"/>
      <c r="BQ129" s="553"/>
      <c r="BR129" s="553"/>
      <c r="BS129" s="553"/>
      <c r="BT129" s="554"/>
      <c r="BU129" s="188"/>
      <c r="BV129" s="188"/>
      <c r="BW129" s="546"/>
      <c r="BX129" s="546"/>
      <c r="BY129" s="546"/>
      <c r="BZ129" s="546"/>
      <c r="CA129" s="546"/>
      <c r="CB129" s="546"/>
      <c r="CC129" s="546"/>
      <c r="CD129" s="546"/>
      <c r="CE129" s="546"/>
      <c r="CF129" s="546"/>
      <c r="CG129" s="546"/>
      <c r="CH129" s="546"/>
      <c r="CI129" s="546"/>
      <c r="CJ129" s="546"/>
      <c r="CK129" s="546"/>
      <c r="CL129" s="546"/>
      <c r="CM129" s="546"/>
      <c r="CN129" s="546"/>
      <c r="CO129" s="546"/>
      <c r="CP129" s="546"/>
      <c r="CQ129" s="546"/>
      <c r="CR129" s="546"/>
      <c r="CS129" s="546"/>
      <c r="CT129" s="546"/>
      <c r="CU129" s="546"/>
      <c r="CV129" s="546"/>
      <c r="CW129" s="546"/>
      <c r="CX129" s="188"/>
      <c r="CY129" s="188"/>
      <c r="CZ129" s="188"/>
      <c r="DA129" s="188"/>
      <c r="DB129" s="188"/>
      <c r="DC129" s="188"/>
    </row>
    <row r="130" spans="1:107" ht="9" customHeight="1">
      <c r="A130" s="614"/>
      <c r="B130" s="614"/>
      <c r="C130" s="614"/>
      <c r="D130" s="614"/>
      <c r="E130" s="614"/>
      <c r="F130" s="558"/>
      <c r="G130" s="558"/>
      <c r="H130" s="558"/>
      <c r="I130" s="558"/>
      <c r="J130" s="558"/>
      <c r="K130" s="558"/>
      <c r="L130" s="558"/>
      <c r="M130" s="558"/>
      <c r="N130" s="558"/>
      <c r="O130" s="558"/>
      <c r="P130" s="558"/>
      <c r="Q130" s="558"/>
      <c r="R130" s="558"/>
      <c r="S130" s="558"/>
      <c r="T130" s="558"/>
      <c r="U130" s="558"/>
      <c r="V130" s="558"/>
      <c r="W130" s="558"/>
      <c r="X130" s="558"/>
      <c r="Y130" s="558"/>
      <c r="Z130" s="619"/>
      <c r="AA130" s="619"/>
      <c r="AB130" s="619"/>
      <c r="AC130" s="619"/>
      <c r="AD130" s="619"/>
      <c r="AE130" s="558"/>
      <c r="AF130" s="558"/>
      <c r="AG130" s="558"/>
      <c r="AH130" s="558"/>
      <c r="AI130" s="558"/>
      <c r="AJ130" s="558"/>
      <c r="AK130" s="558"/>
      <c r="AL130" s="558"/>
      <c r="AM130" s="558"/>
      <c r="AN130" s="558"/>
      <c r="AO130" s="558"/>
      <c r="AP130" s="558"/>
      <c r="AQ130" s="558"/>
      <c r="AR130" s="558"/>
      <c r="AS130" s="558"/>
      <c r="AT130" s="558"/>
      <c r="AU130" s="558"/>
      <c r="AV130" s="558"/>
      <c r="AW130" s="558"/>
      <c r="AX130" s="558"/>
      <c r="AY130" s="188"/>
      <c r="AZ130" s="188"/>
      <c r="BA130" s="188"/>
      <c r="BB130" s="555" t="s">
        <v>245</v>
      </c>
      <c r="BC130" s="556"/>
      <c r="BD130" s="556"/>
      <c r="BE130" s="556"/>
      <c r="BF130" s="557"/>
      <c r="BG130" s="555" t="s">
        <v>210</v>
      </c>
      <c r="BH130" s="556"/>
      <c r="BI130" s="556"/>
      <c r="BJ130" s="556"/>
      <c r="BK130" s="556"/>
      <c r="BL130" s="556"/>
      <c r="BM130" s="557"/>
      <c r="BN130" s="555" t="s">
        <v>235</v>
      </c>
      <c r="BO130" s="556"/>
      <c r="BP130" s="556"/>
      <c r="BQ130" s="556"/>
      <c r="BR130" s="556"/>
      <c r="BS130" s="556"/>
      <c r="BT130" s="557"/>
      <c r="BU130" s="188"/>
      <c r="BW130" s="547"/>
      <c r="BX130" s="547"/>
      <c r="BY130" s="547"/>
      <c r="BZ130" s="547"/>
      <c r="CA130" s="547"/>
      <c r="CB130" s="547"/>
      <c r="CC130" s="547"/>
      <c r="CD130" s="547"/>
      <c r="CE130" s="547"/>
      <c r="CF130" s="547"/>
      <c r="CG130" s="547"/>
      <c r="CH130" s="547"/>
      <c r="CI130" s="547"/>
      <c r="CJ130" s="547"/>
      <c r="CK130" s="547"/>
      <c r="CL130" s="547"/>
      <c r="CM130" s="547"/>
      <c r="CN130" s="547"/>
      <c r="CO130" s="547"/>
      <c r="CP130" s="547"/>
      <c r="CQ130" s="547"/>
      <c r="CR130" s="547"/>
      <c r="CS130" s="547"/>
      <c r="CT130" s="547"/>
      <c r="CU130" s="547"/>
      <c r="CV130" s="547"/>
      <c r="CW130" s="547"/>
      <c r="CX130" s="188"/>
      <c r="CY130" s="188"/>
      <c r="CZ130" s="188"/>
      <c r="DA130" s="188"/>
      <c r="DB130" s="188"/>
      <c r="DC130" s="188"/>
    </row>
    <row r="131" spans="1:107" ht="9" customHeight="1">
      <c r="A131" s="614"/>
      <c r="B131" s="614"/>
      <c r="C131" s="614"/>
      <c r="D131" s="614"/>
      <c r="E131" s="614"/>
      <c r="F131" s="558"/>
      <c r="G131" s="558"/>
      <c r="H131" s="558"/>
      <c r="I131" s="558"/>
      <c r="J131" s="558"/>
      <c r="K131" s="558"/>
      <c r="L131" s="558"/>
      <c r="M131" s="558"/>
      <c r="N131" s="558"/>
      <c r="O131" s="558"/>
      <c r="P131" s="558"/>
      <c r="Q131" s="558"/>
      <c r="R131" s="558"/>
      <c r="S131" s="558"/>
      <c r="T131" s="558"/>
      <c r="U131" s="558"/>
      <c r="V131" s="558"/>
      <c r="W131" s="558"/>
      <c r="X131" s="558"/>
      <c r="Y131" s="558"/>
      <c r="Z131" s="619"/>
      <c r="AA131" s="619"/>
      <c r="AB131" s="619"/>
      <c r="AC131" s="619"/>
      <c r="AD131" s="619"/>
      <c r="AE131" s="558"/>
      <c r="AF131" s="558"/>
      <c r="AG131" s="558"/>
      <c r="AH131" s="558"/>
      <c r="AI131" s="558"/>
      <c r="AJ131" s="558"/>
      <c r="AK131" s="558"/>
      <c r="AL131" s="558"/>
      <c r="AM131" s="558"/>
      <c r="AN131" s="558"/>
      <c r="AO131" s="558"/>
      <c r="AP131" s="558"/>
      <c r="AQ131" s="558"/>
      <c r="AR131" s="558"/>
      <c r="AS131" s="558"/>
      <c r="AT131" s="558"/>
      <c r="AU131" s="558"/>
      <c r="AV131" s="558"/>
      <c r="AW131" s="558"/>
      <c r="AX131" s="558"/>
      <c r="AY131" s="188"/>
      <c r="AZ131" s="188"/>
      <c r="BA131" s="188"/>
      <c r="BB131" s="628">
        <f>IF(BW5="","",BW5)</f>
      </c>
      <c r="BC131" s="628"/>
      <c r="BD131" s="628"/>
      <c r="BE131" s="628"/>
      <c r="BF131" s="628"/>
      <c r="BG131" s="568"/>
      <c r="BH131" s="569"/>
      <c r="BI131" s="569"/>
      <c r="BJ131" s="569"/>
      <c r="BK131" s="569"/>
      <c r="BL131" s="569"/>
      <c r="BM131" s="570"/>
      <c r="BN131" s="628">
        <f>IF(OR(BN126="",BG131=""),"",ROUND(BN126*BG131,0))</f>
      </c>
      <c r="BO131" s="628"/>
      <c r="BP131" s="628"/>
      <c r="BQ131" s="628"/>
      <c r="BR131" s="628"/>
      <c r="BS131" s="628"/>
      <c r="BT131" s="628"/>
      <c r="BU131" s="188"/>
      <c r="BV131" s="301"/>
      <c r="BW131" s="546"/>
      <c r="BX131" s="546"/>
      <c r="BY131" s="546"/>
      <c r="BZ131" s="546"/>
      <c r="CA131" s="546"/>
      <c r="CB131" s="546"/>
      <c r="CC131" s="546"/>
      <c r="CD131" s="546"/>
      <c r="CE131" s="546"/>
      <c r="CF131" s="546"/>
      <c r="CG131" s="546"/>
      <c r="CH131" s="546"/>
      <c r="CI131" s="546"/>
      <c r="CJ131" s="546"/>
      <c r="CK131" s="546"/>
      <c r="CL131" s="546"/>
      <c r="CM131" s="546"/>
      <c r="CN131" s="546"/>
      <c r="CO131" s="546"/>
      <c r="CP131" s="546"/>
      <c r="CQ131" s="546"/>
      <c r="CR131" s="546"/>
      <c r="CS131" s="546"/>
      <c r="CT131" s="546"/>
      <c r="CU131" s="546"/>
      <c r="CV131" s="546"/>
      <c r="CW131" s="546"/>
      <c r="CX131" s="188"/>
      <c r="CY131" s="188"/>
      <c r="CZ131" s="188"/>
      <c r="DA131" s="188"/>
      <c r="DB131" s="188"/>
      <c r="DC131" s="188"/>
    </row>
    <row r="132" spans="1:107" ht="9" customHeight="1">
      <c r="A132" s="614"/>
      <c r="B132" s="614"/>
      <c r="C132" s="614"/>
      <c r="D132" s="614"/>
      <c r="E132" s="614"/>
      <c r="F132" s="558"/>
      <c r="G132" s="558"/>
      <c r="H132" s="558"/>
      <c r="I132" s="558"/>
      <c r="J132" s="558"/>
      <c r="K132" s="558"/>
      <c r="L132" s="558"/>
      <c r="M132" s="558"/>
      <c r="N132" s="558"/>
      <c r="O132" s="558"/>
      <c r="P132" s="558"/>
      <c r="Q132" s="558"/>
      <c r="R132" s="558"/>
      <c r="S132" s="558"/>
      <c r="T132" s="558"/>
      <c r="U132" s="558"/>
      <c r="V132" s="558"/>
      <c r="W132" s="558"/>
      <c r="X132" s="558"/>
      <c r="Y132" s="558"/>
      <c r="Z132" s="619"/>
      <c r="AA132" s="619"/>
      <c r="AB132" s="619"/>
      <c r="AC132" s="619"/>
      <c r="AD132" s="619"/>
      <c r="AE132" s="558"/>
      <c r="AF132" s="558"/>
      <c r="AG132" s="558"/>
      <c r="AH132" s="558"/>
      <c r="AI132" s="558"/>
      <c r="AJ132" s="558"/>
      <c r="AK132" s="558"/>
      <c r="AL132" s="558"/>
      <c r="AM132" s="558"/>
      <c r="AN132" s="558"/>
      <c r="AO132" s="558"/>
      <c r="AP132" s="558"/>
      <c r="AQ132" s="558"/>
      <c r="AR132" s="558"/>
      <c r="AS132" s="558"/>
      <c r="AT132" s="558"/>
      <c r="AU132" s="558"/>
      <c r="AV132" s="558"/>
      <c r="AW132" s="558"/>
      <c r="AX132" s="558"/>
      <c r="AY132" s="188"/>
      <c r="AZ132" s="188"/>
      <c r="BA132" s="188"/>
      <c r="BB132" s="628"/>
      <c r="BC132" s="628"/>
      <c r="BD132" s="628"/>
      <c r="BE132" s="628"/>
      <c r="BF132" s="628"/>
      <c r="BG132" s="571"/>
      <c r="BH132" s="551"/>
      <c r="BI132" s="551"/>
      <c r="BJ132" s="551"/>
      <c r="BK132" s="551"/>
      <c r="BL132" s="551"/>
      <c r="BM132" s="572"/>
      <c r="BN132" s="628"/>
      <c r="BO132" s="628"/>
      <c r="BP132" s="628"/>
      <c r="BQ132" s="628"/>
      <c r="BR132" s="628"/>
      <c r="BS132" s="628"/>
      <c r="BT132" s="628"/>
      <c r="BU132" s="188"/>
      <c r="BV132" s="301"/>
      <c r="BW132" s="547"/>
      <c r="BX132" s="547"/>
      <c r="BY132" s="547"/>
      <c r="BZ132" s="547"/>
      <c r="CA132" s="547"/>
      <c r="CB132" s="547"/>
      <c r="CC132" s="547"/>
      <c r="CD132" s="547"/>
      <c r="CE132" s="547"/>
      <c r="CF132" s="547"/>
      <c r="CG132" s="547"/>
      <c r="CH132" s="547"/>
      <c r="CI132" s="547"/>
      <c r="CJ132" s="547"/>
      <c r="CK132" s="547"/>
      <c r="CL132" s="547"/>
      <c r="CM132" s="547"/>
      <c r="CN132" s="547"/>
      <c r="CO132" s="547"/>
      <c r="CP132" s="547"/>
      <c r="CQ132" s="547"/>
      <c r="CR132" s="547"/>
      <c r="CS132" s="547"/>
      <c r="CT132" s="547"/>
      <c r="CU132" s="547"/>
      <c r="CV132" s="547"/>
      <c r="CW132" s="547"/>
      <c r="CX132" s="188"/>
      <c r="CY132" s="188"/>
      <c r="CZ132" s="188"/>
      <c r="DA132" s="188"/>
      <c r="DB132" s="188"/>
      <c r="DC132" s="188"/>
    </row>
    <row r="133" spans="1:107" ht="9" customHeight="1">
      <c r="A133" s="614"/>
      <c r="B133" s="614"/>
      <c r="C133" s="614"/>
      <c r="D133" s="614"/>
      <c r="E133" s="614"/>
      <c r="F133" s="558"/>
      <c r="G133" s="558"/>
      <c r="H133" s="558"/>
      <c r="I133" s="558"/>
      <c r="J133" s="558"/>
      <c r="K133" s="558"/>
      <c r="L133" s="558"/>
      <c r="M133" s="558"/>
      <c r="N133" s="558"/>
      <c r="O133" s="558"/>
      <c r="P133" s="558"/>
      <c r="Q133" s="558"/>
      <c r="R133" s="558"/>
      <c r="S133" s="558"/>
      <c r="T133" s="558"/>
      <c r="U133" s="558"/>
      <c r="V133" s="558"/>
      <c r="W133" s="558"/>
      <c r="X133" s="558"/>
      <c r="Y133" s="558"/>
      <c r="Z133" s="619"/>
      <c r="AA133" s="619"/>
      <c r="AB133" s="619"/>
      <c r="AC133" s="619"/>
      <c r="AD133" s="619"/>
      <c r="AE133" s="558"/>
      <c r="AF133" s="558"/>
      <c r="AG133" s="558"/>
      <c r="AH133" s="558"/>
      <c r="AI133" s="558"/>
      <c r="AJ133" s="558"/>
      <c r="AK133" s="558"/>
      <c r="AL133" s="558"/>
      <c r="AM133" s="558"/>
      <c r="AN133" s="558"/>
      <c r="AO133" s="558"/>
      <c r="AP133" s="558"/>
      <c r="AQ133" s="558"/>
      <c r="AR133" s="558"/>
      <c r="AS133" s="558"/>
      <c r="AT133" s="558"/>
      <c r="AU133" s="558"/>
      <c r="AV133" s="558"/>
      <c r="AW133" s="558"/>
      <c r="AX133" s="558"/>
      <c r="AY133" s="188"/>
      <c r="AZ133" s="188"/>
      <c r="BA133" s="188"/>
      <c r="BB133" s="628">
        <f>IF(CE5="","",CE5)</f>
      </c>
      <c r="BC133" s="628"/>
      <c r="BD133" s="628"/>
      <c r="BE133" s="628"/>
      <c r="BF133" s="628"/>
      <c r="BG133" s="568"/>
      <c r="BH133" s="569"/>
      <c r="BI133" s="569"/>
      <c r="BJ133" s="569"/>
      <c r="BK133" s="569"/>
      <c r="BL133" s="569"/>
      <c r="BM133" s="570"/>
      <c r="BN133" s="628">
        <f>IF(OR(BN126="",BG133=""),"",ROUND(BN126*BG133,0))</f>
      </c>
      <c r="BO133" s="628"/>
      <c r="BP133" s="628"/>
      <c r="BQ133" s="628"/>
      <c r="BR133" s="628"/>
      <c r="BS133" s="628"/>
      <c r="BT133" s="628"/>
      <c r="BU133" s="188"/>
      <c r="BV133" s="301"/>
      <c r="BW133" s="546"/>
      <c r="BX133" s="546"/>
      <c r="BY133" s="546"/>
      <c r="BZ133" s="546"/>
      <c r="CA133" s="546"/>
      <c r="CB133" s="546"/>
      <c r="CC133" s="546"/>
      <c r="CD133" s="546"/>
      <c r="CE133" s="546"/>
      <c r="CF133" s="546"/>
      <c r="CG133" s="546"/>
      <c r="CH133" s="546"/>
      <c r="CI133" s="546"/>
      <c r="CJ133" s="546"/>
      <c r="CK133" s="546"/>
      <c r="CL133" s="546"/>
      <c r="CM133" s="546"/>
      <c r="CN133" s="546"/>
      <c r="CO133" s="546"/>
      <c r="CP133" s="546"/>
      <c r="CQ133" s="546"/>
      <c r="CR133" s="546"/>
      <c r="CS133" s="546"/>
      <c r="CT133" s="546"/>
      <c r="CU133" s="546"/>
      <c r="CV133" s="546"/>
      <c r="CW133" s="546"/>
      <c r="CX133" s="188"/>
      <c r="CY133" s="188"/>
      <c r="CZ133" s="188"/>
      <c r="DA133" s="188"/>
      <c r="DB133" s="188"/>
      <c r="DC133" s="188"/>
    </row>
    <row r="134" spans="1:107" ht="9" customHeight="1">
      <c r="A134" s="614"/>
      <c r="B134" s="614"/>
      <c r="C134" s="614"/>
      <c r="D134" s="614"/>
      <c r="E134" s="614"/>
      <c r="F134" s="558"/>
      <c r="G134" s="558"/>
      <c r="H134" s="558"/>
      <c r="I134" s="558"/>
      <c r="J134" s="558"/>
      <c r="K134" s="558"/>
      <c r="L134" s="558"/>
      <c r="M134" s="558"/>
      <c r="N134" s="558"/>
      <c r="O134" s="558"/>
      <c r="P134" s="558"/>
      <c r="Q134" s="558"/>
      <c r="R134" s="558"/>
      <c r="S134" s="558"/>
      <c r="T134" s="558"/>
      <c r="U134" s="558"/>
      <c r="V134" s="558"/>
      <c r="W134" s="558"/>
      <c r="X134" s="558"/>
      <c r="Y134" s="558"/>
      <c r="Z134" s="619"/>
      <c r="AA134" s="619"/>
      <c r="AB134" s="619"/>
      <c r="AC134" s="619"/>
      <c r="AD134" s="619"/>
      <c r="AE134" s="558"/>
      <c r="AF134" s="558"/>
      <c r="AG134" s="558"/>
      <c r="AH134" s="558"/>
      <c r="AI134" s="558"/>
      <c r="AJ134" s="558"/>
      <c r="AK134" s="558"/>
      <c r="AL134" s="558"/>
      <c r="AM134" s="558"/>
      <c r="AN134" s="558"/>
      <c r="AO134" s="558"/>
      <c r="AP134" s="558"/>
      <c r="AQ134" s="558"/>
      <c r="AR134" s="558"/>
      <c r="AS134" s="558"/>
      <c r="AT134" s="558"/>
      <c r="AU134" s="558"/>
      <c r="AV134" s="558"/>
      <c r="AW134" s="558"/>
      <c r="AX134" s="558"/>
      <c r="AY134" s="188"/>
      <c r="AZ134" s="188"/>
      <c r="BA134" s="188"/>
      <c r="BB134" s="628"/>
      <c r="BC134" s="628"/>
      <c r="BD134" s="628"/>
      <c r="BE134" s="628"/>
      <c r="BF134" s="628"/>
      <c r="BG134" s="571"/>
      <c r="BH134" s="551"/>
      <c r="BI134" s="551"/>
      <c r="BJ134" s="551"/>
      <c r="BK134" s="551"/>
      <c r="BL134" s="551"/>
      <c r="BM134" s="572"/>
      <c r="BN134" s="628"/>
      <c r="BO134" s="628"/>
      <c r="BP134" s="628"/>
      <c r="BQ134" s="628"/>
      <c r="BR134" s="628"/>
      <c r="BS134" s="628"/>
      <c r="BT134" s="628"/>
      <c r="BU134" s="188"/>
      <c r="BV134" s="188"/>
      <c r="BW134" s="188"/>
      <c r="BX134" s="188"/>
      <c r="BY134" s="188"/>
      <c r="BZ134" s="188"/>
      <c r="CA134" s="188"/>
      <c r="CB134" s="188"/>
      <c r="CC134" s="188"/>
      <c r="CD134" s="188"/>
      <c r="CE134" s="188"/>
      <c r="CF134" s="188"/>
      <c r="CG134" s="188"/>
      <c r="CH134" s="188"/>
      <c r="CI134" s="188"/>
      <c r="CJ134" s="188"/>
      <c r="CK134" s="188"/>
      <c r="CL134" s="188"/>
      <c r="CM134" s="188"/>
      <c r="CN134" s="188"/>
      <c r="CO134" s="188"/>
      <c r="CP134" s="188"/>
      <c r="CQ134" s="188"/>
      <c r="CR134" s="188"/>
      <c r="CS134" s="188"/>
      <c r="CT134" s="188"/>
      <c r="CU134" s="188"/>
      <c r="CV134" s="188"/>
      <c r="CW134" s="188"/>
      <c r="CX134" s="188"/>
      <c r="CY134" s="188"/>
      <c r="CZ134" s="188"/>
      <c r="DA134" s="188"/>
      <c r="DB134" s="188"/>
      <c r="DC134" s="188"/>
    </row>
    <row r="135" spans="1:107" ht="9" customHeight="1">
      <c r="A135" s="614"/>
      <c r="B135" s="614"/>
      <c r="C135" s="614"/>
      <c r="D135" s="614"/>
      <c r="E135" s="614"/>
      <c r="F135" s="558"/>
      <c r="G135" s="558"/>
      <c r="H135" s="558"/>
      <c r="I135" s="558"/>
      <c r="J135" s="558"/>
      <c r="K135" s="558"/>
      <c r="L135" s="558"/>
      <c r="M135" s="558"/>
      <c r="N135" s="558"/>
      <c r="O135" s="558"/>
      <c r="P135" s="558"/>
      <c r="Q135" s="558"/>
      <c r="R135" s="558"/>
      <c r="S135" s="558"/>
      <c r="T135" s="558"/>
      <c r="U135" s="558"/>
      <c r="V135" s="558"/>
      <c r="W135" s="558"/>
      <c r="X135" s="558"/>
      <c r="Y135" s="558"/>
      <c r="Z135" s="619"/>
      <c r="AA135" s="619"/>
      <c r="AB135" s="619"/>
      <c r="AC135" s="619"/>
      <c r="AD135" s="619"/>
      <c r="AE135" s="558"/>
      <c r="AF135" s="558"/>
      <c r="AG135" s="558"/>
      <c r="AH135" s="558"/>
      <c r="AI135" s="558"/>
      <c r="AJ135" s="558"/>
      <c r="AK135" s="558"/>
      <c r="AL135" s="558"/>
      <c r="AM135" s="558"/>
      <c r="AN135" s="558"/>
      <c r="AO135" s="558"/>
      <c r="AP135" s="558"/>
      <c r="AQ135" s="558"/>
      <c r="AR135" s="558"/>
      <c r="AS135" s="558"/>
      <c r="AT135" s="558"/>
      <c r="AU135" s="558"/>
      <c r="AV135" s="558"/>
      <c r="AW135" s="558"/>
      <c r="AX135" s="558"/>
      <c r="AY135" s="188"/>
      <c r="AZ135" s="676" t="s">
        <v>213</v>
      </c>
      <c r="BA135" s="676"/>
      <c r="BB135" s="676"/>
      <c r="BC135" s="676"/>
      <c r="BD135" s="676"/>
      <c r="BE135" s="676"/>
      <c r="BF135" s="676"/>
      <c r="BG135" s="676"/>
      <c r="BH135" s="676"/>
      <c r="BI135" s="676"/>
      <c r="BJ135" s="676"/>
      <c r="BK135" s="676"/>
      <c r="BL135" s="676"/>
      <c r="BM135" s="677"/>
      <c r="BN135" s="628">
        <f>IF(BN131="","",SUM(BN131:BN133))</f>
      </c>
      <c r="BO135" s="628"/>
      <c r="BP135" s="628"/>
      <c r="BQ135" s="628"/>
      <c r="BR135" s="628"/>
      <c r="BS135" s="628"/>
      <c r="BT135" s="628"/>
      <c r="BU135" s="188"/>
      <c r="BV135" s="188"/>
      <c r="BW135" s="188"/>
      <c r="BX135" s="188"/>
      <c r="BY135" s="188"/>
      <c r="BZ135" s="188"/>
      <c r="CA135" s="188"/>
      <c r="CB135" s="188"/>
      <c r="CC135" s="188"/>
      <c r="CD135" s="674" t="s">
        <v>320</v>
      </c>
      <c r="CE135" s="675"/>
      <c r="CF135" s="675"/>
      <c r="CG135" s="675"/>
      <c r="CH135" s="675"/>
      <c r="CI135" s="675"/>
      <c r="CJ135" s="675"/>
      <c r="CK135" s="675"/>
      <c r="CL135" s="675"/>
      <c r="CM135" s="675"/>
      <c r="CN135" s="675"/>
      <c r="CO135" s="675"/>
      <c r="CP135" s="675"/>
      <c r="CQ135" s="675"/>
      <c r="CR135" s="675"/>
      <c r="CS135" s="675"/>
      <c r="CT135" s="675"/>
      <c r="CU135" s="675"/>
      <c r="CV135" s="675"/>
      <c r="CW135" s="675"/>
      <c r="CX135" s="188"/>
      <c r="CY135" s="188"/>
      <c r="CZ135" s="188"/>
      <c r="DA135" s="188"/>
      <c r="DB135" s="188"/>
      <c r="DC135" s="188"/>
    </row>
    <row r="136" spans="1:107" ht="9" customHeight="1">
      <c r="A136" s="614"/>
      <c r="B136" s="614"/>
      <c r="C136" s="614"/>
      <c r="D136" s="614"/>
      <c r="E136" s="614"/>
      <c r="F136" s="558"/>
      <c r="G136" s="558"/>
      <c r="H136" s="558"/>
      <c r="I136" s="558"/>
      <c r="J136" s="558"/>
      <c r="K136" s="558"/>
      <c r="L136" s="558"/>
      <c r="M136" s="558"/>
      <c r="N136" s="558"/>
      <c r="O136" s="558"/>
      <c r="P136" s="558"/>
      <c r="Q136" s="558"/>
      <c r="R136" s="558"/>
      <c r="S136" s="558"/>
      <c r="T136" s="558"/>
      <c r="U136" s="558"/>
      <c r="V136" s="558"/>
      <c r="W136" s="558"/>
      <c r="X136" s="558"/>
      <c r="Y136" s="558"/>
      <c r="Z136" s="619"/>
      <c r="AA136" s="619"/>
      <c r="AB136" s="619"/>
      <c r="AC136" s="619"/>
      <c r="AD136" s="619"/>
      <c r="AE136" s="558"/>
      <c r="AF136" s="558"/>
      <c r="AG136" s="558"/>
      <c r="AH136" s="558"/>
      <c r="AI136" s="558"/>
      <c r="AJ136" s="558"/>
      <c r="AK136" s="558"/>
      <c r="AL136" s="558"/>
      <c r="AM136" s="558"/>
      <c r="AN136" s="558"/>
      <c r="AO136" s="558"/>
      <c r="AP136" s="558"/>
      <c r="AQ136" s="558"/>
      <c r="AR136" s="558"/>
      <c r="AS136" s="558"/>
      <c r="AT136" s="558"/>
      <c r="AU136" s="558"/>
      <c r="AV136" s="558"/>
      <c r="AW136" s="558"/>
      <c r="AX136" s="558"/>
      <c r="AY136" s="188"/>
      <c r="AZ136" s="676"/>
      <c r="BA136" s="676"/>
      <c r="BB136" s="676"/>
      <c r="BC136" s="676"/>
      <c r="BD136" s="676"/>
      <c r="BE136" s="676"/>
      <c r="BF136" s="676"/>
      <c r="BG136" s="676"/>
      <c r="BH136" s="676"/>
      <c r="BI136" s="676"/>
      <c r="BJ136" s="676"/>
      <c r="BK136" s="676"/>
      <c r="BL136" s="676"/>
      <c r="BM136" s="677"/>
      <c r="BN136" s="628"/>
      <c r="BO136" s="628"/>
      <c r="BP136" s="628"/>
      <c r="BQ136" s="628"/>
      <c r="BR136" s="628"/>
      <c r="BS136" s="628"/>
      <c r="BT136" s="628"/>
      <c r="BU136" s="188"/>
      <c r="BV136" s="188"/>
      <c r="BW136" s="188"/>
      <c r="BX136" s="188"/>
      <c r="BY136" s="188"/>
      <c r="BZ136" s="188"/>
      <c r="CA136" s="188"/>
      <c r="CB136" s="188"/>
      <c r="CC136" s="188"/>
      <c r="CD136" s="675"/>
      <c r="CE136" s="675"/>
      <c r="CF136" s="675"/>
      <c r="CG136" s="675"/>
      <c r="CH136" s="675"/>
      <c r="CI136" s="675"/>
      <c r="CJ136" s="675"/>
      <c r="CK136" s="675"/>
      <c r="CL136" s="675"/>
      <c r="CM136" s="675"/>
      <c r="CN136" s="675"/>
      <c r="CO136" s="675"/>
      <c r="CP136" s="675"/>
      <c r="CQ136" s="675"/>
      <c r="CR136" s="675"/>
      <c r="CS136" s="675"/>
      <c r="CT136" s="675"/>
      <c r="CU136" s="675"/>
      <c r="CV136" s="675"/>
      <c r="CW136" s="675"/>
      <c r="CX136" s="188"/>
      <c r="CY136" s="188"/>
      <c r="CZ136" s="188"/>
      <c r="DA136" s="188"/>
      <c r="DB136" s="188"/>
      <c r="DC136" s="188"/>
    </row>
    <row r="137" spans="1:107" ht="9" customHeight="1">
      <c r="A137" s="614"/>
      <c r="B137" s="614"/>
      <c r="C137" s="614"/>
      <c r="D137" s="614"/>
      <c r="E137" s="614"/>
      <c r="F137" s="558"/>
      <c r="G137" s="558"/>
      <c r="H137" s="558"/>
      <c r="I137" s="558"/>
      <c r="J137" s="558"/>
      <c r="K137" s="558"/>
      <c r="L137" s="558"/>
      <c r="M137" s="558"/>
      <c r="N137" s="558"/>
      <c r="O137" s="558"/>
      <c r="P137" s="558"/>
      <c r="Q137" s="558"/>
      <c r="R137" s="558"/>
      <c r="S137" s="558"/>
      <c r="T137" s="558"/>
      <c r="U137" s="558"/>
      <c r="V137" s="558"/>
      <c r="W137" s="558"/>
      <c r="X137" s="558"/>
      <c r="Y137" s="558"/>
      <c r="Z137" s="619"/>
      <c r="AA137" s="619"/>
      <c r="AB137" s="619"/>
      <c r="AC137" s="619"/>
      <c r="AD137" s="619"/>
      <c r="AE137" s="558"/>
      <c r="AF137" s="558"/>
      <c r="AG137" s="558"/>
      <c r="AH137" s="558"/>
      <c r="AI137" s="558"/>
      <c r="AJ137" s="558"/>
      <c r="AK137" s="558"/>
      <c r="AL137" s="558"/>
      <c r="AM137" s="558"/>
      <c r="AN137" s="558"/>
      <c r="AO137" s="558"/>
      <c r="AP137" s="558"/>
      <c r="AQ137" s="558"/>
      <c r="AR137" s="558"/>
      <c r="AS137" s="558"/>
      <c r="AT137" s="558"/>
      <c r="AU137" s="558"/>
      <c r="AV137" s="558"/>
      <c r="AW137" s="558"/>
      <c r="AX137" s="558"/>
      <c r="AY137" s="188"/>
      <c r="AZ137" s="188"/>
      <c r="BA137" s="188"/>
      <c r="BB137" s="188"/>
      <c r="BC137" s="188"/>
      <c r="BD137" s="188"/>
      <c r="BE137" s="188"/>
      <c r="BF137" s="188"/>
      <c r="BG137" s="188"/>
      <c r="BH137" s="188"/>
      <c r="BI137" s="188"/>
      <c r="BJ137" s="188"/>
      <c r="BK137" s="188"/>
      <c r="BL137" s="188"/>
      <c r="BM137" s="188"/>
      <c r="BN137" s="188"/>
      <c r="BO137" s="188"/>
      <c r="BP137" s="188"/>
      <c r="BQ137" s="188"/>
      <c r="BR137" s="188"/>
      <c r="BS137" s="188"/>
      <c r="BT137" s="188"/>
      <c r="BU137" s="188"/>
      <c r="BV137" s="188"/>
      <c r="BW137" s="188"/>
      <c r="BX137" s="188"/>
      <c r="BY137" s="188"/>
      <c r="BZ137" s="188"/>
      <c r="CA137" s="188"/>
      <c r="CB137" s="188"/>
      <c r="CC137" s="188"/>
      <c r="CD137" s="188"/>
      <c r="CE137" s="188"/>
      <c r="CF137" s="188"/>
      <c r="CG137" s="188"/>
      <c r="CH137" s="188"/>
      <c r="CI137" s="188"/>
      <c r="CJ137" s="188"/>
      <c r="CK137" s="188"/>
      <c r="CL137" s="188"/>
      <c r="CM137" s="188"/>
      <c r="CN137" s="188"/>
      <c r="CO137" s="188"/>
      <c r="CP137" s="188"/>
      <c r="CQ137" s="188"/>
      <c r="CR137" s="188"/>
      <c r="CS137" s="188"/>
      <c r="CT137" s="188"/>
      <c r="CU137" s="188"/>
      <c r="CV137" s="188"/>
      <c r="CW137" s="188"/>
      <c r="CX137" s="188"/>
      <c r="CY137" s="188"/>
      <c r="CZ137" s="188"/>
      <c r="DA137" s="188"/>
      <c r="DB137" s="188"/>
      <c r="DC137" s="188"/>
    </row>
    <row r="138" spans="1:107" ht="9" customHeight="1">
      <c r="A138" s="614"/>
      <c r="B138" s="614"/>
      <c r="C138" s="614"/>
      <c r="D138" s="614"/>
      <c r="E138" s="614"/>
      <c r="F138" s="558"/>
      <c r="G138" s="558"/>
      <c r="H138" s="558"/>
      <c r="I138" s="558"/>
      <c r="J138" s="558"/>
      <c r="K138" s="558"/>
      <c r="L138" s="558"/>
      <c r="M138" s="558"/>
      <c r="N138" s="558"/>
      <c r="O138" s="558"/>
      <c r="P138" s="558"/>
      <c r="Q138" s="558"/>
      <c r="R138" s="558"/>
      <c r="S138" s="558"/>
      <c r="T138" s="558"/>
      <c r="U138" s="558"/>
      <c r="V138" s="558"/>
      <c r="W138" s="558"/>
      <c r="X138" s="558"/>
      <c r="Y138" s="558"/>
      <c r="Z138" s="619"/>
      <c r="AA138" s="619"/>
      <c r="AB138" s="619"/>
      <c r="AC138" s="619"/>
      <c r="AD138" s="619"/>
      <c r="AE138" s="558"/>
      <c r="AF138" s="558"/>
      <c r="AG138" s="558"/>
      <c r="AH138" s="558"/>
      <c r="AI138" s="558"/>
      <c r="AJ138" s="558"/>
      <c r="AK138" s="558"/>
      <c r="AL138" s="558"/>
      <c r="AM138" s="558"/>
      <c r="AN138" s="558"/>
      <c r="AO138" s="558"/>
      <c r="AP138" s="558"/>
      <c r="AQ138" s="558"/>
      <c r="AR138" s="558"/>
      <c r="AS138" s="558"/>
      <c r="AT138" s="558"/>
      <c r="AU138" s="558"/>
      <c r="AV138" s="558"/>
      <c r="AW138" s="558"/>
      <c r="AX138" s="558"/>
      <c r="AY138" s="188"/>
      <c r="AZ138" s="188"/>
      <c r="BA138" s="188"/>
      <c r="BG138" s="672" t="s">
        <v>212</v>
      </c>
      <c r="BH138" s="673"/>
      <c r="BI138" s="673"/>
      <c r="BJ138" s="673"/>
      <c r="BK138" s="673"/>
      <c r="BL138" s="673"/>
      <c r="BM138" s="673"/>
      <c r="BN138" s="673"/>
      <c r="BO138" s="673"/>
      <c r="BP138" s="673"/>
      <c r="BQ138" s="673"/>
      <c r="BR138" s="673"/>
      <c r="BS138" s="673"/>
      <c r="BT138" s="673"/>
      <c r="BU138" s="673"/>
      <c r="BV138" s="673"/>
      <c r="BW138" s="673"/>
      <c r="BX138" s="673"/>
      <c r="BY138" s="673"/>
      <c r="BZ138" s="673"/>
      <c r="CA138" s="673"/>
      <c r="CB138" s="673"/>
      <c r="CC138" s="673"/>
      <c r="CD138" s="673"/>
      <c r="CE138" s="673"/>
      <c r="CF138" s="673"/>
      <c r="CG138" s="673"/>
      <c r="CH138" s="673"/>
      <c r="CI138" s="673"/>
      <c r="CJ138" s="673"/>
      <c r="CK138" s="673"/>
      <c r="CL138" s="673"/>
      <c r="CM138" s="673"/>
      <c r="CN138" s="673"/>
      <c r="CO138" s="673"/>
      <c r="CP138" s="673"/>
      <c r="CQ138" s="673"/>
      <c r="CR138" s="673"/>
      <c r="CS138" s="673"/>
      <c r="CT138" s="673"/>
      <c r="CU138" s="673"/>
      <c r="CV138" s="673"/>
      <c r="CW138" s="673"/>
      <c r="CX138" s="188"/>
      <c r="CY138" s="188"/>
      <c r="CZ138" s="188"/>
      <c r="DA138" s="188"/>
      <c r="DB138" s="188"/>
      <c r="DC138" s="188"/>
    </row>
    <row r="139" spans="1:107" ht="9" customHeight="1">
      <c r="A139" s="614"/>
      <c r="B139" s="614"/>
      <c r="C139" s="614"/>
      <c r="D139" s="614"/>
      <c r="E139" s="614"/>
      <c r="F139" s="558"/>
      <c r="G139" s="558"/>
      <c r="H139" s="558"/>
      <c r="I139" s="558"/>
      <c r="J139" s="558"/>
      <c r="K139" s="558"/>
      <c r="L139" s="558"/>
      <c r="M139" s="558"/>
      <c r="N139" s="558"/>
      <c r="O139" s="558"/>
      <c r="P139" s="558"/>
      <c r="Q139" s="558"/>
      <c r="R139" s="558"/>
      <c r="S139" s="558"/>
      <c r="T139" s="558"/>
      <c r="U139" s="558"/>
      <c r="V139" s="558"/>
      <c r="W139" s="558"/>
      <c r="X139" s="558"/>
      <c r="Y139" s="558"/>
      <c r="Z139" s="619"/>
      <c r="AA139" s="619"/>
      <c r="AB139" s="619"/>
      <c r="AC139" s="619"/>
      <c r="AD139" s="619"/>
      <c r="AE139" s="558"/>
      <c r="AF139" s="558"/>
      <c r="AG139" s="558"/>
      <c r="AH139" s="558"/>
      <c r="AI139" s="558"/>
      <c r="AJ139" s="558"/>
      <c r="AK139" s="558"/>
      <c r="AL139" s="558"/>
      <c r="AM139" s="558"/>
      <c r="AN139" s="558"/>
      <c r="AO139" s="558"/>
      <c r="AP139" s="558"/>
      <c r="AQ139" s="558"/>
      <c r="AR139" s="558"/>
      <c r="AS139" s="558"/>
      <c r="AT139" s="558"/>
      <c r="AU139" s="558"/>
      <c r="AV139" s="558"/>
      <c r="AW139" s="558"/>
      <c r="AX139" s="558"/>
      <c r="AY139" s="188"/>
      <c r="AZ139" s="188"/>
      <c r="BA139" s="188"/>
      <c r="BG139" s="673"/>
      <c r="BH139" s="673"/>
      <c r="BI139" s="673"/>
      <c r="BJ139" s="673"/>
      <c r="BK139" s="673"/>
      <c r="BL139" s="673"/>
      <c r="BM139" s="673"/>
      <c r="BN139" s="673"/>
      <c r="BO139" s="673"/>
      <c r="BP139" s="673"/>
      <c r="BQ139" s="673"/>
      <c r="BR139" s="673"/>
      <c r="BS139" s="673"/>
      <c r="BT139" s="673"/>
      <c r="BU139" s="673"/>
      <c r="BV139" s="673"/>
      <c r="BW139" s="673"/>
      <c r="BX139" s="673"/>
      <c r="BY139" s="673"/>
      <c r="BZ139" s="673"/>
      <c r="CA139" s="673"/>
      <c r="CB139" s="673"/>
      <c r="CC139" s="673"/>
      <c r="CD139" s="673"/>
      <c r="CE139" s="673"/>
      <c r="CF139" s="673"/>
      <c r="CG139" s="673"/>
      <c r="CH139" s="673"/>
      <c r="CI139" s="673"/>
      <c r="CJ139" s="673"/>
      <c r="CK139" s="673"/>
      <c r="CL139" s="673"/>
      <c r="CM139" s="673"/>
      <c r="CN139" s="673"/>
      <c r="CO139" s="673"/>
      <c r="CP139" s="673"/>
      <c r="CQ139" s="673"/>
      <c r="CR139" s="673"/>
      <c r="CS139" s="673"/>
      <c r="CT139" s="673"/>
      <c r="CU139" s="673"/>
      <c r="CV139" s="673"/>
      <c r="CW139" s="673"/>
      <c r="CX139" s="188"/>
      <c r="CY139" s="188"/>
      <c r="CZ139" s="188"/>
      <c r="DA139" s="188"/>
      <c r="DB139" s="188"/>
      <c r="DC139" s="188"/>
    </row>
    <row r="140" spans="1:107" ht="9" customHeight="1">
      <c r="A140" s="614"/>
      <c r="B140" s="614"/>
      <c r="C140" s="614"/>
      <c r="D140" s="614"/>
      <c r="E140" s="614"/>
      <c r="F140" s="558"/>
      <c r="G140" s="558"/>
      <c r="H140" s="558"/>
      <c r="I140" s="558"/>
      <c r="J140" s="558"/>
      <c r="K140" s="558"/>
      <c r="L140" s="558"/>
      <c r="M140" s="558"/>
      <c r="N140" s="558"/>
      <c r="O140" s="558"/>
      <c r="P140" s="558"/>
      <c r="Q140" s="558"/>
      <c r="R140" s="558"/>
      <c r="S140" s="558"/>
      <c r="T140" s="558"/>
      <c r="U140" s="558"/>
      <c r="V140" s="558"/>
      <c r="W140" s="558"/>
      <c r="X140" s="558"/>
      <c r="Y140" s="558"/>
      <c r="Z140" s="619"/>
      <c r="AA140" s="619"/>
      <c r="AB140" s="619"/>
      <c r="AC140" s="619"/>
      <c r="AD140" s="619"/>
      <c r="AE140" s="558"/>
      <c r="AF140" s="558"/>
      <c r="AG140" s="558"/>
      <c r="AH140" s="558"/>
      <c r="AI140" s="558"/>
      <c r="AJ140" s="558"/>
      <c r="AK140" s="558"/>
      <c r="AL140" s="558"/>
      <c r="AM140" s="558"/>
      <c r="AN140" s="558"/>
      <c r="AO140" s="558"/>
      <c r="AP140" s="558"/>
      <c r="AQ140" s="558"/>
      <c r="AR140" s="558"/>
      <c r="AS140" s="558"/>
      <c r="AT140" s="558"/>
      <c r="AU140" s="558"/>
      <c r="AV140" s="558"/>
      <c r="AW140" s="558"/>
      <c r="AX140" s="558"/>
      <c r="AY140" s="188"/>
      <c r="AZ140" s="188"/>
      <c r="BA140" s="188"/>
      <c r="BB140" s="647" t="s">
        <v>246</v>
      </c>
      <c r="BC140" s="648"/>
      <c r="BD140" s="648"/>
      <c r="BE140" s="648"/>
      <c r="BF140" s="649"/>
      <c r="BG140" s="638" t="s">
        <v>142</v>
      </c>
      <c r="BH140" s="656"/>
      <c r="BI140" s="656"/>
      <c r="BJ140" s="656"/>
      <c r="BK140" s="657"/>
      <c r="BL140" s="663" t="s">
        <v>277</v>
      </c>
      <c r="BM140" s="664"/>
      <c r="BN140" s="664"/>
      <c r="BO140" s="664"/>
      <c r="BP140" s="665"/>
      <c r="BQ140" s="194"/>
      <c r="BR140" s="195"/>
      <c r="BS140" s="195"/>
      <c r="BT140" s="195"/>
      <c r="BU140" s="195"/>
      <c r="BV140" s="195"/>
      <c r="BW140" s="196"/>
      <c r="BX140" s="194"/>
      <c r="BY140" s="195"/>
      <c r="BZ140" s="195"/>
      <c r="CA140" s="195"/>
      <c r="CB140" s="196"/>
      <c r="CC140" s="638" t="s">
        <v>207</v>
      </c>
      <c r="CD140" s="639"/>
      <c r="CE140" s="639"/>
      <c r="CF140" s="639"/>
      <c r="CG140" s="639"/>
      <c r="CH140" s="639"/>
      <c r="CI140" s="639"/>
      <c r="CJ140" s="639"/>
      <c r="CK140" s="639"/>
      <c r="CL140" s="639"/>
      <c r="CM140" s="639"/>
      <c r="CN140" s="639"/>
      <c r="CO140" s="639"/>
      <c r="CP140" s="639"/>
      <c r="CQ140" s="639"/>
      <c r="CR140" s="639"/>
      <c r="CS140" s="639"/>
      <c r="CT140" s="639"/>
      <c r="CU140" s="639"/>
      <c r="CV140" s="639"/>
      <c r="CW140" s="640"/>
      <c r="CX140" s="188"/>
      <c r="CY140" s="188"/>
      <c r="CZ140" s="188"/>
      <c r="DA140" s="188"/>
      <c r="DB140" s="188"/>
      <c r="DC140" s="188"/>
    </row>
    <row r="141" spans="1:107" ht="9" customHeight="1">
      <c r="A141" s="614"/>
      <c r="B141" s="614"/>
      <c r="C141" s="614"/>
      <c r="D141" s="614"/>
      <c r="E141" s="614"/>
      <c r="F141" s="558"/>
      <c r="G141" s="558"/>
      <c r="H141" s="558"/>
      <c r="I141" s="558"/>
      <c r="J141" s="558"/>
      <c r="K141" s="558"/>
      <c r="L141" s="558"/>
      <c r="M141" s="558"/>
      <c r="N141" s="558"/>
      <c r="O141" s="558"/>
      <c r="P141" s="558"/>
      <c r="Q141" s="558"/>
      <c r="R141" s="558"/>
      <c r="S141" s="558"/>
      <c r="T141" s="558"/>
      <c r="U141" s="558"/>
      <c r="V141" s="558"/>
      <c r="W141" s="558"/>
      <c r="X141" s="558"/>
      <c r="Y141" s="558"/>
      <c r="Z141" s="619"/>
      <c r="AA141" s="619"/>
      <c r="AB141" s="619"/>
      <c r="AC141" s="619"/>
      <c r="AD141" s="619"/>
      <c r="AE141" s="558"/>
      <c r="AF141" s="558"/>
      <c r="AG141" s="558"/>
      <c r="AH141" s="558"/>
      <c r="AI141" s="558"/>
      <c r="AJ141" s="558"/>
      <c r="AK141" s="558"/>
      <c r="AL141" s="558"/>
      <c r="AM141" s="558"/>
      <c r="AN141" s="558"/>
      <c r="AO141" s="558"/>
      <c r="AP141" s="558"/>
      <c r="AQ141" s="558"/>
      <c r="AR141" s="558"/>
      <c r="AS141" s="558"/>
      <c r="AT141" s="558"/>
      <c r="AU141" s="558"/>
      <c r="AV141" s="558"/>
      <c r="AW141" s="558"/>
      <c r="AX141" s="558"/>
      <c r="AY141" s="188"/>
      <c r="AZ141" s="188"/>
      <c r="BA141" s="188"/>
      <c r="BB141" s="650"/>
      <c r="BC141" s="651"/>
      <c r="BD141" s="651"/>
      <c r="BE141" s="651"/>
      <c r="BF141" s="652"/>
      <c r="BG141" s="658"/>
      <c r="BH141" s="500"/>
      <c r="BI141" s="500"/>
      <c r="BJ141" s="500"/>
      <c r="BK141" s="659"/>
      <c r="BL141" s="666"/>
      <c r="BM141" s="667"/>
      <c r="BN141" s="667"/>
      <c r="BO141" s="667"/>
      <c r="BP141" s="668"/>
      <c r="BQ141" s="236"/>
      <c r="BR141" s="191"/>
      <c r="BS141" s="191"/>
      <c r="BT141" s="191"/>
      <c r="BU141" s="191"/>
      <c r="BV141" s="191"/>
      <c r="BW141" s="237"/>
      <c r="BX141" s="644" t="s">
        <v>216</v>
      </c>
      <c r="BY141" s="645"/>
      <c r="BZ141" s="645"/>
      <c r="CA141" s="645"/>
      <c r="CB141" s="646"/>
      <c r="CC141" s="641"/>
      <c r="CD141" s="642"/>
      <c r="CE141" s="642"/>
      <c r="CF141" s="642"/>
      <c r="CG141" s="642"/>
      <c r="CH141" s="642"/>
      <c r="CI141" s="642"/>
      <c r="CJ141" s="642"/>
      <c r="CK141" s="642"/>
      <c r="CL141" s="642"/>
      <c r="CM141" s="642"/>
      <c r="CN141" s="642"/>
      <c r="CO141" s="642"/>
      <c r="CP141" s="642"/>
      <c r="CQ141" s="642"/>
      <c r="CR141" s="642"/>
      <c r="CS141" s="642"/>
      <c r="CT141" s="642"/>
      <c r="CU141" s="642"/>
      <c r="CV141" s="642"/>
      <c r="CW141" s="643"/>
      <c r="CX141" s="188"/>
      <c r="CY141" s="188"/>
      <c r="CZ141" s="188"/>
      <c r="DA141" s="188"/>
      <c r="DB141" s="188"/>
      <c r="DC141" s="188"/>
    </row>
    <row r="142" spans="1:107" ht="9" customHeight="1">
      <c r="A142" s="614"/>
      <c r="B142" s="614"/>
      <c r="C142" s="614"/>
      <c r="D142" s="614"/>
      <c r="E142" s="614"/>
      <c r="F142" s="558"/>
      <c r="G142" s="558"/>
      <c r="H142" s="558"/>
      <c r="I142" s="558"/>
      <c r="J142" s="558"/>
      <c r="K142" s="558"/>
      <c r="L142" s="558"/>
      <c r="M142" s="558"/>
      <c r="N142" s="558"/>
      <c r="O142" s="558"/>
      <c r="P142" s="558"/>
      <c r="Q142" s="558"/>
      <c r="R142" s="558"/>
      <c r="S142" s="558"/>
      <c r="T142" s="558"/>
      <c r="U142" s="558"/>
      <c r="V142" s="558"/>
      <c r="W142" s="558"/>
      <c r="X142" s="558"/>
      <c r="Y142" s="558"/>
      <c r="Z142" s="619"/>
      <c r="AA142" s="619"/>
      <c r="AB142" s="619"/>
      <c r="AC142" s="619"/>
      <c r="AD142" s="619"/>
      <c r="AE142" s="558"/>
      <c r="AF142" s="558"/>
      <c r="AG142" s="558"/>
      <c r="AH142" s="558"/>
      <c r="AI142" s="558"/>
      <c r="AJ142" s="558"/>
      <c r="AK142" s="558"/>
      <c r="AL142" s="558"/>
      <c r="AM142" s="558"/>
      <c r="AN142" s="558"/>
      <c r="AO142" s="558"/>
      <c r="AP142" s="558"/>
      <c r="AQ142" s="558"/>
      <c r="AR142" s="558"/>
      <c r="AS142" s="558"/>
      <c r="AT142" s="558"/>
      <c r="AU142" s="558"/>
      <c r="AV142" s="558"/>
      <c r="AW142" s="558"/>
      <c r="AX142" s="558"/>
      <c r="AY142" s="188"/>
      <c r="AZ142" s="188"/>
      <c r="BA142" s="188"/>
      <c r="BB142" s="650"/>
      <c r="BC142" s="651"/>
      <c r="BD142" s="651"/>
      <c r="BE142" s="651"/>
      <c r="BF142" s="652"/>
      <c r="BG142" s="658"/>
      <c r="BH142" s="500"/>
      <c r="BI142" s="500"/>
      <c r="BJ142" s="500"/>
      <c r="BK142" s="659"/>
      <c r="BL142" s="666"/>
      <c r="BM142" s="667"/>
      <c r="BN142" s="667"/>
      <c r="BO142" s="667"/>
      <c r="BP142" s="668"/>
      <c r="BQ142" s="644" t="s">
        <v>211</v>
      </c>
      <c r="BR142" s="645"/>
      <c r="BS142" s="645"/>
      <c r="BT142" s="645"/>
      <c r="BU142" s="645"/>
      <c r="BV142" s="645"/>
      <c r="BW142" s="646"/>
      <c r="BX142" s="644" t="s">
        <v>217</v>
      </c>
      <c r="BY142" s="645"/>
      <c r="BZ142" s="645"/>
      <c r="CA142" s="645"/>
      <c r="CB142" s="646"/>
      <c r="CC142" s="563" t="s">
        <v>47</v>
      </c>
      <c r="CD142" s="564"/>
      <c r="CE142" s="564"/>
      <c r="CF142" s="564"/>
      <c r="CG142" s="564"/>
      <c r="CH142" s="564"/>
      <c r="CI142" s="564"/>
      <c r="CJ142" s="564"/>
      <c r="CK142" s="564"/>
      <c r="CL142" s="565"/>
      <c r="CM142" s="563" t="s">
        <v>233</v>
      </c>
      <c r="CN142" s="564"/>
      <c r="CO142" s="564"/>
      <c r="CP142" s="564"/>
      <c r="CQ142" s="564"/>
      <c r="CR142" s="564"/>
      <c r="CS142" s="564"/>
      <c r="CT142" s="564"/>
      <c r="CU142" s="564"/>
      <c r="CV142" s="564"/>
      <c r="CW142" s="565"/>
      <c r="CX142" s="188"/>
      <c r="CY142" s="188"/>
      <c r="CZ142" s="188"/>
      <c r="DA142" s="188"/>
      <c r="DB142" s="188"/>
      <c r="DC142" s="188"/>
    </row>
    <row r="143" spans="1:107" ht="9" customHeight="1">
      <c r="A143" s="614"/>
      <c r="B143" s="614"/>
      <c r="C143" s="614"/>
      <c r="D143" s="614"/>
      <c r="E143" s="614"/>
      <c r="F143" s="558"/>
      <c r="G143" s="558"/>
      <c r="H143" s="558"/>
      <c r="I143" s="558"/>
      <c r="J143" s="558"/>
      <c r="K143" s="558"/>
      <c r="L143" s="558"/>
      <c r="M143" s="558"/>
      <c r="N143" s="558"/>
      <c r="O143" s="558"/>
      <c r="P143" s="558"/>
      <c r="Q143" s="558"/>
      <c r="R143" s="558"/>
      <c r="S143" s="558"/>
      <c r="T143" s="558"/>
      <c r="U143" s="558"/>
      <c r="V143" s="558"/>
      <c r="W143" s="558"/>
      <c r="X143" s="558"/>
      <c r="Y143" s="558"/>
      <c r="Z143" s="619"/>
      <c r="AA143" s="619"/>
      <c r="AB143" s="619"/>
      <c r="AC143" s="619"/>
      <c r="AD143" s="619"/>
      <c r="AE143" s="558"/>
      <c r="AF143" s="558"/>
      <c r="AG143" s="558"/>
      <c r="AH143" s="558"/>
      <c r="AI143" s="558"/>
      <c r="AJ143" s="558"/>
      <c r="AK143" s="558"/>
      <c r="AL143" s="558"/>
      <c r="AM143" s="558"/>
      <c r="AN143" s="558"/>
      <c r="AO143" s="558"/>
      <c r="AP143" s="558"/>
      <c r="AQ143" s="558"/>
      <c r="AR143" s="558"/>
      <c r="AS143" s="558"/>
      <c r="AT143" s="558"/>
      <c r="AU143" s="558"/>
      <c r="AV143" s="558"/>
      <c r="AW143" s="558"/>
      <c r="AX143" s="558"/>
      <c r="AY143" s="188"/>
      <c r="AZ143" s="188"/>
      <c r="BA143" s="188"/>
      <c r="BB143" s="653"/>
      <c r="BC143" s="654"/>
      <c r="BD143" s="654"/>
      <c r="BE143" s="654"/>
      <c r="BF143" s="655"/>
      <c r="BG143" s="660"/>
      <c r="BH143" s="661"/>
      <c r="BI143" s="661"/>
      <c r="BJ143" s="661"/>
      <c r="BK143" s="662"/>
      <c r="BL143" s="669"/>
      <c r="BM143" s="670"/>
      <c r="BN143" s="670"/>
      <c r="BO143" s="670"/>
      <c r="BP143" s="671"/>
      <c r="BQ143" s="560" t="s">
        <v>235</v>
      </c>
      <c r="BR143" s="561"/>
      <c r="BS143" s="561"/>
      <c r="BT143" s="561"/>
      <c r="BU143" s="561"/>
      <c r="BV143" s="561"/>
      <c r="BW143" s="562"/>
      <c r="BX143" s="560" t="s">
        <v>278</v>
      </c>
      <c r="BY143" s="561"/>
      <c r="BZ143" s="561"/>
      <c r="CA143" s="561"/>
      <c r="CB143" s="562"/>
      <c r="CC143" s="560" t="s">
        <v>274</v>
      </c>
      <c r="CD143" s="561"/>
      <c r="CE143" s="561"/>
      <c r="CF143" s="561"/>
      <c r="CG143" s="561"/>
      <c r="CH143" s="561"/>
      <c r="CI143" s="561"/>
      <c r="CJ143" s="561"/>
      <c r="CK143" s="561"/>
      <c r="CL143" s="562"/>
      <c r="CM143" s="560" t="s">
        <v>275</v>
      </c>
      <c r="CN143" s="561"/>
      <c r="CO143" s="561"/>
      <c r="CP143" s="561"/>
      <c r="CQ143" s="561"/>
      <c r="CR143" s="561"/>
      <c r="CS143" s="561"/>
      <c r="CT143" s="561"/>
      <c r="CU143" s="561"/>
      <c r="CV143" s="561"/>
      <c r="CW143" s="562"/>
      <c r="CX143" s="188"/>
      <c r="CY143" s="188"/>
      <c r="CZ143" s="188"/>
      <c r="DA143" s="188"/>
      <c r="DB143" s="188"/>
      <c r="DC143" s="188"/>
    </row>
    <row r="144" spans="1:107" ht="9" customHeight="1">
      <c r="A144" s="614"/>
      <c r="B144" s="614"/>
      <c r="C144" s="614"/>
      <c r="D144" s="614"/>
      <c r="E144" s="614"/>
      <c r="F144" s="558"/>
      <c r="G144" s="558"/>
      <c r="H144" s="558"/>
      <c r="I144" s="558"/>
      <c r="J144" s="558"/>
      <c r="K144" s="558"/>
      <c r="L144" s="558"/>
      <c r="M144" s="558"/>
      <c r="N144" s="558"/>
      <c r="O144" s="558"/>
      <c r="P144" s="558"/>
      <c r="Q144" s="558"/>
      <c r="R144" s="558"/>
      <c r="S144" s="558"/>
      <c r="T144" s="558"/>
      <c r="U144" s="558"/>
      <c r="V144" s="558"/>
      <c r="W144" s="558"/>
      <c r="X144" s="558"/>
      <c r="Y144" s="558"/>
      <c r="Z144" s="619"/>
      <c r="AA144" s="619"/>
      <c r="AB144" s="619"/>
      <c r="AC144" s="619"/>
      <c r="AD144" s="619"/>
      <c r="AE144" s="558"/>
      <c r="AF144" s="558"/>
      <c r="AG144" s="558"/>
      <c r="AH144" s="558"/>
      <c r="AI144" s="558"/>
      <c r="AJ144" s="558"/>
      <c r="AK144" s="558"/>
      <c r="AL144" s="558"/>
      <c r="AM144" s="558"/>
      <c r="AN144" s="558"/>
      <c r="AO144" s="558"/>
      <c r="AP144" s="558"/>
      <c r="AQ144" s="558"/>
      <c r="AR144" s="558"/>
      <c r="AS144" s="558"/>
      <c r="AT144" s="558"/>
      <c r="AU144" s="558"/>
      <c r="AV144" s="558"/>
      <c r="AW144" s="558"/>
      <c r="AX144" s="558"/>
      <c r="AY144" s="188"/>
      <c r="AZ144" s="188"/>
      <c r="BA144" s="188"/>
      <c r="BB144" s="628">
        <f>IF(BW5="","",BW5)</f>
      </c>
      <c r="BC144" s="628"/>
      <c r="BD144" s="628"/>
      <c r="BE144" s="628"/>
      <c r="BF144" s="628"/>
      <c r="BG144" s="622"/>
      <c r="BH144" s="623"/>
      <c r="BI144" s="623"/>
      <c r="BJ144" s="623"/>
      <c r="BK144" s="624"/>
      <c r="BL144" s="622"/>
      <c r="BM144" s="623"/>
      <c r="BN144" s="623"/>
      <c r="BO144" s="623"/>
      <c r="BP144" s="624"/>
      <c r="BQ144" s="628">
        <f>IF(BL144="","",BL144-BG144)</f>
      </c>
      <c r="BR144" s="628"/>
      <c r="BS144" s="628"/>
      <c r="BT144" s="628"/>
      <c r="BU144" s="628"/>
      <c r="BV144" s="628"/>
      <c r="BW144" s="628"/>
      <c r="BX144" s="628">
        <f>IF(BM51="","",BM51)</f>
      </c>
      <c r="BY144" s="628"/>
      <c r="BZ144" s="628"/>
      <c r="CA144" s="628"/>
      <c r="CB144" s="628"/>
      <c r="CC144" s="631">
        <f>IF(BR51="","",BR51)</f>
      </c>
      <c r="CD144" s="628"/>
      <c r="CE144" s="628"/>
      <c r="CF144" s="628"/>
      <c r="CG144" s="628"/>
      <c r="CH144" s="628"/>
      <c r="CI144" s="628"/>
      <c r="CJ144" s="628"/>
      <c r="CK144" s="628"/>
      <c r="CL144" s="628"/>
      <c r="CM144" s="620">
        <f>IF(OR(BQ144="",CC144=""),"",BQ144*CC144/27)</f>
      </c>
      <c r="CN144" s="620"/>
      <c r="CO144" s="620"/>
      <c r="CP144" s="620"/>
      <c r="CQ144" s="620"/>
      <c r="CR144" s="620"/>
      <c r="CS144" s="620"/>
      <c r="CT144" s="620"/>
      <c r="CU144" s="620"/>
      <c r="CV144" s="620"/>
      <c r="CW144" s="620"/>
      <c r="CX144" s="188"/>
      <c r="CY144" s="188"/>
      <c r="CZ144" s="188"/>
      <c r="DA144" s="188"/>
      <c r="DB144" s="188"/>
      <c r="DC144" s="188"/>
    </row>
    <row r="145" spans="1:107" ht="9" customHeight="1">
      <c r="A145" s="614"/>
      <c r="B145" s="614"/>
      <c r="C145" s="614"/>
      <c r="D145" s="614"/>
      <c r="E145" s="614"/>
      <c r="F145" s="558"/>
      <c r="G145" s="558"/>
      <c r="H145" s="558"/>
      <c r="I145" s="558"/>
      <c r="J145" s="558"/>
      <c r="K145" s="558"/>
      <c r="L145" s="558"/>
      <c r="M145" s="558"/>
      <c r="N145" s="558"/>
      <c r="O145" s="558"/>
      <c r="P145" s="558"/>
      <c r="Q145" s="558"/>
      <c r="R145" s="558"/>
      <c r="S145" s="558"/>
      <c r="T145" s="558"/>
      <c r="U145" s="558"/>
      <c r="V145" s="558"/>
      <c r="W145" s="558"/>
      <c r="X145" s="558"/>
      <c r="Y145" s="558"/>
      <c r="Z145" s="619"/>
      <c r="AA145" s="619"/>
      <c r="AB145" s="619"/>
      <c r="AC145" s="619"/>
      <c r="AD145" s="619"/>
      <c r="AE145" s="558"/>
      <c r="AF145" s="558"/>
      <c r="AG145" s="558"/>
      <c r="AH145" s="558"/>
      <c r="AI145" s="558"/>
      <c r="AJ145" s="558"/>
      <c r="AK145" s="558"/>
      <c r="AL145" s="558"/>
      <c r="AM145" s="558"/>
      <c r="AN145" s="558"/>
      <c r="AO145" s="558"/>
      <c r="AP145" s="558"/>
      <c r="AQ145" s="558"/>
      <c r="AR145" s="558"/>
      <c r="AS145" s="558"/>
      <c r="AT145" s="558"/>
      <c r="AU145" s="558"/>
      <c r="AV145" s="558"/>
      <c r="AW145" s="558"/>
      <c r="AX145" s="558"/>
      <c r="AY145" s="188"/>
      <c r="AZ145" s="188"/>
      <c r="BA145" s="188"/>
      <c r="BB145" s="628"/>
      <c r="BC145" s="628"/>
      <c r="BD145" s="628"/>
      <c r="BE145" s="628"/>
      <c r="BF145" s="628"/>
      <c r="BG145" s="625"/>
      <c r="BH145" s="626"/>
      <c r="BI145" s="626"/>
      <c r="BJ145" s="626"/>
      <c r="BK145" s="627"/>
      <c r="BL145" s="625"/>
      <c r="BM145" s="626"/>
      <c r="BN145" s="626"/>
      <c r="BO145" s="626"/>
      <c r="BP145" s="627"/>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0"/>
      <c r="CN145" s="620"/>
      <c r="CO145" s="620"/>
      <c r="CP145" s="620"/>
      <c r="CQ145" s="620"/>
      <c r="CR145" s="620"/>
      <c r="CS145" s="620"/>
      <c r="CT145" s="620"/>
      <c r="CU145" s="620"/>
      <c r="CV145" s="620"/>
      <c r="CW145" s="620"/>
      <c r="CX145" s="188"/>
      <c r="CY145" s="188"/>
      <c r="CZ145" s="188"/>
      <c r="DA145" s="188"/>
      <c r="DB145" s="188"/>
      <c r="DC145" s="188"/>
    </row>
    <row r="146" spans="1:107" ht="9" customHeight="1">
      <c r="A146" s="614"/>
      <c r="B146" s="614"/>
      <c r="C146" s="614"/>
      <c r="D146" s="614"/>
      <c r="E146" s="614"/>
      <c r="F146" s="558"/>
      <c r="G146" s="558"/>
      <c r="H146" s="558"/>
      <c r="I146" s="558"/>
      <c r="J146" s="558"/>
      <c r="K146" s="558"/>
      <c r="L146" s="558"/>
      <c r="M146" s="558"/>
      <c r="N146" s="558"/>
      <c r="O146" s="558"/>
      <c r="P146" s="558"/>
      <c r="Q146" s="558"/>
      <c r="R146" s="558"/>
      <c r="S146" s="558"/>
      <c r="T146" s="558"/>
      <c r="U146" s="558"/>
      <c r="V146" s="558"/>
      <c r="W146" s="558"/>
      <c r="X146" s="558"/>
      <c r="Y146" s="558"/>
      <c r="Z146" s="619"/>
      <c r="AA146" s="619"/>
      <c r="AB146" s="619"/>
      <c r="AC146" s="619"/>
      <c r="AD146" s="619"/>
      <c r="AE146" s="558"/>
      <c r="AF146" s="558"/>
      <c r="AG146" s="558"/>
      <c r="AH146" s="558"/>
      <c r="AI146" s="558"/>
      <c r="AJ146" s="558"/>
      <c r="AK146" s="558"/>
      <c r="AL146" s="558"/>
      <c r="AM146" s="558"/>
      <c r="AN146" s="558"/>
      <c r="AO146" s="558"/>
      <c r="AP146" s="558"/>
      <c r="AQ146" s="558"/>
      <c r="AR146" s="558"/>
      <c r="AS146" s="558"/>
      <c r="AT146" s="558"/>
      <c r="AU146" s="558"/>
      <c r="AV146" s="558"/>
      <c r="AW146" s="558"/>
      <c r="AX146" s="558"/>
      <c r="AY146" s="188"/>
      <c r="AZ146" s="188"/>
      <c r="BA146" s="188"/>
      <c r="BB146" s="628">
        <f>IF(CE5="","",CE5)</f>
      </c>
      <c r="BC146" s="628"/>
      <c r="BD146" s="628"/>
      <c r="BE146" s="628"/>
      <c r="BF146" s="628"/>
      <c r="BG146" s="622"/>
      <c r="BH146" s="623"/>
      <c r="BI146" s="623"/>
      <c r="BJ146" s="623"/>
      <c r="BK146" s="624"/>
      <c r="BL146" s="622"/>
      <c r="BM146" s="623"/>
      <c r="BN146" s="623"/>
      <c r="BO146" s="623"/>
      <c r="BP146" s="624"/>
      <c r="BQ146" s="628">
        <f>IF(BL146="","",BL146-BG146)</f>
      </c>
      <c r="BR146" s="628"/>
      <c r="BS146" s="628"/>
      <c r="BT146" s="628"/>
      <c r="BU146" s="628"/>
      <c r="BV146" s="628"/>
      <c r="BW146" s="628"/>
      <c r="BX146" s="628">
        <f>IF(BM53="","",BM53)</f>
      </c>
      <c r="BY146" s="628"/>
      <c r="BZ146" s="628"/>
      <c r="CA146" s="628"/>
      <c r="CB146" s="628"/>
      <c r="CC146" s="631">
        <f>IF(BR53="","",BR53)</f>
      </c>
      <c r="CD146" s="628"/>
      <c r="CE146" s="628"/>
      <c r="CF146" s="628"/>
      <c r="CG146" s="628"/>
      <c r="CH146" s="628"/>
      <c r="CI146" s="628"/>
      <c r="CJ146" s="628"/>
      <c r="CK146" s="628"/>
      <c r="CL146" s="628"/>
      <c r="CM146" s="620">
        <f>IF(OR(BQ146="",CC146=""),"",BQ146*CC146/27)</f>
      </c>
      <c r="CN146" s="620"/>
      <c r="CO146" s="620"/>
      <c r="CP146" s="620"/>
      <c r="CQ146" s="620"/>
      <c r="CR146" s="620"/>
      <c r="CS146" s="620"/>
      <c r="CT146" s="620"/>
      <c r="CU146" s="620"/>
      <c r="CV146" s="620"/>
      <c r="CW146" s="620"/>
      <c r="CX146" s="188"/>
      <c r="CY146" s="188"/>
      <c r="CZ146" s="188"/>
      <c r="DA146" s="188"/>
      <c r="DB146" s="188"/>
      <c r="DC146" s="188"/>
    </row>
    <row r="147" spans="1:107" ht="9" customHeight="1">
      <c r="A147" s="614"/>
      <c r="B147" s="614"/>
      <c r="C147" s="614"/>
      <c r="D147" s="614"/>
      <c r="E147" s="614"/>
      <c r="F147" s="558"/>
      <c r="G147" s="558"/>
      <c r="H147" s="558"/>
      <c r="I147" s="558"/>
      <c r="J147" s="558"/>
      <c r="K147" s="558"/>
      <c r="L147" s="558"/>
      <c r="M147" s="558"/>
      <c r="N147" s="558"/>
      <c r="O147" s="558"/>
      <c r="P147" s="558"/>
      <c r="Q147" s="558"/>
      <c r="R147" s="558"/>
      <c r="S147" s="558"/>
      <c r="T147" s="558"/>
      <c r="U147" s="558"/>
      <c r="V147" s="558"/>
      <c r="W147" s="558"/>
      <c r="X147" s="558"/>
      <c r="Y147" s="558"/>
      <c r="Z147" s="619"/>
      <c r="AA147" s="619"/>
      <c r="AB147" s="619"/>
      <c r="AC147" s="619"/>
      <c r="AD147" s="619"/>
      <c r="AE147" s="558"/>
      <c r="AF147" s="558"/>
      <c r="AG147" s="558"/>
      <c r="AH147" s="558"/>
      <c r="AI147" s="558"/>
      <c r="AJ147" s="558"/>
      <c r="AK147" s="558"/>
      <c r="AL147" s="558"/>
      <c r="AM147" s="558"/>
      <c r="AN147" s="558"/>
      <c r="AO147" s="558"/>
      <c r="AP147" s="558"/>
      <c r="AQ147" s="558"/>
      <c r="AR147" s="558"/>
      <c r="AS147" s="558"/>
      <c r="AT147" s="558"/>
      <c r="AU147" s="558"/>
      <c r="AV147" s="558"/>
      <c r="AW147" s="558"/>
      <c r="AX147" s="558"/>
      <c r="AY147" s="188"/>
      <c r="AZ147" s="188"/>
      <c r="BA147" s="188"/>
      <c r="BB147" s="628"/>
      <c r="BC147" s="628"/>
      <c r="BD147" s="628"/>
      <c r="BE147" s="628"/>
      <c r="BF147" s="628"/>
      <c r="BG147" s="625"/>
      <c r="BH147" s="626"/>
      <c r="BI147" s="626"/>
      <c r="BJ147" s="626"/>
      <c r="BK147" s="627"/>
      <c r="BL147" s="625"/>
      <c r="BM147" s="626"/>
      <c r="BN147" s="626"/>
      <c r="BO147" s="626"/>
      <c r="BP147" s="627"/>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0"/>
      <c r="CN147" s="620"/>
      <c r="CO147" s="620"/>
      <c r="CP147" s="620"/>
      <c r="CQ147" s="620"/>
      <c r="CR147" s="620"/>
      <c r="CS147" s="620"/>
      <c r="CT147" s="620"/>
      <c r="CU147" s="620"/>
      <c r="CV147" s="620"/>
      <c r="CW147" s="620"/>
      <c r="CX147" s="188"/>
      <c r="CY147" s="188"/>
      <c r="CZ147" s="188"/>
      <c r="DA147" s="188"/>
      <c r="DB147" s="188"/>
      <c r="DC147" s="188"/>
    </row>
    <row r="148" spans="1:107" ht="9" customHeight="1">
      <c r="A148" s="614"/>
      <c r="B148" s="614"/>
      <c r="C148" s="614"/>
      <c r="D148" s="614"/>
      <c r="E148" s="614"/>
      <c r="F148" s="558"/>
      <c r="G148" s="558"/>
      <c r="H148" s="558"/>
      <c r="I148" s="558"/>
      <c r="J148" s="558"/>
      <c r="K148" s="558"/>
      <c r="L148" s="558"/>
      <c r="M148" s="558"/>
      <c r="N148" s="558"/>
      <c r="O148" s="558"/>
      <c r="P148" s="558"/>
      <c r="Q148" s="558"/>
      <c r="R148" s="558"/>
      <c r="S148" s="558"/>
      <c r="T148" s="558"/>
      <c r="U148" s="558"/>
      <c r="V148" s="558"/>
      <c r="W148" s="558"/>
      <c r="X148" s="558"/>
      <c r="Y148" s="558"/>
      <c r="Z148" s="619"/>
      <c r="AA148" s="619"/>
      <c r="AB148" s="619"/>
      <c r="AC148" s="619"/>
      <c r="AD148" s="619"/>
      <c r="AE148" s="558"/>
      <c r="AF148" s="558"/>
      <c r="AG148" s="558"/>
      <c r="AH148" s="558"/>
      <c r="AI148" s="558"/>
      <c r="AJ148" s="558"/>
      <c r="AK148" s="558"/>
      <c r="AL148" s="558"/>
      <c r="AM148" s="558"/>
      <c r="AN148" s="558"/>
      <c r="AO148" s="558"/>
      <c r="AP148" s="558"/>
      <c r="AQ148" s="558"/>
      <c r="AR148" s="558"/>
      <c r="AS148" s="558"/>
      <c r="AT148" s="558"/>
      <c r="AU148" s="558"/>
      <c r="AV148" s="558"/>
      <c r="AW148" s="558"/>
      <c r="AX148" s="558"/>
      <c r="AY148" s="188"/>
      <c r="AZ148" s="188"/>
      <c r="BA148" s="188"/>
      <c r="BB148" s="568"/>
      <c r="BC148" s="569"/>
      <c r="BD148" s="569"/>
      <c r="BE148" s="569"/>
      <c r="BF148" s="570"/>
      <c r="BG148" s="622"/>
      <c r="BH148" s="623"/>
      <c r="BI148" s="623"/>
      <c r="BJ148" s="623"/>
      <c r="BK148" s="624"/>
      <c r="BL148" s="622"/>
      <c r="BM148" s="623"/>
      <c r="BN148" s="623"/>
      <c r="BO148" s="623"/>
      <c r="BP148" s="624"/>
      <c r="BQ148" s="628">
        <f>IF(BL148="","",BL148-BG148)</f>
      </c>
      <c r="BR148" s="628"/>
      <c r="BS148" s="628"/>
      <c r="BT148" s="628"/>
      <c r="BU148" s="628"/>
      <c r="BV148" s="628"/>
      <c r="BW148" s="628"/>
      <c r="BX148" s="568"/>
      <c r="BY148" s="569"/>
      <c r="BZ148" s="569"/>
      <c r="CA148" s="569"/>
      <c r="CB148" s="570"/>
      <c r="CC148" s="568"/>
      <c r="CD148" s="569"/>
      <c r="CE148" s="569"/>
      <c r="CF148" s="569"/>
      <c r="CG148" s="569"/>
      <c r="CH148" s="569"/>
      <c r="CI148" s="569"/>
      <c r="CJ148" s="569"/>
      <c r="CK148" s="569"/>
      <c r="CL148" s="570"/>
      <c r="CM148" s="620">
        <f>IF(OR(BQ148="",CC148=""),"",BQ148*CC148/27)</f>
      </c>
      <c r="CN148" s="620"/>
      <c r="CO148" s="620"/>
      <c r="CP148" s="620"/>
      <c r="CQ148" s="620"/>
      <c r="CR148" s="620"/>
      <c r="CS148" s="620"/>
      <c r="CT148" s="620"/>
      <c r="CU148" s="620"/>
      <c r="CV148" s="620"/>
      <c r="CW148" s="620"/>
      <c r="CX148" s="188"/>
      <c r="CY148" s="188"/>
      <c r="CZ148" s="188"/>
      <c r="DA148" s="188"/>
      <c r="DB148" s="188"/>
      <c r="DC148" s="188"/>
    </row>
    <row r="149" spans="1:107" ht="9" customHeight="1">
      <c r="A149" s="614"/>
      <c r="B149" s="614"/>
      <c r="C149" s="614"/>
      <c r="D149" s="614"/>
      <c r="E149" s="614"/>
      <c r="F149" s="558"/>
      <c r="G149" s="558"/>
      <c r="H149" s="558"/>
      <c r="I149" s="558"/>
      <c r="J149" s="558"/>
      <c r="K149" s="558"/>
      <c r="L149" s="558"/>
      <c r="M149" s="558"/>
      <c r="N149" s="558"/>
      <c r="O149" s="558"/>
      <c r="P149" s="558"/>
      <c r="Q149" s="558"/>
      <c r="R149" s="558"/>
      <c r="S149" s="558"/>
      <c r="T149" s="558"/>
      <c r="U149" s="558"/>
      <c r="V149" s="558"/>
      <c r="W149" s="558"/>
      <c r="X149" s="558"/>
      <c r="Y149" s="558"/>
      <c r="Z149" s="619"/>
      <c r="AA149" s="619"/>
      <c r="AB149" s="619"/>
      <c r="AC149" s="619"/>
      <c r="AD149" s="619"/>
      <c r="AE149" s="558"/>
      <c r="AF149" s="558"/>
      <c r="AG149" s="558"/>
      <c r="AH149" s="558"/>
      <c r="AI149" s="558"/>
      <c r="AJ149" s="558"/>
      <c r="AK149" s="558"/>
      <c r="AL149" s="558"/>
      <c r="AM149" s="558"/>
      <c r="AN149" s="558"/>
      <c r="AO149" s="558"/>
      <c r="AP149" s="558"/>
      <c r="AQ149" s="558"/>
      <c r="AR149" s="558"/>
      <c r="AS149" s="558"/>
      <c r="AT149" s="558"/>
      <c r="AU149" s="558"/>
      <c r="AV149" s="558"/>
      <c r="AW149" s="558"/>
      <c r="AX149" s="558"/>
      <c r="AY149" s="188"/>
      <c r="AZ149" s="188"/>
      <c r="BA149" s="188"/>
      <c r="BB149" s="571"/>
      <c r="BC149" s="551"/>
      <c r="BD149" s="551"/>
      <c r="BE149" s="551"/>
      <c r="BF149" s="572"/>
      <c r="BG149" s="625"/>
      <c r="BH149" s="626"/>
      <c r="BI149" s="626"/>
      <c r="BJ149" s="626"/>
      <c r="BK149" s="627"/>
      <c r="BL149" s="625"/>
      <c r="BM149" s="626"/>
      <c r="BN149" s="626"/>
      <c r="BO149" s="626"/>
      <c r="BP149" s="627"/>
      <c r="BQ149" s="628"/>
      <c r="BR149" s="628"/>
      <c r="BS149" s="628"/>
      <c r="BT149" s="628"/>
      <c r="BU149" s="628"/>
      <c r="BV149" s="628"/>
      <c r="BW149" s="628"/>
      <c r="BX149" s="571"/>
      <c r="BY149" s="551"/>
      <c r="BZ149" s="551"/>
      <c r="CA149" s="551"/>
      <c r="CB149" s="572"/>
      <c r="CC149" s="571"/>
      <c r="CD149" s="551"/>
      <c r="CE149" s="551"/>
      <c r="CF149" s="551"/>
      <c r="CG149" s="551"/>
      <c r="CH149" s="551"/>
      <c r="CI149" s="551"/>
      <c r="CJ149" s="551"/>
      <c r="CK149" s="551"/>
      <c r="CL149" s="572"/>
      <c r="CM149" s="620"/>
      <c r="CN149" s="620"/>
      <c r="CO149" s="620"/>
      <c r="CP149" s="620"/>
      <c r="CQ149" s="620"/>
      <c r="CR149" s="620"/>
      <c r="CS149" s="620"/>
      <c r="CT149" s="620"/>
      <c r="CU149" s="620"/>
      <c r="CV149" s="620"/>
      <c r="CW149" s="620"/>
      <c r="CX149" s="188"/>
      <c r="CY149" s="188"/>
      <c r="CZ149" s="188"/>
      <c r="DA149" s="188"/>
      <c r="DB149" s="188"/>
      <c r="DC149" s="188"/>
    </row>
    <row r="150" spans="1:104" ht="9" customHeight="1">
      <c r="A150" s="614"/>
      <c r="B150" s="614"/>
      <c r="C150" s="614"/>
      <c r="D150" s="614"/>
      <c r="E150" s="614"/>
      <c r="F150" s="558"/>
      <c r="G150" s="558"/>
      <c r="H150" s="558"/>
      <c r="I150" s="558"/>
      <c r="J150" s="558"/>
      <c r="K150" s="558"/>
      <c r="L150" s="558"/>
      <c r="M150" s="558"/>
      <c r="N150" s="558"/>
      <c r="O150" s="558"/>
      <c r="P150" s="558"/>
      <c r="Q150" s="558"/>
      <c r="R150" s="558"/>
      <c r="S150" s="558"/>
      <c r="T150" s="558"/>
      <c r="U150" s="558"/>
      <c r="V150" s="558"/>
      <c r="W150" s="558"/>
      <c r="X150" s="558"/>
      <c r="Y150" s="558"/>
      <c r="Z150" s="619"/>
      <c r="AA150" s="619"/>
      <c r="AB150" s="619"/>
      <c r="AC150" s="619"/>
      <c r="AD150" s="619"/>
      <c r="AE150" s="558"/>
      <c r="AF150" s="558"/>
      <c r="AG150" s="558"/>
      <c r="AH150" s="558"/>
      <c r="AI150" s="558"/>
      <c r="AJ150" s="558"/>
      <c r="AK150" s="558"/>
      <c r="AL150" s="558"/>
      <c r="AM150" s="558"/>
      <c r="AN150" s="558"/>
      <c r="AO150" s="558"/>
      <c r="AP150" s="558"/>
      <c r="AQ150" s="558"/>
      <c r="AR150" s="558"/>
      <c r="AS150" s="558"/>
      <c r="AT150" s="558"/>
      <c r="AU150" s="558"/>
      <c r="AV150" s="558"/>
      <c r="AW150" s="558"/>
      <c r="AX150" s="558"/>
      <c r="AY150" s="188"/>
      <c r="AZ150" s="188"/>
      <c r="BA150" s="188"/>
      <c r="BG150" s="621" t="s">
        <v>218</v>
      </c>
      <c r="BH150" s="621"/>
      <c r="BI150" s="621"/>
      <c r="BJ150" s="621"/>
      <c r="BK150" s="621"/>
      <c r="BL150" s="621"/>
      <c r="BM150" s="621"/>
      <c r="BN150" s="621"/>
      <c r="BO150" s="621"/>
      <c r="BP150" s="621"/>
      <c r="BQ150" s="333"/>
      <c r="BR150" s="818">
        <f>IF(BH58="","",BH58)</f>
      </c>
      <c r="BS150" s="819"/>
      <c r="BT150" s="819"/>
      <c r="BU150" s="819"/>
      <c r="BV150" s="819"/>
      <c r="BW150" s="334"/>
      <c r="BX150" s="334"/>
      <c r="BY150" s="334"/>
      <c r="BZ150" s="188"/>
      <c r="CA150" s="309"/>
      <c r="CB150" s="309"/>
      <c r="CC150" s="309"/>
      <c r="CD150" s="309"/>
      <c r="CE150" s="309"/>
      <c r="CF150" s="629" t="s">
        <v>208</v>
      </c>
      <c r="CG150" s="630"/>
      <c r="CH150" s="630"/>
      <c r="CI150" s="630"/>
      <c r="CJ150" s="630"/>
      <c r="CK150" s="630"/>
      <c r="CL150" s="310"/>
      <c r="CM150" s="620">
        <f>IF(CM144="","",SUM(CM144:CW149))</f>
      </c>
      <c r="CN150" s="620"/>
      <c r="CO150" s="620"/>
      <c r="CP150" s="620"/>
      <c r="CQ150" s="620"/>
      <c r="CR150" s="620"/>
      <c r="CS150" s="620"/>
      <c r="CT150" s="620"/>
      <c r="CU150" s="620"/>
      <c r="CV150" s="620"/>
      <c r="CW150" s="620"/>
      <c r="CX150" s="188"/>
      <c r="CY150" s="188"/>
      <c r="CZ150" s="188"/>
    </row>
    <row r="151" spans="1:104" ht="9" customHeight="1">
      <c r="A151" s="614"/>
      <c r="B151" s="614"/>
      <c r="C151" s="614"/>
      <c r="D151" s="614"/>
      <c r="E151" s="614"/>
      <c r="F151" s="558"/>
      <c r="G151" s="558"/>
      <c r="H151" s="558"/>
      <c r="I151" s="558"/>
      <c r="J151" s="558"/>
      <c r="K151" s="558"/>
      <c r="L151" s="558"/>
      <c r="M151" s="558"/>
      <c r="N151" s="558"/>
      <c r="O151" s="558"/>
      <c r="P151" s="558"/>
      <c r="Q151" s="558"/>
      <c r="R151" s="558"/>
      <c r="S151" s="558"/>
      <c r="T151" s="558"/>
      <c r="U151" s="558"/>
      <c r="V151" s="558"/>
      <c r="W151" s="558"/>
      <c r="X151" s="558"/>
      <c r="Y151" s="558"/>
      <c r="Z151" s="619"/>
      <c r="AA151" s="619"/>
      <c r="AB151" s="619"/>
      <c r="AC151" s="619"/>
      <c r="AD151" s="619"/>
      <c r="AE151" s="558"/>
      <c r="AF151" s="558"/>
      <c r="AG151" s="558"/>
      <c r="AH151" s="558"/>
      <c r="AI151" s="558"/>
      <c r="AJ151" s="558"/>
      <c r="AK151" s="558"/>
      <c r="AL151" s="558"/>
      <c r="AM151" s="558"/>
      <c r="AN151" s="558"/>
      <c r="AO151" s="558"/>
      <c r="AP151" s="558"/>
      <c r="AQ151" s="558"/>
      <c r="AR151" s="558"/>
      <c r="AS151" s="558"/>
      <c r="AT151" s="558"/>
      <c r="AU151" s="558"/>
      <c r="AV151" s="558"/>
      <c r="AW151" s="558"/>
      <c r="AX151" s="558"/>
      <c r="AY151" s="188"/>
      <c r="AZ151" s="188"/>
      <c r="BA151" s="188"/>
      <c r="BG151" s="621"/>
      <c r="BH151" s="621"/>
      <c r="BI151" s="621"/>
      <c r="BJ151" s="621"/>
      <c r="BK151" s="621"/>
      <c r="BL151" s="621"/>
      <c r="BM151" s="621"/>
      <c r="BN151" s="621"/>
      <c r="BO151" s="621"/>
      <c r="BP151" s="621"/>
      <c r="BQ151" s="265"/>
      <c r="BR151" s="820"/>
      <c r="BS151" s="820"/>
      <c r="BT151" s="820"/>
      <c r="BU151" s="820"/>
      <c r="BV151" s="820"/>
      <c r="BW151" s="265"/>
      <c r="BX151" s="265"/>
      <c r="BY151" s="265"/>
      <c r="BZ151" s="188"/>
      <c r="CA151" s="197"/>
      <c r="CB151" s="197"/>
      <c r="CC151" s="197"/>
      <c r="CD151" s="197"/>
      <c r="CE151" s="197"/>
      <c r="CF151" s="514"/>
      <c r="CG151" s="514"/>
      <c r="CH151" s="514"/>
      <c r="CI151" s="514"/>
      <c r="CJ151" s="514"/>
      <c r="CK151" s="514"/>
      <c r="CL151" s="311"/>
      <c r="CM151" s="620"/>
      <c r="CN151" s="620"/>
      <c r="CO151" s="620"/>
      <c r="CP151" s="620"/>
      <c r="CQ151" s="620"/>
      <c r="CR151" s="620"/>
      <c r="CS151" s="620"/>
      <c r="CT151" s="620"/>
      <c r="CU151" s="620"/>
      <c r="CV151" s="620"/>
      <c r="CW151" s="620"/>
      <c r="CX151" s="188"/>
      <c r="CY151" s="188"/>
      <c r="CZ151" s="188"/>
    </row>
    <row r="152" spans="1:115" ht="9" customHeight="1">
      <c r="A152" s="614"/>
      <c r="B152" s="614"/>
      <c r="C152" s="614"/>
      <c r="D152" s="614"/>
      <c r="E152" s="614"/>
      <c r="F152" s="558"/>
      <c r="G152" s="558"/>
      <c r="H152" s="558"/>
      <c r="I152" s="558"/>
      <c r="J152" s="558"/>
      <c r="K152" s="558"/>
      <c r="L152" s="558"/>
      <c r="M152" s="558"/>
      <c r="N152" s="558"/>
      <c r="O152" s="558"/>
      <c r="P152" s="558"/>
      <c r="Q152" s="558"/>
      <c r="R152" s="558"/>
      <c r="S152" s="558"/>
      <c r="T152" s="558"/>
      <c r="U152" s="558"/>
      <c r="V152" s="558"/>
      <c r="W152" s="558"/>
      <c r="X152" s="558"/>
      <c r="Y152" s="558"/>
      <c r="Z152" s="619"/>
      <c r="AA152" s="619"/>
      <c r="AB152" s="619"/>
      <c r="AC152" s="619"/>
      <c r="AD152" s="619"/>
      <c r="AE152" s="558"/>
      <c r="AF152" s="558"/>
      <c r="AG152" s="558"/>
      <c r="AH152" s="558"/>
      <c r="AI152" s="558"/>
      <c r="AJ152" s="558"/>
      <c r="AK152" s="558"/>
      <c r="AL152" s="558"/>
      <c r="AM152" s="558"/>
      <c r="AN152" s="558"/>
      <c r="AO152" s="558"/>
      <c r="AP152" s="558"/>
      <c r="AQ152" s="558"/>
      <c r="AR152" s="558"/>
      <c r="AS152" s="558"/>
      <c r="AT152" s="558"/>
      <c r="AU152" s="558"/>
      <c r="AV152" s="558"/>
      <c r="AW152" s="558"/>
      <c r="AX152" s="558"/>
      <c r="AY152" s="188"/>
      <c r="AZ152" s="335"/>
      <c r="BA152" s="335"/>
      <c r="BB152" s="335"/>
      <c r="BC152" s="335"/>
      <c r="BD152" s="335"/>
      <c r="BE152" s="335"/>
      <c r="BF152" s="335"/>
      <c r="BH152" s="335"/>
      <c r="BI152" s="335"/>
      <c r="BJ152" s="335"/>
      <c r="BK152" s="336"/>
      <c r="BL152" s="336"/>
      <c r="BM152" s="336"/>
      <c r="BN152" s="336"/>
      <c r="BO152" s="336"/>
      <c r="BP152" s="336"/>
      <c r="BQ152" s="336"/>
      <c r="BR152" s="336"/>
      <c r="BS152" s="336"/>
      <c r="BT152" s="337"/>
      <c r="BU152" s="337"/>
      <c r="BV152" s="337"/>
      <c r="BW152" s="338"/>
      <c r="BX152" s="335"/>
      <c r="BY152" s="335"/>
      <c r="BZ152" s="335"/>
      <c r="CC152" s="335"/>
      <c r="CD152" s="335"/>
      <c r="CE152" s="335"/>
      <c r="CF152" s="335"/>
      <c r="CG152" s="335"/>
      <c r="CH152" s="335"/>
      <c r="CI152" s="335"/>
      <c r="CJ152" s="335"/>
      <c r="CK152" s="335"/>
      <c r="CL152" s="335"/>
      <c r="CM152" s="335"/>
      <c r="CN152" s="335"/>
      <c r="CO152" s="335"/>
      <c r="CP152" s="335"/>
      <c r="CQ152" s="336"/>
      <c r="CR152" s="336"/>
      <c r="CS152" s="336"/>
      <c r="CT152" s="336"/>
      <c r="CU152" s="336"/>
      <c r="CV152" s="338"/>
      <c r="CW152" s="338"/>
      <c r="CX152" s="336"/>
      <c r="CY152" s="336"/>
      <c r="CZ152" s="336"/>
      <c r="DA152" s="336"/>
      <c r="DB152" s="354"/>
      <c r="DC152" s="354"/>
      <c r="DD152" s="354"/>
      <c r="DE152" s="354"/>
      <c r="DF152" s="354"/>
      <c r="DG152" s="354"/>
      <c r="DH152" s="355"/>
      <c r="DI152" s="355"/>
      <c r="DJ152" s="355"/>
      <c r="DK152" s="355"/>
    </row>
    <row r="153" spans="1:115" ht="9" customHeight="1">
      <c r="A153" s="614"/>
      <c r="B153" s="614"/>
      <c r="C153" s="614"/>
      <c r="D153" s="614"/>
      <c r="E153" s="614"/>
      <c r="F153" s="558"/>
      <c r="G153" s="558"/>
      <c r="H153" s="558"/>
      <c r="I153" s="558"/>
      <c r="J153" s="558"/>
      <c r="K153" s="558"/>
      <c r="L153" s="558"/>
      <c r="M153" s="558"/>
      <c r="N153" s="558"/>
      <c r="O153" s="558"/>
      <c r="P153" s="558"/>
      <c r="Q153" s="558"/>
      <c r="R153" s="558"/>
      <c r="S153" s="558"/>
      <c r="T153" s="558"/>
      <c r="U153" s="558"/>
      <c r="V153" s="558"/>
      <c r="W153" s="558"/>
      <c r="X153" s="558"/>
      <c r="Y153" s="558"/>
      <c r="Z153" s="619"/>
      <c r="AA153" s="619"/>
      <c r="AB153" s="619"/>
      <c r="AC153" s="619"/>
      <c r="AD153" s="619"/>
      <c r="AE153" s="558"/>
      <c r="AF153" s="558"/>
      <c r="AG153" s="558"/>
      <c r="AH153" s="558"/>
      <c r="AI153" s="558"/>
      <c r="AJ153" s="558"/>
      <c r="AK153" s="558"/>
      <c r="AL153" s="558"/>
      <c r="AM153" s="558"/>
      <c r="AN153" s="558"/>
      <c r="AO153" s="558"/>
      <c r="AP153" s="558"/>
      <c r="AQ153" s="558"/>
      <c r="AR153" s="558"/>
      <c r="AS153" s="558"/>
      <c r="AT153" s="558"/>
      <c r="AU153" s="558"/>
      <c r="AV153" s="558"/>
      <c r="AW153" s="558"/>
      <c r="AX153" s="558"/>
      <c r="AY153" s="188"/>
      <c r="AZ153" s="616" t="s">
        <v>214</v>
      </c>
      <c r="BA153" s="617"/>
      <c r="BB153" s="617"/>
      <c r="BC153" s="617"/>
      <c r="BD153" s="617"/>
      <c r="BE153" s="617"/>
      <c r="BF153" s="617"/>
      <c r="BG153" s="618"/>
      <c r="BH153" s="618"/>
      <c r="BI153" s="618"/>
      <c r="BJ153" s="618"/>
      <c r="BK153" s="618"/>
      <c r="BL153" s="618"/>
      <c r="BM153" s="618"/>
      <c r="BN153" s="618"/>
      <c r="BO153" s="618"/>
      <c r="BP153" s="618"/>
      <c r="BQ153" s="618"/>
      <c r="BR153" s="615" t="s">
        <v>130</v>
      </c>
      <c r="BS153" s="615"/>
      <c r="BT153" s="615"/>
      <c r="BU153" s="811"/>
      <c r="BV153" s="811"/>
      <c r="BW153" s="811"/>
      <c r="BX153" s="811"/>
      <c r="BY153" s="811"/>
      <c r="CA153" s="616" t="s">
        <v>215</v>
      </c>
      <c r="CB153" s="617"/>
      <c r="CC153" s="617"/>
      <c r="CD153" s="617"/>
      <c r="CE153" s="617"/>
      <c r="CF153" s="617"/>
      <c r="CG153" s="813"/>
      <c r="CH153" s="813"/>
      <c r="CI153" s="813"/>
      <c r="CJ153" s="813"/>
      <c r="CK153" s="813"/>
      <c r="CL153" s="813"/>
      <c r="CM153" s="813"/>
      <c r="CN153" s="813"/>
      <c r="CO153" s="813"/>
      <c r="CP153" s="813"/>
      <c r="CQ153" s="813"/>
      <c r="CR153" s="615" t="s">
        <v>130</v>
      </c>
      <c r="CS153" s="615"/>
      <c r="CT153" s="615"/>
      <c r="CU153" s="811"/>
      <c r="CV153" s="811"/>
      <c r="CW153" s="811"/>
      <c r="CX153" s="811"/>
      <c r="CY153" s="811"/>
      <c r="DB153" s="355"/>
      <c r="DC153" s="339"/>
      <c r="DD153" s="339"/>
      <c r="DE153" s="355"/>
      <c r="DF153" s="355"/>
      <c r="DG153" s="355"/>
      <c r="DH153" s="355"/>
      <c r="DI153" s="355"/>
      <c r="DJ153" s="355"/>
      <c r="DK153" s="355"/>
    </row>
    <row r="154" spans="1:115" ht="9" customHeight="1">
      <c r="A154" s="614"/>
      <c r="B154" s="614"/>
      <c r="C154" s="614"/>
      <c r="D154" s="614"/>
      <c r="E154" s="614"/>
      <c r="F154" s="558"/>
      <c r="G154" s="558"/>
      <c r="H154" s="558"/>
      <c r="I154" s="558"/>
      <c r="J154" s="558"/>
      <c r="K154" s="558"/>
      <c r="L154" s="558"/>
      <c r="M154" s="558"/>
      <c r="N154" s="558"/>
      <c r="O154" s="558"/>
      <c r="P154" s="558"/>
      <c r="Q154" s="558"/>
      <c r="R154" s="558"/>
      <c r="S154" s="558"/>
      <c r="T154" s="558"/>
      <c r="U154" s="558"/>
      <c r="V154" s="558"/>
      <c r="W154" s="558"/>
      <c r="X154" s="558"/>
      <c r="Y154" s="558"/>
      <c r="Z154" s="619"/>
      <c r="AA154" s="619"/>
      <c r="AB154" s="619"/>
      <c r="AC154" s="619"/>
      <c r="AD154" s="619"/>
      <c r="AE154" s="558"/>
      <c r="AF154" s="558"/>
      <c r="AG154" s="558"/>
      <c r="AH154" s="558"/>
      <c r="AI154" s="558"/>
      <c r="AJ154" s="558"/>
      <c r="AK154" s="558"/>
      <c r="AL154" s="558"/>
      <c r="AM154" s="558"/>
      <c r="AN154" s="558"/>
      <c r="AO154" s="558"/>
      <c r="AP154" s="558"/>
      <c r="AQ154" s="558"/>
      <c r="AR154" s="558"/>
      <c r="AS154" s="558"/>
      <c r="AT154" s="558"/>
      <c r="AU154" s="558"/>
      <c r="AV154" s="558"/>
      <c r="AW154" s="558"/>
      <c r="AX154" s="558"/>
      <c r="AY154" s="188"/>
      <c r="AZ154" s="617"/>
      <c r="BA154" s="617"/>
      <c r="BB154" s="617"/>
      <c r="BC154" s="617"/>
      <c r="BD154" s="617"/>
      <c r="BE154" s="617"/>
      <c r="BF154" s="617"/>
      <c r="BG154" s="546"/>
      <c r="BH154" s="546"/>
      <c r="BI154" s="546"/>
      <c r="BJ154" s="546"/>
      <c r="BK154" s="546"/>
      <c r="BL154" s="546"/>
      <c r="BM154" s="546"/>
      <c r="BN154" s="546"/>
      <c r="BO154" s="546"/>
      <c r="BP154" s="546"/>
      <c r="BQ154" s="546"/>
      <c r="BR154" s="615"/>
      <c r="BS154" s="615"/>
      <c r="BT154" s="615"/>
      <c r="BU154" s="812"/>
      <c r="BV154" s="812"/>
      <c r="BW154" s="812"/>
      <c r="BX154" s="812"/>
      <c r="BY154" s="812"/>
      <c r="BZ154" s="340"/>
      <c r="CA154" s="617"/>
      <c r="CB154" s="617"/>
      <c r="CC154" s="617"/>
      <c r="CD154" s="617"/>
      <c r="CE154" s="617"/>
      <c r="CF154" s="617"/>
      <c r="CG154" s="814"/>
      <c r="CH154" s="814"/>
      <c r="CI154" s="814"/>
      <c r="CJ154" s="814"/>
      <c r="CK154" s="814"/>
      <c r="CL154" s="814"/>
      <c r="CM154" s="814"/>
      <c r="CN154" s="814"/>
      <c r="CO154" s="814"/>
      <c r="CP154" s="814"/>
      <c r="CQ154" s="814"/>
      <c r="CR154" s="615"/>
      <c r="CS154" s="615"/>
      <c r="CT154" s="615"/>
      <c r="CU154" s="812"/>
      <c r="CV154" s="812"/>
      <c r="CW154" s="812"/>
      <c r="CX154" s="812"/>
      <c r="CY154" s="812"/>
      <c r="DB154" s="355"/>
      <c r="DC154" s="339"/>
      <c r="DD154" s="355"/>
      <c r="DE154" s="355"/>
      <c r="DF154" s="355"/>
      <c r="DG154" s="355"/>
      <c r="DH154" s="355"/>
      <c r="DI154" s="355"/>
      <c r="DJ154" s="355"/>
      <c r="DK154" s="355"/>
    </row>
    <row r="155" spans="1:115" ht="9"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c r="AS155" s="188"/>
      <c r="AT155" s="188"/>
      <c r="AU155" s="188"/>
      <c r="AV155" s="188"/>
      <c r="AW155" s="188"/>
      <c r="AX155" s="188"/>
      <c r="AY155" s="188"/>
      <c r="AZ155" s="308"/>
      <c r="BA155" s="327"/>
      <c r="BB155" s="327"/>
      <c r="BC155" s="327"/>
      <c r="BD155" s="327"/>
      <c r="BE155" s="327"/>
      <c r="BF155" s="327"/>
      <c r="BG155" s="190"/>
      <c r="BH155" s="190"/>
      <c r="BI155" s="190"/>
      <c r="BJ155" s="190"/>
      <c r="BK155" s="190"/>
      <c r="BL155" s="190"/>
      <c r="BM155" s="190"/>
      <c r="BN155" s="190"/>
      <c r="BO155" s="190"/>
      <c r="BP155" s="190"/>
      <c r="BQ155" s="190"/>
      <c r="BR155" s="308"/>
      <c r="BS155" s="327"/>
      <c r="BT155" s="327"/>
      <c r="BU155" s="327"/>
      <c r="BV155" s="190"/>
      <c r="BW155" s="190"/>
      <c r="BX155" s="190"/>
      <c r="BY155" s="190"/>
      <c r="BZ155" s="332"/>
      <c r="CA155" s="308"/>
      <c r="CB155" s="327"/>
      <c r="CC155" s="327"/>
      <c r="CD155" s="327"/>
      <c r="CE155" s="327"/>
      <c r="CF155" s="327"/>
      <c r="CG155" s="327"/>
      <c r="CH155" s="327"/>
      <c r="CI155" s="190"/>
      <c r="CJ155" s="190"/>
      <c r="CK155" s="190"/>
      <c r="CL155" s="190"/>
      <c r="CM155" s="190"/>
      <c r="CN155" s="190"/>
      <c r="CO155" s="190"/>
      <c r="CP155" s="190"/>
      <c r="CQ155" s="190"/>
      <c r="CR155" s="190"/>
      <c r="CS155" s="308"/>
      <c r="CT155" s="327"/>
      <c r="CU155" s="327"/>
      <c r="CV155" s="327"/>
      <c r="CW155" s="190"/>
      <c r="CX155" s="190"/>
      <c r="CY155" s="190"/>
      <c r="CZ155" s="190"/>
      <c r="DA155" s="188"/>
      <c r="DB155" s="198"/>
      <c r="DC155" s="198"/>
      <c r="DD155" s="355"/>
      <c r="DE155" s="355"/>
      <c r="DF155" s="355"/>
      <c r="DG155" s="355"/>
      <c r="DH155" s="355"/>
      <c r="DI155" s="355"/>
      <c r="DJ155" s="355"/>
      <c r="DK155" s="355"/>
    </row>
    <row r="156" spans="1:115" ht="9"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c r="AS156" s="188"/>
      <c r="AT156" s="188"/>
      <c r="AU156" s="188"/>
      <c r="AV156" s="188"/>
      <c r="AW156" s="188"/>
      <c r="AX156" s="188"/>
      <c r="AY156" s="188"/>
      <c r="AZ156" s="328"/>
      <c r="BA156" s="328"/>
      <c r="BB156" s="328"/>
      <c r="BC156" s="328"/>
      <c r="BD156" s="328"/>
      <c r="BE156" s="328"/>
      <c r="BF156" s="328"/>
      <c r="BG156" s="341"/>
      <c r="BH156" s="341"/>
      <c r="BI156" s="341"/>
      <c r="BJ156" s="341"/>
      <c r="BK156" s="341"/>
      <c r="BL156" s="341"/>
      <c r="BM156" s="341"/>
      <c r="BN156" s="341"/>
      <c r="BO156" s="341"/>
      <c r="BP156" s="341"/>
      <c r="BQ156" s="341"/>
      <c r="BR156" s="328"/>
      <c r="BS156" s="328"/>
      <c r="DB156" s="198"/>
      <c r="DC156" s="198"/>
      <c r="DD156" s="355"/>
      <c r="DE156" s="355"/>
      <c r="DF156" s="355"/>
      <c r="DG156" s="355"/>
      <c r="DH156" s="355"/>
      <c r="DI156" s="355"/>
      <c r="DJ156" s="355"/>
      <c r="DK156" s="355"/>
    </row>
    <row r="157" spans="52:115" ht="9" customHeight="1">
      <c r="AZ157" s="341"/>
      <c r="BA157" s="341"/>
      <c r="BB157" s="341"/>
      <c r="BC157" s="341"/>
      <c r="BD157" s="341"/>
      <c r="BE157" s="341"/>
      <c r="BF157" s="341"/>
      <c r="BG157" s="341"/>
      <c r="BH157" s="341"/>
      <c r="BI157" s="341"/>
      <c r="BJ157" s="341"/>
      <c r="BK157" s="341"/>
      <c r="BL157" s="341"/>
      <c r="BM157" s="341"/>
      <c r="BN157" s="341"/>
      <c r="BO157" s="341"/>
      <c r="BP157" s="341"/>
      <c r="BQ157" s="341"/>
      <c r="BR157" s="341"/>
      <c r="BS157" s="341"/>
      <c r="DB157" s="355"/>
      <c r="DC157" s="355"/>
      <c r="DD157" s="355"/>
      <c r="DE157" s="355"/>
      <c r="DF157" s="355"/>
      <c r="DG157" s="355"/>
      <c r="DH157" s="355"/>
      <c r="DI157" s="355"/>
      <c r="DJ157" s="355"/>
      <c r="DK157" s="355"/>
    </row>
    <row r="158" spans="106:115" ht="9" customHeight="1">
      <c r="DB158" s="355"/>
      <c r="DC158" s="355"/>
      <c r="DD158" s="355"/>
      <c r="DE158" s="355"/>
      <c r="DF158" s="355"/>
      <c r="DG158" s="355"/>
      <c r="DH158" s="355"/>
      <c r="DI158" s="355"/>
      <c r="DJ158" s="355"/>
      <c r="DK158" s="355"/>
    </row>
    <row r="159" spans="106:115" ht="9" customHeight="1">
      <c r="DB159" s="355"/>
      <c r="DC159" s="355"/>
      <c r="DD159" s="355"/>
      <c r="DE159" s="355"/>
      <c r="DF159" s="355"/>
      <c r="DG159" s="355"/>
      <c r="DH159" s="355"/>
      <c r="DI159" s="355"/>
      <c r="DJ159" s="355"/>
      <c r="DK159" s="355"/>
    </row>
    <row r="160" spans="106:115" ht="9" customHeight="1">
      <c r="DB160" s="355"/>
      <c r="DC160" s="355"/>
      <c r="DD160" s="355"/>
      <c r="DE160" s="355"/>
      <c r="DF160" s="355"/>
      <c r="DG160" s="355"/>
      <c r="DH160" s="355"/>
      <c r="DI160" s="355"/>
      <c r="DJ160" s="355"/>
      <c r="DK160" s="355"/>
    </row>
    <row r="161" spans="106:115" ht="9" customHeight="1">
      <c r="DB161" s="355"/>
      <c r="DC161" s="355"/>
      <c r="DD161" s="355"/>
      <c r="DE161" s="355"/>
      <c r="DF161" s="355"/>
      <c r="DG161" s="355"/>
      <c r="DH161" s="355"/>
      <c r="DI161" s="355"/>
      <c r="DJ161" s="355"/>
      <c r="DK161" s="355"/>
    </row>
    <row r="162" spans="106:115" ht="9" customHeight="1">
      <c r="DB162" s="355"/>
      <c r="DC162" s="355"/>
      <c r="DD162" s="355"/>
      <c r="DE162" s="355"/>
      <c r="DF162" s="355"/>
      <c r="DG162" s="355"/>
      <c r="DH162" s="355"/>
      <c r="DI162" s="355"/>
      <c r="DJ162" s="355"/>
      <c r="DK162" s="355"/>
    </row>
    <row r="163" spans="106:115" ht="9" customHeight="1">
      <c r="DB163" s="355"/>
      <c r="DC163" s="355"/>
      <c r="DD163" s="355"/>
      <c r="DE163" s="355"/>
      <c r="DF163" s="355"/>
      <c r="DG163" s="355"/>
      <c r="DH163" s="355"/>
      <c r="DI163" s="355"/>
      <c r="DJ163" s="355"/>
      <c r="DK163" s="355"/>
    </row>
    <row r="164" spans="106:115" ht="9" customHeight="1">
      <c r="DB164" s="355"/>
      <c r="DC164" s="355"/>
      <c r="DD164" s="355"/>
      <c r="DE164" s="355"/>
      <c r="DF164" s="355"/>
      <c r="DG164" s="355"/>
      <c r="DH164" s="355"/>
      <c r="DI164" s="355"/>
      <c r="DJ164" s="355"/>
      <c r="DK164" s="355"/>
    </row>
  </sheetData>
  <sheetProtection password="B271" sheet="1" objects="1" scenarios="1"/>
  <mergeCells count="821">
    <mergeCell ref="CO65:CR66"/>
    <mergeCell ref="CA65:CN66"/>
    <mergeCell ref="F82:T82"/>
    <mergeCell ref="U82:Y82"/>
    <mergeCell ref="AT82:AX82"/>
    <mergeCell ref="AE82:AS82"/>
    <mergeCell ref="AW65:BJ66"/>
    <mergeCell ref="BC69:BE70"/>
    <mergeCell ref="BK72:BM74"/>
    <mergeCell ref="AI70:AP71"/>
    <mergeCell ref="BY91:BZ92"/>
    <mergeCell ref="BQ85:BT86"/>
    <mergeCell ref="BY85:CB86"/>
    <mergeCell ref="CF85:CI86"/>
    <mergeCell ref="BU91:BW92"/>
    <mergeCell ref="BC103:BP104"/>
    <mergeCell ref="BR150:BV151"/>
    <mergeCell ref="BB144:BF145"/>
    <mergeCell ref="BB146:BF147"/>
    <mergeCell ref="BB148:BF149"/>
    <mergeCell ref="BL146:BP147"/>
    <mergeCell ref="BQ146:BW147"/>
    <mergeCell ref="BF121:BH122"/>
    <mergeCell ref="BB107:BE108"/>
    <mergeCell ref="BQ103:BT104"/>
    <mergeCell ref="BI121:BJ122"/>
    <mergeCell ref="CF121:CG122"/>
    <mergeCell ref="CM121:CN122"/>
    <mergeCell ref="CT121:CU122"/>
    <mergeCell ref="BU121:BV122"/>
    <mergeCell ref="CJ121:CL122"/>
    <mergeCell ref="CQ121:CS122"/>
    <mergeCell ref="BQ121:BT122"/>
    <mergeCell ref="BU113:BW114"/>
    <mergeCell ref="CC121:CE122"/>
    <mergeCell ref="CF99:CG100"/>
    <mergeCell ref="BU99:BV100"/>
    <mergeCell ref="BY113:BZ114"/>
    <mergeCell ref="CF103:CJ104"/>
    <mergeCell ref="AI64:AP65"/>
    <mergeCell ref="AV63:CX64"/>
    <mergeCell ref="CD72:CD74"/>
    <mergeCell ref="BQ72:BQ74"/>
    <mergeCell ref="BG72:BH74"/>
    <mergeCell ref="BO72:BP74"/>
    <mergeCell ref="CB72:CC74"/>
    <mergeCell ref="CO72:CQ74"/>
    <mergeCell ref="CF72:CI74"/>
    <mergeCell ref="CM72:CM74"/>
    <mergeCell ref="CM85:CP86"/>
    <mergeCell ref="CT85:CW86"/>
    <mergeCell ref="CM107:CP108"/>
    <mergeCell ref="CT107:CW108"/>
    <mergeCell ref="CM99:CN100"/>
    <mergeCell ref="CT99:CU100"/>
    <mergeCell ref="CQ99:CS100"/>
    <mergeCell ref="CK103:CW104"/>
    <mergeCell ref="CJ99:CL100"/>
    <mergeCell ref="CR153:CT154"/>
    <mergeCell ref="BU153:BY154"/>
    <mergeCell ref="CU153:CY154"/>
    <mergeCell ref="CG153:CQ154"/>
    <mergeCell ref="CA153:CF154"/>
    <mergeCell ref="BI107:BL108"/>
    <mergeCell ref="BQ107:BT108"/>
    <mergeCell ref="BY107:CB108"/>
    <mergeCell ref="CF107:CI108"/>
    <mergeCell ref="CE25:CH26"/>
    <mergeCell ref="CE27:CH28"/>
    <mergeCell ref="CI23:CL24"/>
    <mergeCell ref="CI25:CL26"/>
    <mergeCell ref="CI27:CL28"/>
    <mergeCell ref="CE23:CH24"/>
    <mergeCell ref="AL1:BL2"/>
    <mergeCell ref="BW41:CD42"/>
    <mergeCell ref="BW43:CD44"/>
    <mergeCell ref="BW39:CD40"/>
    <mergeCell ref="AV17:AW18"/>
    <mergeCell ref="AV11:AW12"/>
    <mergeCell ref="BK3:BV4"/>
    <mergeCell ref="AV15:AW16"/>
    <mergeCell ref="BP23:BV24"/>
    <mergeCell ref="AX15:BI16"/>
    <mergeCell ref="CO78:CU78"/>
    <mergeCell ref="AI67:AP68"/>
    <mergeCell ref="J67:Z68"/>
    <mergeCell ref="J70:Z71"/>
    <mergeCell ref="J73:Z74"/>
    <mergeCell ref="AD67:AH68"/>
    <mergeCell ref="AD70:AH71"/>
    <mergeCell ref="CU72:CU74"/>
    <mergeCell ref="CK72:CL74"/>
    <mergeCell ref="CS72:CT74"/>
    <mergeCell ref="A70:I71"/>
    <mergeCell ref="A67:I68"/>
    <mergeCell ref="A10:I11"/>
    <mergeCell ref="AD64:AH65"/>
    <mergeCell ref="D61:P62"/>
    <mergeCell ref="U61:AB62"/>
    <mergeCell ref="A1:G1"/>
    <mergeCell ref="A64:I65"/>
    <mergeCell ref="A6:I7"/>
    <mergeCell ref="A8:I9"/>
    <mergeCell ref="A2:G2"/>
    <mergeCell ref="B14:AS16"/>
    <mergeCell ref="J10:AH11"/>
    <mergeCell ref="J8:AH9"/>
    <mergeCell ref="AC61:AL62"/>
    <mergeCell ref="J64:Z65"/>
    <mergeCell ref="CT1:CZ1"/>
    <mergeCell ref="CT2:CZ2"/>
    <mergeCell ref="A4:I5"/>
    <mergeCell ref="AV5:AW6"/>
    <mergeCell ref="CE5:CL6"/>
    <mergeCell ref="BW5:CD6"/>
    <mergeCell ref="AX5:BV6"/>
    <mergeCell ref="J4:AH5"/>
    <mergeCell ref="J6:AH7"/>
    <mergeCell ref="BW7:CD8"/>
    <mergeCell ref="CE7:CL8"/>
    <mergeCell ref="AV13:AW14"/>
    <mergeCell ref="AV7:AW10"/>
    <mergeCell ref="AX13:BV14"/>
    <mergeCell ref="AX11:BV12"/>
    <mergeCell ref="CE9:CL10"/>
    <mergeCell ref="BW11:CD12"/>
    <mergeCell ref="CE11:CL12"/>
    <mergeCell ref="CE13:CL14"/>
    <mergeCell ref="BP7:BV8"/>
    <mergeCell ref="CW7:CZ9"/>
    <mergeCell ref="CN7:CR7"/>
    <mergeCell ref="CN8:CR8"/>
    <mergeCell ref="CN9:CR9"/>
    <mergeCell ref="CS7:CV9"/>
    <mergeCell ref="CE17:CL18"/>
    <mergeCell ref="BM15:BV16"/>
    <mergeCell ref="AX17:BV18"/>
    <mergeCell ref="BW17:CD18"/>
    <mergeCell ref="CE15:CL16"/>
    <mergeCell ref="BW15:CD16"/>
    <mergeCell ref="BK15:BL16"/>
    <mergeCell ref="BW9:CD10"/>
    <mergeCell ref="BP9:BV10"/>
    <mergeCell ref="BW13:CD14"/>
    <mergeCell ref="CE21:CL22"/>
    <mergeCell ref="AX19:BV20"/>
    <mergeCell ref="BW19:CD20"/>
    <mergeCell ref="CE19:CL20"/>
    <mergeCell ref="BW21:CD22"/>
    <mergeCell ref="AX21:BV22"/>
    <mergeCell ref="BJ15:BJ16"/>
    <mergeCell ref="BW23:BZ24"/>
    <mergeCell ref="CA23:CD24"/>
    <mergeCell ref="CW10:CZ11"/>
    <mergeCell ref="CN12:CR13"/>
    <mergeCell ref="CS12:CV13"/>
    <mergeCell ref="CW12:CZ13"/>
    <mergeCell ref="CN10:CR11"/>
    <mergeCell ref="CS10:CV11"/>
    <mergeCell ref="CW14:CZ15"/>
    <mergeCell ref="CN16:CR17"/>
    <mergeCell ref="CS16:CV17"/>
    <mergeCell ref="CW16:CZ17"/>
    <mergeCell ref="CN14:CR15"/>
    <mergeCell ref="CS14:CV15"/>
    <mergeCell ref="CW18:CZ19"/>
    <mergeCell ref="CN20:CR21"/>
    <mergeCell ref="CS20:CV21"/>
    <mergeCell ref="CW20:CZ21"/>
    <mergeCell ref="CN18:CR19"/>
    <mergeCell ref="CS18:CV19"/>
    <mergeCell ref="AV35:AW36"/>
    <mergeCell ref="AX33:BV34"/>
    <mergeCell ref="BW33:CD34"/>
    <mergeCell ref="CE33:CL34"/>
    <mergeCell ref="AV33:AW34"/>
    <mergeCell ref="BW35:CD36"/>
    <mergeCell ref="AV27:AW28"/>
    <mergeCell ref="AX29:BV30"/>
    <mergeCell ref="AX31:BV32"/>
    <mergeCell ref="AV29:AW30"/>
    <mergeCell ref="BP27:BV28"/>
    <mergeCell ref="CE31:CL32"/>
    <mergeCell ref="CE29:CL30"/>
    <mergeCell ref="BW29:CD30"/>
    <mergeCell ref="AV31:AW32"/>
    <mergeCell ref="CS22:CV23"/>
    <mergeCell ref="CW22:CZ23"/>
    <mergeCell ref="CN24:CR25"/>
    <mergeCell ref="CS24:CV25"/>
    <mergeCell ref="CW24:CZ25"/>
    <mergeCell ref="CN22:CR23"/>
    <mergeCell ref="CW26:CZ27"/>
    <mergeCell ref="CN28:CR29"/>
    <mergeCell ref="CS28:CV29"/>
    <mergeCell ref="CW28:CZ29"/>
    <mergeCell ref="CN26:CR27"/>
    <mergeCell ref="CE39:CL40"/>
    <mergeCell ref="AX35:BV36"/>
    <mergeCell ref="CS26:CV27"/>
    <mergeCell ref="BW25:BZ26"/>
    <mergeCell ref="CA25:CD26"/>
    <mergeCell ref="AX25:BO26"/>
    <mergeCell ref="CA27:CD28"/>
    <mergeCell ref="BW27:BZ28"/>
    <mergeCell ref="BP25:BV26"/>
    <mergeCell ref="BW31:CD32"/>
    <mergeCell ref="CE43:CL44"/>
    <mergeCell ref="CE41:CL42"/>
    <mergeCell ref="CW36:CZ37"/>
    <mergeCell ref="CN38:CR39"/>
    <mergeCell ref="CS38:CV39"/>
    <mergeCell ref="CE35:CL36"/>
    <mergeCell ref="CW40:CZ41"/>
    <mergeCell ref="CN34:CR35"/>
    <mergeCell ref="CS34:CV35"/>
    <mergeCell ref="CW34:CZ35"/>
    <mergeCell ref="CN40:CR41"/>
    <mergeCell ref="CS40:CV41"/>
    <mergeCell ref="CS30:CV31"/>
    <mergeCell ref="CW30:CZ31"/>
    <mergeCell ref="CN30:CR31"/>
    <mergeCell ref="CN32:CR33"/>
    <mergeCell ref="CS32:CV33"/>
    <mergeCell ref="CW32:CZ33"/>
    <mergeCell ref="CN36:CR37"/>
    <mergeCell ref="CW50:CZ51"/>
    <mergeCell ref="CS48:CV49"/>
    <mergeCell ref="CN42:CR43"/>
    <mergeCell ref="CS42:CV43"/>
    <mergeCell ref="CW42:CZ43"/>
    <mergeCell ref="CW56:CZ57"/>
    <mergeCell ref="CW54:CZ55"/>
    <mergeCell ref="CS54:CV55"/>
    <mergeCell ref="CW52:CZ53"/>
    <mergeCell ref="CS56:CV57"/>
    <mergeCell ref="CN56:CR57"/>
    <mergeCell ref="CN52:CR53"/>
    <mergeCell ref="CS52:CV53"/>
    <mergeCell ref="CN46:CR47"/>
    <mergeCell ref="CS46:CV47"/>
    <mergeCell ref="CN54:CR55"/>
    <mergeCell ref="CN48:CR49"/>
    <mergeCell ref="CN50:CR51"/>
    <mergeCell ref="CS50:CV51"/>
    <mergeCell ref="CN5:CZ6"/>
    <mergeCell ref="BM51:BQ52"/>
    <mergeCell ref="CB51:CL52"/>
    <mergeCell ref="CW44:CZ45"/>
    <mergeCell ref="CW46:CZ47"/>
    <mergeCell ref="CW38:CZ39"/>
    <mergeCell ref="CS36:CV37"/>
    <mergeCell ref="CN44:CR45"/>
    <mergeCell ref="CS44:CV45"/>
    <mergeCell ref="CW48:CZ49"/>
    <mergeCell ref="AV58:BG59"/>
    <mergeCell ref="AX23:BO24"/>
    <mergeCell ref="AV47:AZ50"/>
    <mergeCell ref="BA47:BE50"/>
    <mergeCell ref="BA53:BE54"/>
    <mergeCell ref="BA55:BE56"/>
    <mergeCell ref="AV21:AW26"/>
    <mergeCell ref="AX37:BV38"/>
    <mergeCell ref="BF51:BL52"/>
    <mergeCell ref="AV37:AW40"/>
    <mergeCell ref="CB57:CL58"/>
    <mergeCell ref="BU57:BZ58"/>
    <mergeCell ref="BA51:BE52"/>
    <mergeCell ref="AV61:BS62"/>
    <mergeCell ref="BM53:BQ54"/>
    <mergeCell ref="BM55:BQ56"/>
    <mergeCell ref="BR53:CA54"/>
    <mergeCell ref="BR55:CA56"/>
    <mergeCell ref="AV55:AZ56"/>
    <mergeCell ref="BF53:BL54"/>
    <mergeCell ref="BM47:BQ50"/>
    <mergeCell ref="BR47:CL48"/>
    <mergeCell ref="CG69:CI70"/>
    <mergeCell ref="CB55:CL56"/>
    <mergeCell ref="CB53:CL54"/>
    <mergeCell ref="BK65:BN66"/>
    <mergeCell ref="BH58:BL59"/>
    <mergeCell ref="BF55:BL56"/>
    <mergeCell ref="BR50:CA50"/>
    <mergeCell ref="BR51:CA52"/>
    <mergeCell ref="AE83:AP83"/>
    <mergeCell ref="BB72:BE74"/>
    <mergeCell ref="Y78:AE79"/>
    <mergeCell ref="AZ78:BI78"/>
    <mergeCell ref="AD73:AH74"/>
    <mergeCell ref="Z82:AD84"/>
    <mergeCell ref="AI73:AP74"/>
    <mergeCell ref="AX72:AY74"/>
    <mergeCell ref="AZ72:AZ74"/>
    <mergeCell ref="BI72:BI74"/>
    <mergeCell ref="A73:I74"/>
    <mergeCell ref="A78:E79"/>
    <mergeCell ref="F78:V79"/>
    <mergeCell ref="A82:E84"/>
    <mergeCell ref="R83:U83"/>
    <mergeCell ref="V83:Y83"/>
    <mergeCell ref="F83:Q83"/>
    <mergeCell ref="F84:Q84"/>
    <mergeCell ref="R84:U84"/>
    <mergeCell ref="V84:Y84"/>
    <mergeCell ref="CK81:CW82"/>
    <mergeCell ref="CO79:CZ80"/>
    <mergeCell ref="BU79:CD80"/>
    <mergeCell ref="AQ83:AT83"/>
    <mergeCell ref="AU83:AX83"/>
    <mergeCell ref="AF78:AX79"/>
    <mergeCell ref="BC81:BP82"/>
    <mergeCell ref="BQ81:BT82"/>
    <mergeCell ref="CF81:CJ82"/>
    <mergeCell ref="R80:AG81"/>
    <mergeCell ref="Z85:AD86"/>
    <mergeCell ref="AE85:AH86"/>
    <mergeCell ref="BB85:BE86"/>
    <mergeCell ref="AI87:AL88"/>
    <mergeCell ref="AM87:AP88"/>
    <mergeCell ref="AQ87:AT88"/>
    <mergeCell ref="AU87:AX88"/>
    <mergeCell ref="A89:E90"/>
    <mergeCell ref="F89:I90"/>
    <mergeCell ref="J89:M90"/>
    <mergeCell ref="N89:Q90"/>
    <mergeCell ref="R89:U90"/>
    <mergeCell ref="V89:Y90"/>
    <mergeCell ref="Z89:AD90"/>
    <mergeCell ref="AE89:AH90"/>
    <mergeCell ref="AI89:AL90"/>
    <mergeCell ref="AM89:AP90"/>
    <mergeCell ref="AQ89:AT90"/>
    <mergeCell ref="AU89:AX90"/>
    <mergeCell ref="A91:E92"/>
    <mergeCell ref="F91:I92"/>
    <mergeCell ref="J91:M92"/>
    <mergeCell ref="N91:Q92"/>
    <mergeCell ref="R91:U92"/>
    <mergeCell ref="V91:Y92"/>
    <mergeCell ref="Z91:AD92"/>
    <mergeCell ref="AE91:AH92"/>
    <mergeCell ref="AI91:AL92"/>
    <mergeCell ref="AM91:AP92"/>
    <mergeCell ref="AQ91:AT92"/>
    <mergeCell ref="AU91:AX92"/>
    <mergeCell ref="A95:E96"/>
    <mergeCell ref="F95:I96"/>
    <mergeCell ref="J95:M96"/>
    <mergeCell ref="N95:Q96"/>
    <mergeCell ref="AI93:AL94"/>
    <mergeCell ref="R95:U96"/>
    <mergeCell ref="V95:Y96"/>
    <mergeCell ref="Z95:AD96"/>
    <mergeCell ref="AE95:AH96"/>
    <mergeCell ref="R93:U94"/>
    <mergeCell ref="V93:Y94"/>
    <mergeCell ref="Z93:AD94"/>
    <mergeCell ref="AE93:AH94"/>
    <mergeCell ref="R101:U102"/>
    <mergeCell ref="AU95:AX96"/>
    <mergeCell ref="BQ99:BT100"/>
    <mergeCell ref="BI99:BJ100"/>
    <mergeCell ref="AM97:AP98"/>
    <mergeCell ref="AQ97:AT98"/>
    <mergeCell ref="AI95:AL96"/>
    <mergeCell ref="AM95:AP96"/>
    <mergeCell ref="AQ95:AT96"/>
    <mergeCell ref="AI99:AL100"/>
    <mergeCell ref="A101:E102"/>
    <mergeCell ref="F101:I102"/>
    <mergeCell ref="J101:M102"/>
    <mergeCell ref="N101:Q102"/>
    <mergeCell ref="A99:E100"/>
    <mergeCell ref="F99:I100"/>
    <mergeCell ref="J99:M100"/>
    <mergeCell ref="N99:Q100"/>
    <mergeCell ref="AM99:AP100"/>
    <mergeCell ref="AQ99:AT100"/>
    <mergeCell ref="AU99:AX100"/>
    <mergeCell ref="R99:U100"/>
    <mergeCell ref="V99:Y100"/>
    <mergeCell ref="Z99:AD100"/>
    <mergeCell ref="AE99:AH100"/>
    <mergeCell ref="AI103:AL104"/>
    <mergeCell ref="AM103:AP104"/>
    <mergeCell ref="AQ103:AT104"/>
    <mergeCell ref="AQ101:AT102"/>
    <mergeCell ref="AM101:AP102"/>
    <mergeCell ref="A109:E110"/>
    <mergeCell ref="F109:I110"/>
    <mergeCell ref="J109:M110"/>
    <mergeCell ref="N109:Q110"/>
    <mergeCell ref="AM109:AP110"/>
    <mergeCell ref="AQ109:AT110"/>
    <mergeCell ref="AU109:AX110"/>
    <mergeCell ref="R109:U110"/>
    <mergeCell ref="V109:Y110"/>
    <mergeCell ref="Z109:AD110"/>
    <mergeCell ref="AE109:AH110"/>
    <mergeCell ref="A111:E112"/>
    <mergeCell ref="F111:I112"/>
    <mergeCell ref="J111:M112"/>
    <mergeCell ref="N111:Q112"/>
    <mergeCell ref="R111:U112"/>
    <mergeCell ref="V111:Y112"/>
    <mergeCell ref="Z111:AD112"/>
    <mergeCell ref="AE111:AH112"/>
    <mergeCell ref="A113:E114"/>
    <mergeCell ref="F113:I114"/>
    <mergeCell ref="J113:M114"/>
    <mergeCell ref="N113:Q114"/>
    <mergeCell ref="R113:U114"/>
    <mergeCell ref="V113:Y114"/>
    <mergeCell ref="Z113:AD114"/>
    <mergeCell ref="AE113:AH114"/>
    <mergeCell ref="A117:E118"/>
    <mergeCell ref="F117:I118"/>
    <mergeCell ref="J117:M118"/>
    <mergeCell ref="N117:Q118"/>
    <mergeCell ref="R117:U118"/>
    <mergeCell ref="V117:Y118"/>
    <mergeCell ref="Z117:AD118"/>
    <mergeCell ref="AE117:AH118"/>
    <mergeCell ref="AM127:AP128"/>
    <mergeCell ref="AI117:AL118"/>
    <mergeCell ref="AM117:AP118"/>
    <mergeCell ref="AQ117:AT118"/>
    <mergeCell ref="AQ127:AT128"/>
    <mergeCell ref="AI127:AL128"/>
    <mergeCell ref="AI125:AL126"/>
    <mergeCell ref="AM125:AP126"/>
    <mergeCell ref="AQ125:AT126"/>
    <mergeCell ref="AI121:AL122"/>
    <mergeCell ref="BG129:BM129"/>
    <mergeCell ref="AU127:AX128"/>
    <mergeCell ref="AM115:AP116"/>
    <mergeCell ref="AQ115:AT116"/>
    <mergeCell ref="AU115:AX116"/>
    <mergeCell ref="AU117:AX118"/>
    <mergeCell ref="AM119:AP120"/>
    <mergeCell ref="AQ119:AT120"/>
    <mergeCell ref="AU119:AX120"/>
    <mergeCell ref="AU125:AX126"/>
    <mergeCell ref="Z131:AD132"/>
    <mergeCell ref="AE131:AH132"/>
    <mergeCell ref="Z129:AD130"/>
    <mergeCell ref="AE129:AH130"/>
    <mergeCell ref="AU129:AX130"/>
    <mergeCell ref="BB130:BF130"/>
    <mergeCell ref="BG130:BM130"/>
    <mergeCell ref="F129:I130"/>
    <mergeCell ref="J129:M130"/>
    <mergeCell ref="N129:Q130"/>
    <mergeCell ref="BB129:BF129"/>
    <mergeCell ref="AI129:AL130"/>
    <mergeCell ref="AM129:AP130"/>
    <mergeCell ref="AQ129:AT130"/>
    <mergeCell ref="AM135:AP136"/>
    <mergeCell ref="A131:E132"/>
    <mergeCell ref="F131:I132"/>
    <mergeCell ref="R129:U130"/>
    <mergeCell ref="V129:Y130"/>
    <mergeCell ref="J131:M132"/>
    <mergeCell ref="N131:Q132"/>
    <mergeCell ref="R131:U132"/>
    <mergeCell ref="V131:Y132"/>
    <mergeCell ref="A129:E130"/>
    <mergeCell ref="AI135:AL136"/>
    <mergeCell ref="AZ135:BM136"/>
    <mergeCell ref="AI131:AL132"/>
    <mergeCell ref="AM131:AP132"/>
    <mergeCell ref="AQ131:AT132"/>
    <mergeCell ref="AU131:AX132"/>
    <mergeCell ref="AI133:AL134"/>
    <mergeCell ref="AM133:AP134"/>
    <mergeCell ref="AQ133:AT134"/>
    <mergeCell ref="AU133:AX134"/>
    <mergeCell ref="R135:U136"/>
    <mergeCell ref="V135:Y136"/>
    <mergeCell ref="Z135:AD136"/>
    <mergeCell ref="AE135:AH136"/>
    <mergeCell ref="A135:E136"/>
    <mergeCell ref="F135:I136"/>
    <mergeCell ref="J135:M136"/>
    <mergeCell ref="N135:Q136"/>
    <mergeCell ref="AQ135:AT136"/>
    <mergeCell ref="AU135:AX136"/>
    <mergeCell ref="BG138:CW139"/>
    <mergeCell ref="BN135:BT136"/>
    <mergeCell ref="CD135:CW136"/>
    <mergeCell ref="CC140:CW141"/>
    <mergeCell ref="AM137:AP138"/>
    <mergeCell ref="AQ137:AT138"/>
    <mergeCell ref="AU137:AX138"/>
    <mergeCell ref="BX141:CB141"/>
    <mergeCell ref="BB140:BF143"/>
    <mergeCell ref="BG140:BK143"/>
    <mergeCell ref="BL140:BP143"/>
    <mergeCell ref="BQ142:BW142"/>
    <mergeCell ref="BX142:CB142"/>
    <mergeCell ref="AI139:AL140"/>
    <mergeCell ref="AM139:AP140"/>
    <mergeCell ref="AQ139:AT140"/>
    <mergeCell ref="AU139:AX140"/>
    <mergeCell ref="AI141:AL142"/>
    <mergeCell ref="AM141:AP142"/>
    <mergeCell ref="AQ141:AT142"/>
    <mergeCell ref="AU141:AX142"/>
    <mergeCell ref="AI143:AL144"/>
    <mergeCell ref="AM143:AP144"/>
    <mergeCell ref="AQ143:AT144"/>
    <mergeCell ref="AU143:AX144"/>
    <mergeCell ref="A149:E150"/>
    <mergeCell ref="F149:I150"/>
    <mergeCell ref="BG146:BK147"/>
    <mergeCell ref="A147:E148"/>
    <mergeCell ref="F147:I148"/>
    <mergeCell ref="AQ149:AT150"/>
    <mergeCell ref="J147:M148"/>
    <mergeCell ref="N147:Q148"/>
    <mergeCell ref="AI149:AL150"/>
    <mergeCell ref="AI145:AL146"/>
    <mergeCell ref="AM149:AP150"/>
    <mergeCell ref="R147:U148"/>
    <mergeCell ref="V147:Y148"/>
    <mergeCell ref="Z147:AD148"/>
    <mergeCell ref="AE147:AH148"/>
    <mergeCell ref="Z149:AD150"/>
    <mergeCell ref="AE149:AH150"/>
    <mergeCell ref="BX146:CB147"/>
    <mergeCell ref="CC146:CL147"/>
    <mergeCell ref="CM146:CW147"/>
    <mergeCell ref="AI147:AL148"/>
    <mergeCell ref="AM147:AP148"/>
    <mergeCell ref="AQ147:AT148"/>
    <mergeCell ref="AU147:AX148"/>
    <mergeCell ref="AM145:AP146"/>
    <mergeCell ref="AQ145:AT146"/>
    <mergeCell ref="AU145:AX146"/>
    <mergeCell ref="BI85:BL86"/>
    <mergeCell ref="AE84:AP84"/>
    <mergeCell ref="AI85:AL86"/>
    <mergeCell ref="AM85:AP86"/>
    <mergeCell ref="AU85:AX86"/>
    <mergeCell ref="R85:U86"/>
    <mergeCell ref="V85:Y86"/>
    <mergeCell ref="A85:E86"/>
    <mergeCell ref="F85:I86"/>
    <mergeCell ref="J85:M86"/>
    <mergeCell ref="N85:Q86"/>
    <mergeCell ref="A87:E88"/>
    <mergeCell ref="F87:I88"/>
    <mergeCell ref="J87:M88"/>
    <mergeCell ref="N87:Q88"/>
    <mergeCell ref="R87:U88"/>
    <mergeCell ref="V87:Y88"/>
    <mergeCell ref="Z87:AD88"/>
    <mergeCell ref="AE87:AH88"/>
    <mergeCell ref="A93:E94"/>
    <mergeCell ref="F93:I94"/>
    <mergeCell ref="J93:M94"/>
    <mergeCell ref="N93:Q94"/>
    <mergeCell ref="R97:U98"/>
    <mergeCell ref="V97:Y98"/>
    <mergeCell ref="Z97:AD98"/>
    <mergeCell ref="AE97:AH98"/>
    <mergeCell ref="A97:E98"/>
    <mergeCell ref="F97:I98"/>
    <mergeCell ref="J97:M98"/>
    <mergeCell ref="N97:Q98"/>
    <mergeCell ref="V101:Y102"/>
    <mergeCell ref="Z101:AD102"/>
    <mergeCell ref="AE101:AH102"/>
    <mergeCell ref="V103:Y104"/>
    <mergeCell ref="Z103:AD104"/>
    <mergeCell ref="AE103:AH104"/>
    <mergeCell ref="R103:U104"/>
    <mergeCell ref="A105:E106"/>
    <mergeCell ref="F105:I106"/>
    <mergeCell ref="J105:M106"/>
    <mergeCell ref="N105:Q106"/>
    <mergeCell ref="R105:U106"/>
    <mergeCell ref="A103:E104"/>
    <mergeCell ref="F103:I104"/>
    <mergeCell ref="J103:M104"/>
    <mergeCell ref="N103:Q104"/>
    <mergeCell ref="V105:Y106"/>
    <mergeCell ref="Z105:AD106"/>
    <mergeCell ref="AE105:AH106"/>
    <mergeCell ref="R107:U108"/>
    <mergeCell ref="V107:Y108"/>
    <mergeCell ref="Z107:AD108"/>
    <mergeCell ref="AE107:AH108"/>
    <mergeCell ref="A107:E108"/>
    <mergeCell ref="F107:I108"/>
    <mergeCell ref="J107:M108"/>
    <mergeCell ref="N107:Q108"/>
    <mergeCell ref="A115:E116"/>
    <mergeCell ref="F115:I116"/>
    <mergeCell ref="J115:M116"/>
    <mergeCell ref="N115:Q116"/>
    <mergeCell ref="R115:U116"/>
    <mergeCell ref="V115:Y116"/>
    <mergeCell ref="Z115:AD116"/>
    <mergeCell ref="AE115:AH116"/>
    <mergeCell ref="R119:U120"/>
    <mergeCell ref="V119:Y120"/>
    <mergeCell ref="Z119:AD120"/>
    <mergeCell ref="AE119:AH120"/>
    <mergeCell ref="A119:E120"/>
    <mergeCell ref="F119:I120"/>
    <mergeCell ref="J119:M120"/>
    <mergeCell ref="N119:Q120"/>
    <mergeCell ref="A121:E122"/>
    <mergeCell ref="F121:I122"/>
    <mergeCell ref="J121:M122"/>
    <mergeCell ref="N121:Q122"/>
    <mergeCell ref="R121:U122"/>
    <mergeCell ref="V121:Y122"/>
    <mergeCell ref="Z121:AD122"/>
    <mergeCell ref="AE121:AH122"/>
    <mergeCell ref="A123:E124"/>
    <mergeCell ref="F123:I124"/>
    <mergeCell ref="J123:M124"/>
    <mergeCell ref="N123:Q124"/>
    <mergeCell ref="R123:U124"/>
    <mergeCell ref="V123:Y124"/>
    <mergeCell ref="Z123:AD124"/>
    <mergeCell ref="AE123:AH124"/>
    <mergeCell ref="A125:E126"/>
    <mergeCell ref="F125:I126"/>
    <mergeCell ref="J125:M126"/>
    <mergeCell ref="N125:Q126"/>
    <mergeCell ref="R125:U126"/>
    <mergeCell ref="V125:Y126"/>
    <mergeCell ref="Z125:AD126"/>
    <mergeCell ref="AE125:AH126"/>
    <mergeCell ref="R127:U128"/>
    <mergeCell ref="V127:Y128"/>
    <mergeCell ref="Z127:AD128"/>
    <mergeCell ref="AE127:AH128"/>
    <mergeCell ref="BB131:BF132"/>
    <mergeCell ref="BG131:BM132"/>
    <mergeCell ref="BN131:BT132"/>
    <mergeCell ref="BB133:BF134"/>
    <mergeCell ref="BG133:BM134"/>
    <mergeCell ref="BN133:BT134"/>
    <mergeCell ref="A133:E134"/>
    <mergeCell ref="F133:I134"/>
    <mergeCell ref="J133:M134"/>
    <mergeCell ref="N133:Q134"/>
    <mergeCell ref="R133:U134"/>
    <mergeCell ref="V133:Y134"/>
    <mergeCell ref="Z133:AD134"/>
    <mergeCell ref="AE133:AH134"/>
    <mergeCell ref="V137:Y138"/>
    <mergeCell ref="Z137:AD138"/>
    <mergeCell ref="AE137:AH138"/>
    <mergeCell ref="A137:E138"/>
    <mergeCell ref="F137:I138"/>
    <mergeCell ref="J137:M138"/>
    <mergeCell ref="N137:Q138"/>
    <mergeCell ref="AI137:AL138"/>
    <mergeCell ref="A139:E140"/>
    <mergeCell ref="F139:I140"/>
    <mergeCell ref="J139:M140"/>
    <mergeCell ref="N139:Q140"/>
    <mergeCell ref="R139:U140"/>
    <mergeCell ref="V139:Y140"/>
    <mergeCell ref="Z139:AD140"/>
    <mergeCell ref="AE139:AH140"/>
    <mergeCell ref="R137:U138"/>
    <mergeCell ref="A141:E142"/>
    <mergeCell ref="F141:I142"/>
    <mergeCell ref="J141:M142"/>
    <mergeCell ref="N141:Q142"/>
    <mergeCell ref="R141:U142"/>
    <mergeCell ref="V141:Y142"/>
    <mergeCell ref="Z141:AD142"/>
    <mergeCell ref="AE141:AH142"/>
    <mergeCell ref="CC142:CL142"/>
    <mergeCell ref="CM142:CW142"/>
    <mergeCell ref="A143:E144"/>
    <mergeCell ref="F143:I144"/>
    <mergeCell ref="J143:M144"/>
    <mergeCell ref="N143:Q144"/>
    <mergeCell ref="R143:U144"/>
    <mergeCell ref="V143:Y144"/>
    <mergeCell ref="Z143:AD144"/>
    <mergeCell ref="AE143:AH144"/>
    <mergeCell ref="CC143:CL143"/>
    <mergeCell ref="CM143:CW143"/>
    <mergeCell ref="BG144:BK145"/>
    <mergeCell ref="BL144:BP145"/>
    <mergeCell ref="BQ144:BW145"/>
    <mergeCell ref="BX144:CB145"/>
    <mergeCell ref="CC144:CL145"/>
    <mergeCell ref="CM144:CW145"/>
    <mergeCell ref="BQ143:BW143"/>
    <mergeCell ref="BX143:CB143"/>
    <mergeCell ref="A145:E146"/>
    <mergeCell ref="F145:I146"/>
    <mergeCell ref="J145:M146"/>
    <mergeCell ref="N145:Q146"/>
    <mergeCell ref="R145:U146"/>
    <mergeCell ref="V145:Y146"/>
    <mergeCell ref="Z145:AD146"/>
    <mergeCell ref="AE145:AH146"/>
    <mergeCell ref="J149:M150"/>
    <mergeCell ref="N149:Q150"/>
    <mergeCell ref="R149:U150"/>
    <mergeCell ref="V149:Y150"/>
    <mergeCell ref="AU149:AX150"/>
    <mergeCell ref="CM150:CW151"/>
    <mergeCell ref="BG150:BP151"/>
    <mergeCell ref="BG148:BK149"/>
    <mergeCell ref="BL148:BP149"/>
    <mergeCell ref="BQ148:BW149"/>
    <mergeCell ref="BX148:CB149"/>
    <mergeCell ref="CC148:CL149"/>
    <mergeCell ref="CM148:CW149"/>
    <mergeCell ref="CF150:CK151"/>
    <mergeCell ref="A151:E152"/>
    <mergeCell ref="F151:I152"/>
    <mergeCell ref="J151:M152"/>
    <mergeCell ref="N151:Q152"/>
    <mergeCell ref="R151:U152"/>
    <mergeCell ref="V151:Y152"/>
    <mergeCell ref="Z151:AD152"/>
    <mergeCell ref="AE151:AH152"/>
    <mergeCell ref="AI151:AL152"/>
    <mergeCell ref="AM151:AP152"/>
    <mergeCell ref="AQ151:AT152"/>
    <mergeCell ref="AU151:AX152"/>
    <mergeCell ref="A153:E154"/>
    <mergeCell ref="F153:I154"/>
    <mergeCell ref="J153:M154"/>
    <mergeCell ref="N153:Q154"/>
    <mergeCell ref="R153:U154"/>
    <mergeCell ref="V153:Y154"/>
    <mergeCell ref="Z153:AD154"/>
    <mergeCell ref="AE153:AH154"/>
    <mergeCell ref="BR153:BT154"/>
    <mergeCell ref="AI153:AL154"/>
    <mergeCell ref="AM153:AP154"/>
    <mergeCell ref="AQ153:AT154"/>
    <mergeCell ref="AU153:AX154"/>
    <mergeCell ref="AZ153:BF154"/>
    <mergeCell ref="BG153:BQ154"/>
    <mergeCell ref="A127:E128"/>
    <mergeCell ref="F127:I128"/>
    <mergeCell ref="J127:M128"/>
    <mergeCell ref="N127:Q128"/>
    <mergeCell ref="BB126:BM127"/>
    <mergeCell ref="BW126:CB127"/>
    <mergeCell ref="CC126:CW127"/>
    <mergeCell ref="BB124:BQ125"/>
    <mergeCell ref="AM107:AP108"/>
    <mergeCell ref="AU103:AX104"/>
    <mergeCell ref="AX41:BV42"/>
    <mergeCell ref="AX43:BV44"/>
    <mergeCell ref="AV41:AW44"/>
    <mergeCell ref="AQ107:AT108"/>
    <mergeCell ref="AM105:AP106"/>
    <mergeCell ref="AQ105:AT106"/>
    <mergeCell ref="AU101:AX102"/>
    <mergeCell ref="AM93:AP94"/>
    <mergeCell ref="AR38:AT40"/>
    <mergeCell ref="BF47:BL50"/>
    <mergeCell ref="AV51:AZ52"/>
    <mergeCell ref="AU107:AX108"/>
    <mergeCell ref="AQ93:AT94"/>
    <mergeCell ref="AQ85:AT86"/>
    <mergeCell ref="AU80:BA81"/>
    <mergeCell ref="AQ84:AT84"/>
    <mergeCell ref="AU84:AX84"/>
    <mergeCell ref="AV53:AZ54"/>
    <mergeCell ref="AI97:AL98"/>
    <mergeCell ref="AI113:AL114"/>
    <mergeCell ref="AI123:AL124"/>
    <mergeCell ref="AI115:AL116"/>
    <mergeCell ref="AI119:AL120"/>
    <mergeCell ref="AI111:AL112"/>
    <mergeCell ref="AI109:AL110"/>
    <mergeCell ref="AI105:AL106"/>
    <mergeCell ref="AI101:AL102"/>
    <mergeCell ref="AI107:AL108"/>
    <mergeCell ref="AM123:AP124"/>
    <mergeCell ref="AQ123:AT124"/>
    <mergeCell ref="AU123:AX124"/>
    <mergeCell ref="AM121:AP122"/>
    <mergeCell ref="AQ121:AT122"/>
    <mergeCell ref="AU121:AX122"/>
    <mergeCell ref="AX7:BO8"/>
    <mergeCell ref="AV19:AW20"/>
    <mergeCell ref="AM113:AP114"/>
    <mergeCell ref="AQ113:AT114"/>
    <mergeCell ref="AU113:AX114"/>
    <mergeCell ref="AM111:AP112"/>
    <mergeCell ref="AQ111:AT112"/>
    <mergeCell ref="AU105:AX106"/>
    <mergeCell ref="AX39:BV40"/>
    <mergeCell ref="BR49:CA49"/>
    <mergeCell ref="AU111:AX112"/>
    <mergeCell ref="BW37:CD38"/>
    <mergeCell ref="CB50:CL50"/>
    <mergeCell ref="CB49:CL49"/>
    <mergeCell ref="CE37:CL38"/>
    <mergeCell ref="BF45:CA46"/>
    <mergeCell ref="AU93:AX94"/>
    <mergeCell ref="AU97:AX98"/>
    <mergeCell ref="BF99:BH100"/>
    <mergeCell ref="CC99:CE100"/>
    <mergeCell ref="BW128:CW129"/>
    <mergeCell ref="BW130:CW131"/>
    <mergeCell ref="BW132:CW133"/>
    <mergeCell ref="BR124:CW125"/>
    <mergeCell ref="BN126:BS127"/>
    <mergeCell ref="BN129:BT129"/>
    <mergeCell ref="BN130:BT130"/>
  </mergeCells>
  <printOptions horizontalCentered="1" verticalCentered="1"/>
  <pageMargins left="0" right="0" top="0" bottom="0" header="0.5" footer="0.5"/>
  <pageSetup blackAndWhite="1" fitToHeight="2" horizontalDpi="600" verticalDpi="600" orientation="landscape" scale="81" r:id="rId2"/>
  <rowBreaks count="1" manualBreakCount="1">
    <brk id="77" max="10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Gradient Diversion Design</dc:title>
  <dc:subject/>
  <dc:creator/>
  <cp:keywords/>
  <dc:description>USDA-NRCS-KANSAS
Revised March 2005
</dc:description>
  <cp:lastModifiedBy>doreen.mcdowell</cp:lastModifiedBy>
  <cp:lastPrinted>2005-06-27T19:12:08Z</cp:lastPrinted>
  <dcterms:created xsi:type="dcterms:W3CDTF">1999-08-09T19:36:58Z</dcterms:created>
  <dcterms:modified xsi:type="dcterms:W3CDTF">2006-01-25T21:31:05Z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-1887092091</vt:i4>
  </property>
  <property fmtid="{D5CDD505-2E9C-101B-9397-08002B2CF9AE}" pid="3" name="_EmailSubject">
    <vt:lpwstr>Gradient diversion</vt:lpwstr>
  </property>
  <property fmtid="{D5CDD505-2E9C-101B-9397-08002B2CF9AE}" pid="4" name="_AuthorEmail">
    <vt:lpwstr>Paul.Larson@ks.usda.gov</vt:lpwstr>
  </property>
  <property fmtid="{D5CDD505-2E9C-101B-9397-08002B2CF9AE}" pid="5" name="_AuthorEmailDisplayName">
    <vt:lpwstr>Larson, Paul - Horton, KS</vt:lpwstr>
  </property>
  <property fmtid="{D5CDD505-2E9C-101B-9397-08002B2CF9AE}" pid="6" name="_PreviousAdHocReviewCycleID">
    <vt:i4>1779872681</vt:i4>
  </property>
  <property fmtid="{D5CDD505-2E9C-101B-9397-08002B2CF9AE}" pid="7" name="_ReviewingToolsShownOnce">
    <vt:lpwstr/>
  </property>
</Properties>
</file>