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2025" windowWidth="19200" windowHeight="12090"/>
  </bookViews>
  <sheets>
    <sheet name="340 Spec. Sheet" sheetId="1" r:id="rId1"/>
    <sheet name="Seed Calculator" sheetId="3" r:id="rId2"/>
    <sheet name="Seed  List" sheetId="2" r:id="rId3"/>
  </sheets>
  <definedNames>
    <definedName name="_xlnm.Print_Area" localSheetId="0">'340 Spec. Sheet'!$A$1:$S$53</definedName>
    <definedName name="_xlnm.Print_Area" localSheetId="2">'Seed  List'!$A$1:$Z$106</definedName>
    <definedName name="_xlnm.Print_Area" localSheetId="1">'Seed Calculator'!$A$1:$L$175</definedName>
    <definedName name="_xlnm.Print_Titles" localSheetId="2">'Seed  List'!$A:$A,'Seed  List'!$1:$3</definedName>
  </definedNames>
  <calcPr calcId="125725" fullCalcOnLoad="1"/>
</workbook>
</file>

<file path=xl/calcChain.xml><?xml version="1.0" encoding="utf-8"?>
<calcChain xmlns="http://schemas.openxmlformats.org/spreadsheetml/2006/main">
  <c r="C60" i="2"/>
  <c r="W10" i="3"/>
  <c r="Z7"/>
  <c r="Z10" s="1"/>
  <c r="Z13" s="1"/>
  <c r="W13"/>
  <c r="W7"/>
  <c r="Z16" s="1"/>
  <c r="D7"/>
  <c r="D8"/>
  <c r="D9"/>
  <c r="D10"/>
  <c r="D11"/>
  <c r="F11"/>
  <c r="W16"/>
  <c r="D6"/>
  <c r="W19"/>
  <c r="F27" i="1"/>
  <c r="F28"/>
  <c r="F29"/>
  <c r="I8" i="3"/>
  <c r="J8"/>
  <c r="F30" i="1"/>
  <c r="I9" i="3"/>
  <c r="J9"/>
  <c r="F31" i="1"/>
  <c r="I10" i="3"/>
  <c r="J10"/>
  <c r="F32" i="1"/>
  <c r="R32" s="1"/>
  <c r="I11" i="3"/>
  <c r="J11"/>
  <c r="G11"/>
  <c r="P32" i="1"/>
  <c r="P4"/>
  <c r="N8"/>
  <c r="W31"/>
  <c r="AB29"/>
  <c r="AB30"/>
  <c r="AB31"/>
  <c r="AB32"/>
  <c r="AB28"/>
  <c r="AA29"/>
  <c r="AA30"/>
  <c r="AA31"/>
  <c r="AA32"/>
  <c r="AA28"/>
  <c r="Z29"/>
  <c r="Z30"/>
  <c r="Z31"/>
  <c r="Z32"/>
  <c r="Z33"/>
  <c r="Z28"/>
  <c r="Y29"/>
  <c r="Y30"/>
  <c r="Y31"/>
  <c r="Y32"/>
  <c r="Y33"/>
  <c r="Y28"/>
  <c r="X29"/>
  <c r="X30"/>
  <c r="X31"/>
  <c r="X32"/>
  <c r="X33"/>
  <c r="X28"/>
  <c r="W29"/>
  <c r="W30"/>
  <c r="W32"/>
  <c r="W28"/>
  <c r="V30"/>
  <c r="V31"/>
  <c r="V32"/>
  <c r="V33"/>
  <c r="V29"/>
  <c r="V28"/>
  <c r="I7" i="3"/>
  <c r="J7"/>
  <c r="I6"/>
  <c r="J6"/>
  <c r="C104" i="2"/>
  <c r="C103"/>
  <c r="C102"/>
  <c r="C101"/>
  <c r="C100"/>
  <c r="C99"/>
  <c r="C98"/>
  <c r="C97"/>
  <c r="C96"/>
  <c r="C95"/>
  <c r="C94"/>
  <c r="C93"/>
  <c r="C92"/>
  <c r="C91"/>
  <c r="C90"/>
  <c r="C89"/>
  <c r="C88"/>
  <c r="C86"/>
  <c r="C87"/>
  <c r="C85"/>
  <c r="C84"/>
  <c r="C83"/>
  <c r="C82"/>
  <c r="C81"/>
  <c r="C80"/>
  <c r="C79"/>
  <c r="C78"/>
  <c r="C77"/>
  <c r="C75"/>
  <c r="C74"/>
  <c r="C73"/>
  <c r="C72"/>
  <c r="C71"/>
  <c r="C70"/>
  <c r="C69"/>
  <c r="C68"/>
  <c r="C67"/>
  <c r="C66"/>
  <c r="C65"/>
  <c r="C64"/>
  <c r="C63"/>
  <c r="C62"/>
  <c r="C61"/>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H11" i="3"/>
  <c r="K8"/>
  <c r="L8" s="1"/>
  <c r="K9"/>
  <c r="L9" s="1"/>
  <c r="K10"/>
  <c r="L10" s="1"/>
  <c r="K11"/>
  <c r="L11" s="1"/>
  <c r="K7"/>
  <c r="L7" s="1"/>
  <c r="K6"/>
  <c r="E12"/>
  <c r="N32" i="1" l="1"/>
  <c r="W33"/>
  <c r="F7" i="3"/>
  <c r="F8"/>
  <c r="F9"/>
  <c r="F10"/>
  <c r="F6"/>
  <c r="AA33" i="1"/>
  <c r="AB33"/>
  <c r="F12" i="3" l="1"/>
  <c r="G6"/>
  <c r="N27" i="1"/>
  <c r="G10" i="3"/>
  <c r="N31" i="1"/>
  <c r="G8" i="3"/>
  <c r="N29" i="1"/>
  <c r="G9" i="3"/>
  <c r="N30" i="1"/>
  <c r="N28"/>
  <c r="G7" i="3"/>
  <c r="H9" l="1"/>
  <c r="P30" i="1"/>
  <c r="R30" s="1"/>
  <c r="H8" i="3"/>
  <c r="P29" i="1"/>
  <c r="R29" s="1"/>
  <c r="P27"/>
  <c r="G12" i="3"/>
  <c r="H6"/>
  <c r="L6"/>
  <c r="L12" s="1"/>
  <c r="P28" i="1"/>
  <c r="R28" s="1"/>
  <c r="H7" i="3"/>
  <c r="N33" i="1"/>
  <c r="H10" i="3"/>
  <c r="P31" i="1"/>
  <c r="R31" s="1"/>
  <c r="R27" l="1"/>
  <c r="R33" s="1"/>
  <c r="P33"/>
  <c r="H12" i="3"/>
</calcChain>
</file>

<file path=xl/comments1.xml><?xml version="1.0" encoding="utf-8"?>
<comments xmlns="http://schemas.openxmlformats.org/spreadsheetml/2006/main">
  <authors>
    <author>Kerry Goodrich</author>
    <author>Administrator</author>
  </authors>
  <commentList>
    <comment ref="A1" authorId="0">
      <text>
        <r>
          <rPr>
            <b/>
            <sz val="8"/>
            <color indexed="81"/>
            <rFont val="Tahoma"/>
            <family val="2"/>
          </rPr>
          <t>Click on the blanks to enter the appropriate information or enter blanks in everything if you wish to fill the form out by hand.  Some information must be entered by selecting from the pull down list.  Contact the area or state agronomist to change the information in the pull down lists or seed list.</t>
        </r>
      </text>
    </comment>
    <comment ref="A17" authorId="0">
      <text>
        <r>
          <rPr>
            <b/>
            <sz val="8"/>
            <color indexed="81"/>
            <rFont val="Tahoma"/>
            <family val="2"/>
          </rPr>
          <t>Fertilizer information can be obtained from soil test results or the Utah Fertilizer Guide.</t>
        </r>
        <r>
          <rPr>
            <sz val="8"/>
            <color indexed="81"/>
            <rFont val="Tahoma"/>
            <family val="2"/>
          </rPr>
          <t xml:space="preserve">
</t>
        </r>
      </text>
    </comment>
    <comment ref="A24" authorId="0">
      <text>
        <r>
          <rPr>
            <b/>
            <sz val="8"/>
            <color indexed="81"/>
            <rFont val="Tahoma"/>
            <family val="2"/>
          </rPr>
          <t>Planting information must be entered using the seed calculator worksheet.  Click the gray tab labeled "Seed Calculator" at the bottom of this worksheet.</t>
        </r>
        <r>
          <rPr>
            <sz val="8"/>
            <color indexed="81"/>
            <rFont val="Tahoma"/>
            <family val="2"/>
          </rPr>
          <t xml:space="preserve">
</t>
        </r>
      </text>
    </comment>
    <comment ref="F25" authorId="1">
      <text>
        <r>
          <rPr>
            <b/>
            <sz val="8"/>
            <color indexed="81"/>
            <rFont val="Tahoma"/>
            <family val="2"/>
          </rPr>
          <t>Click on the tab labeled "Seed Calculator" to enter the plant species and have the computer calculate the appropriate seeding rates.</t>
        </r>
      </text>
    </comment>
    <comment ref="K25" authorId="1">
      <text>
        <r>
          <rPr>
            <b/>
            <sz val="8"/>
            <color indexed="81"/>
            <rFont val="Tahoma"/>
            <family val="2"/>
          </rPr>
          <t>Click on the white box to enter one of the varieties listed to the right.  If the desired variety is not listed, then enter it in the yellow box at the right.  The cells in the variety column do not automatically refresh when different plant materials are selected.  This must be done by hand.</t>
        </r>
      </text>
    </comment>
    <comment ref="S25" authorId="0">
      <text>
        <r>
          <rPr>
            <b/>
            <sz val="8"/>
            <color indexed="81"/>
            <rFont val="Tahoma"/>
            <family val="2"/>
          </rPr>
          <t>Click on this cell to change the calculation for either the Total Bulk or Total PLS seed needed.  Acres must be entered above for the calculation to be made.</t>
        </r>
      </text>
    </comment>
    <comment ref="A34" authorId="0">
      <text>
        <r>
          <rPr>
            <b/>
            <sz val="8"/>
            <color indexed="81"/>
            <rFont val="Tahoma"/>
            <family val="2"/>
          </rPr>
          <t>Refer to the 340 Practice Standard for appropriate management considerations.</t>
        </r>
        <r>
          <rPr>
            <sz val="8"/>
            <color indexed="81"/>
            <rFont val="Tahoma"/>
            <family val="2"/>
          </rPr>
          <t xml:space="preserve">
</t>
        </r>
      </text>
    </comment>
  </commentList>
</comments>
</file>

<file path=xl/comments2.xml><?xml version="1.0" encoding="utf-8"?>
<comments xmlns="http://schemas.openxmlformats.org/spreadsheetml/2006/main">
  <authors>
    <author>Administrator</author>
    <author>Kerry Goodrich</author>
  </authors>
  <commentList>
    <comment ref="B3" authorId="0">
      <text>
        <r>
          <rPr>
            <b/>
            <sz val="8"/>
            <color indexed="81"/>
            <rFont val="Tahoma"/>
            <family val="2"/>
          </rPr>
          <t>Select the species and variety from the list that is to be seeded.</t>
        </r>
      </text>
    </comment>
    <comment ref="F3" authorId="1">
      <text>
        <r>
          <rPr>
            <b/>
            <sz val="8"/>
            <color indexed="81"/>
            <rFont val="Tahoma"/>
            <family val="2"/>
          </rPr>
          <t>This rate is automatically calculated.  If there are errors in this column or the value is "0", check to make sure that the yellow boxes for desired seed list, broadcast, irrigated/dry, and soil limitations are set to the correct values.</t>
        </r>
      </text>
    </comment>
    <comment ref="G3" authorId="1">
      <text>
        <r>
          <rPr>
            <b/>
            <sz val="8"/>
            <color indexed="81"/>
            <rFont val="Tahoma"/>
            <family val="2"/>
          </rPr>
          <t>This is the bulk seeding rate and is calculated using average purity and germination numbers obtained from the seed list.  Check the seed list to make sure that the purity and germination numbers are correct for the purchased plant materials.  If they are not, then the correct values may be entered in the yellow boxes.</t>
        </r>
      </text>
    </comment>
    <comment ref="H3" authorId="1">
      <text>
        <r>
          <rPr>
            <b/>
            <sz val="8"/>
            <color indexed="81"/>
            <rFont val="Tahoma"/>
            <family val="2"/>
          </rPr>
          <t>This value is the number of seeds per linear foot of drill row entered in cell K12.  The value can be calculated on a Bulk or PLS basis by selecting the desired method in cell L13.</t>
        </r>
      </text>
    </comment>
    <comment ref="A12" authorId="0">
      <text>
        <r>
          <rPr>
            <b/>
            <sz val="8"/>
            <color indexed="81"/>
            <rFont val="Tahoma"/>
            <family val="2"/>
          </rPr>
          <t>Enter the seed list that you want to use.</t>
        </r>
      </text>
    </comment>
    <comment ref="I12" authorId="0">
      <text>
        <r>
          <rPr>
            <b/>
            <sz val="8"/>
            <color indexed="81"/>
            <rFont val="Tahoma"/>
            <family val="2"/>
          </rPr>
          <t>Enter the spacing of the drill or a blank if the seed will be broadcast or aerially seeded.</t>
        </r>
      </text>
    </comment>
    <comment ref="A13" authorId="0">
      <text>
        <r>
          <rPr>
            <b/>
            <sz val="8"/>
            <color indexed="81"/>
            <rFont val="Tahoma"/>
            <family val="2"/>
          </rPr>
          <t>Enter a "Y" (Yes) if the seed will be broadcast or aerial seeded or a "N" (No) if the seed will be drilled.</t>
        </r>
      </text>
    </comment>
    <comment ref="D13" authorId="0">
      <text>
        <r>
          <rPr>
            <b/>
            <sz val="8"/>
            <color indexed="81"/>
            <rFont val="Tahoma"/>
            <family val="2"/>
          </rPr>
          <t>Indicate if the site is irrigated or dry.</t>
        </r>
      </text>
    </comment>
    <comment ref="G13" authorId="0">
      <text>
        <r>
          <rPr>
            <b/>
            <sz val="8"/>
            <color indexed="81"/>
            <rFont val="Tahoma"/>
            <family val="2"/>
          </rPr>
          <t xml:space="preserve">Enter any soil limitations on the site to be seeded.  Soil limitations may be shown for both dry and irrigated sites. </t>
        </r>
      </text>
    </comment>
    <comment ref="K13" authorId="1">
      <text>
        <r>
          <rPr>
            <b/>
            <sz val="8"/>
            <color indexed="81"/>
            <rFont val="Tahoma"/>
            <family val="2"/>
          </rPr>
          <t>Enter whether you would like seeds/linear foot of row to be calculated on PLS or Bulk rate basis.</t>
        </r>
      </text>
    </comment>
  </commentList>
</comments>
</file>

<file path=xl/sharedStrings.xml><?xml version="1.0" encoding="utf-8"?>
<sst xmlns="http://schemas.openxmlformats.org/spreadsheetml/2006/main" count="1872" uniqueCount="558">
  <si>
    <t xml:space="preserve">Name:  </t>
  </si>
  <si>
    <t>Planned by:</t>
  </si>
  <si>
    <t>Cooperator:</t>
  </si>
  <si>
    <t xml:space="preserve">Field No.(s):  </t>
  </si>
  <si>
    <t>1-2 inches</t>
  </si>
  <si>
    <t>Feb 15 - Mar 15</t>
  </si>
  <si>
    <t>Mar 15 - Apr 15</t>
  </si>
  <si>
    <t>Aug 15 - Sept 15</t>
  </si>
  <si>
    <t>Dormant Seeding</t>
  </si>
  <si>
    <t>Amount</t>
  </si>
  <si>
    <t>Timing</t>
  </si>
  <si>
    <t xml:space="preserve"> </t>
  </si>
  <si>
    <t>Kind</t>
  </si>
  <si>
    <t>Manure</t>
  </si>
  <si>
    <t>Pre-plant</t>
  </si>
  <si>
    <t>Pre-emergence</t>
  </si>
  <si>
    <t>Post-emergence</t>
  </si>
  <si>
    <t>Broadcast</t>
  </si>
  <si>
    <t>Aerial</t>
  </si>
  <si>
    <t>Method of Application</t>
  </si>
  <si>
    <t>Method of Incorporation</t>
  </si>
  <si>
    <t>Plowed in</t>
  </si>
  <si>
    <t>Disced in</t>
  </si>
  <si>
    <t>Seeding Method</t>
  </si>
  <si>
    <t>Aerial Seeding</t>
  </si>
  <si>
    <t>Drilled</t>
  </si>
  <si>
    <t xml:space="preserve">Purpose(s):  </t>
  </si>
  <si>
    <t>Purpose(s)</t>
  </si>
  <si>
    <t>200 lbs/ac</t>
  </si>
  <si>
    <t>Name</t>
  </si>
  <si>
    <t>Alfalfa</t>
  </si>
  <si>
    <t>N</t>
  </si>
  <si>
    <t>Birdsfoot Trefoil</t>
  </si>
  <si>
    <t>Cicer Milkvetch</t>
  </si>
  <si>
    <t>Fourwing Saltbush</t>
  </si>
  <si>
    <t>Winterfat</t>
  </si>
  <si>
    <t>Specie</t>
  </si>
  <si>
    <t>Percent of mix</t>
  </si>
  <si>
    <t>Seeding Rate</t>
  </si>
  <si>
    <t>Average Purity</t>
  </si>
  <si>
    <t>Seeding Date</t>
  </si>
  <si>
    <t>(%)</t>
  </si>
  <si>
    <t>(lbs/ac)</t>
  </si>
  <si>
    <t>Forage Kochia</t>
  </si>
  <si>
    <t>Yellow Sweetclover</t>
  </si>
  <si>
    <t>Sainfoin</t>
  </si>
  <si>
    <t>Lewis Flax</t>
  </si>
  <si>
    <t>Small Burnet</t>
  </si>
  <si>
    <t>Kentucky Bluegrass</t>
  </si>
  <si>
    <t>Orchardgrass</t>
  </si>
  <si>
    <t>Timothy</t>
  </si>
  <si>
    <t>Mountain Lupine</t>
  </si>
  <si>
    <t>Chokecherry</t>
  </si>
  <si>
    <t>Western Yarrow</t>
  </si>
  <si>
    <t>Antelope Bitterbrush</t>
  </si>
  <si>
    <t>Shadscale</t>
  </si>
  <si>
    <t>Snowberry</t>
  </si>
  <si>
    <t>Skunkbush Sumac</t>
  </si>
  <si>
    <t>Incorporation</t>
  </si>
  <si>
    <t>No-till Drill</t>
  </si>
  <si>
    <t>Air Seeder</t>
  </si>
  <si>
    <t>Broadcast Seeder</t>
  </si>
  <si>
    <t>Hand Seeder</t>
  </si>
  <si>
    <t>Double Disk Drill</t>
  </si>
  <si>
    <t>Hoe Drill</t>
  </si>
  <si>
    <t>1/4 -1/2 inch</t>
  </si>
  <si>
    <t>1/2 -1 inch</t>
  </si>
  <si>
    <t>On surface</t>
  </si>
  <si>
    <t>Airplane</t>
  </si>
  <si>
    <t>NRCS-UT</t>
  </si>
  <si>
    <t xml:space="preserve">Acres: </t>
  </si>
  <si>
    <t xml:space="preserve">Date: </t>
  </si>
  <si>
    <t xml:space="preserve">Seedbed Preparation:  </t>
  </si>
  <si>
    <t>Planting Information</t>
  </si>
  <si>
    <t xml:space="preserve">Field Office: </t>
  </si>
  <si>
    <t>Field Office</t>
  </si>
  <si>
    <t>Randolph</t>
  </si>
  <si>
    <t>Logan</t>
  </si>
  <si>
    <t>Tremonton</t>
  </si>
  <si>
    <t>Ogden</t>
  </si>
  <si>
    <t>Coalville</t>
  </si>
  <si>
    <t>Tooele</t>
  </si>
  <si>
    <t>Murray</t>
  </si>
  <si>
    <t>Provo</t>
  </si>
  <si>
    <t>Heber</t>
  </si>
  <si>
    <t>Nephi</t>
  </si>
  <si>
    <t>Manti</t>
  </si>
  <si>
    <t>Fillmore</t>
  </si>
  <si>
    <t>Beaver</t>
  </si>
  <si>
    <t>Cedar City</t>
  </si>
  <si>
    <t>St. George</t>
  </si>
  <si>
    <t>Panguitch</t>
  </si>
  <si>
    <t>Vernal</t>
  </si>
  <si>
    <t>Roosevelt</t>
  </si>
  <si>
    <t>Price</t>
  </si>
  <si>
    <t>Monticello</t>
  </si>
  <si>
    <t>Castle Dale</t>
  </si>
  <si>
    <t>Richfield</t>
  </si>
  <si>
    <t>Foliar Appl.</t>
  </si>
  <si>
    <t>Starter Fert.</t>
  </si>
  <si>
    <t>Sept 15 - Oct 15</t>
  </si>
  <si>
    <t>After Oct 15</t>
  </si>
  <si>
    <t>Spring</t>
  </si>
  <si>
    <t>Fall</t>
  </si>
  <si>
    <t>Single Disc Drill</t>
  </si>
  <si>
    <t>2-4 inches</t>
  </si>
  <si>
    <t xml:space="preserve">Method: </t>
  </si>
  <si>
    <t xml:space="preserve">Equipment: </t>
  </si>
  <si>
    <t>Seeding Depth</t>
  </si>
  <si>
    <t>Planting Equipment</t>
  </si>
  <si>
    <t>Injected in Irrigation Water</t>
  </si>
  <si>
    <t>Dripped in Irrigation Water</t>
  </si>
  <si>
    <t>Incorp. w/Irrig. Water</t>
  </si>
  <si>
    <t>Not Incorporated</t>
  </si>
  <si>
    <t>Tract 2500, Fields 1-5</t>
  </si>
  <si>
    <t>Seedbed will be plowed, disced, and leveled prior to planting.  Seedbed should be</t>
  </si>
  <si>
    <t>free of weeds and firm enough to leave no more than a 1/2 inch shoe print.</t>
  </si>
  <si>
    <t>Seeds/lb</t>
  </si>
  <si>
    <t>Erect</t>
  </si>
  <si>
    <t>Med</t>
  </si>
  <si>
    <t>Bunch</t>
  </si>
  <si>
    <t>Long</t>
  </si>
  <si>
    <t>Short</t>
  </si>
  <si>
    <t>Shrub</t>
  </si>
  <si>
    <t>Sod</t>
  </si>
  <si>
    <t>Crownvetch</t>
  </si>
  <si>
    <t>Prostrate</t>
  </si>
  <si>
    <t>Half Shrub</t>
  </si>
  <si>
    <t>Globemallow</t>
  </si>
  <si>
    <t>Golden Current</t>
  </si>
  <si>
    <t>Average Germ.</t>
  </si>
  <si>
    <t>Potash (0-0-60)</t>
  </si>
  <si>
    <t>Treble Super P (0-45-0)</t>
  </si>
  <si>
    <t>Mono Ammon. P (11-52-0)</t>
  </si>
  <si>
    <t>Ammon. Nitrate (34-0-0)</t>
  </si>
  <si>
    <t>Urea (45-0-0)</t>
  </si>
  <si>
    <t>Anhyd. Ammon. (80-0-0)</t>
  </si>
  <si>
    <t xml:space="preserve">Planner: </t>
  </si>
  <si>
    <r>
      <t>Seeds/ft</t>
    </r>
    <r>
      <rPr>
        <b/>
        <vertAlign val="superscript"/>
        <sz val="9"/>
        <rFont val="Times New Roman"/>
        <family val="1"/>
      </rPr>
      <t>2</t>
    </r>
    <r>
      <rPr>
        <b/>
        <sz val="9"/>
        <rFont val="Times New Roman"/>
        <family val="1"/>
      </rPr>
      <t xml:space="preserve"> @ 1lb/ac</t>
    </r>
  </si>
  <si>
    <r>
      <t>Target Seeds/ft</t>
    </r>
    <r>
      <rPr>
        <b/>
        <vertAlign val="superscript"/>
        <sz val="9"/>
        <rFont val="Times New Roman"/>
        <family val="1"/>
      </rPr>
      <t>2</t>
    </r>
  </si>
  <si>
    <t>Cost/lb B or P</t>
  </si>
  <si>
    <t>Bulk/PLS</t>
  </si>
  <si>
    <t>Native  (N)</t>
  </si>
  <si>
    <t>Precip.</t>
  </si>
  <si>
    <t>Soil</t>
  </si>
  <si>
    <t>Depth</t>
  </si>
  <si>
    <t>Char.</t>
  </si>
  <si>
    <t>Long.</t>
  </si>
  <si>
    <t>B</t>
  </si>
  <si>
    <t>8+</t>
  </si>
  <si>
    <t>sil-sl</t>
  </si>
  <si>
    <t>1/8-1/2</t>
  </si>
  <si>
    <t>P</t>
  </si>
  <si>
    <t>10+</t>
  </si>
  <si>
    <t>cl-sl</t>
  </si>
  <si>
    <t>1/4-1/2</t>
  </si>
  <si>
    <t>Balsamroot, Arrowleaf</t>
  </si>
  <si>
    <t>Bee Spiderflower</t>
  </si>
  <si>
    <t>18+</t>
  </si>
  <si>
    <t>c-s</t>
  </si>
  <si>
    <t>Bluegrass, Big</t>
  </si>
  <si>
    <t>9-18</t>
  </si>
  <si>
    <t>Brome, Meadow</t>
  </si>
  <si>
    <t>14+</t>
  </si>
  <si>
    <t>c-sl</t>
  </si>
  <si>
    <t>Brome, Mountain</t>
  </si>
  <si>
    <t>16+</t>
  </si>
  <si>
    <t>Brome, Smooth</t>
  </si>
  <si>
    <t>Buffaloberry, Silver</t>
  </si>
  <si>
    <t>12-20</t>
  </si>
  <si>
    <t>plant</t>
  </si>
  <si>
    <t>Canarygrass, Reed</t>
  </si>
  <si>
    <t>12+</t>
  </si>
  <si>
    <t>sil-s</t>
  </si>
  <si>
    <t>15+</t>
  </si>
  <si>
    <t>c-l</t>
  </si>
  <si>
    <t>1/4-3/4</t>
  </si>
  <si>
    <t>Clover, Alsike</t>
  </si>
  <si>
    <t>wet</t>
  </si>
  <si>
    <t>1/8-1/4</t>
  </si>
  <si>
    <t>Clover, Red</t>
  </si>
  <si>
    <t>1/4-1</t>
  </si>
  <si>
    <t>Clover, Strawberry</t>
  </si>
  <si>
    <t>wet/saline</t>
  </si>
  <si>
    <t>Clover, White</t>
  </si>
  <si>
    <t>wet/cl-sil</t>
  </si>
  <si>
    <t>21+</t>
  </si>
  <si>
    <t>Dropseed, Sand</t>
  </si>
  <si>
    <t>8-12</t>
  </si>
  <si>
    <t>l-s</t>
  </si>
  <si>
    <t>Fescue, Hard</t>
  </si>
  <si>
    <t>Fescue, Red</t>
  </si>
  <si>
    <t>Fescue, Sheep</t>
  </si>
  <si>
    <t>Fescue, Tall</t>
  </si>
  <si>
    <t>saline</t>
  </si>
  <si>
    <t>0-1/4</t>
  </si>
  <si>
    <t>8-16</t>
  </si>
  <si>
    <t>0-1/8</t>
  </si>
  <si>
    <t>rocky</t>
  </si>
  <si>
    <t>8-20</t>
  </si>
  <si>
    <t>Penstemon, Palmer</t>
  </si>
  <si>
    <t>Penstemon, Rocky Mtn.</t>
  </si>
  <si>
    <t>Rabbitbrush, Rubber</t>
  </si>
  <si>
    <t>Ricegrass, Indian</t>
  </si>
  <si>
    <t>1/2-3</t>
  </si>
  <si>
    <t>Ryegrass, Perennial</t>
  </si>
  <si>
    <t>0-1/2</t>
  </si>
  <si>
    <t>Sagebrush, Mountain</t>
  </si>
  <si>
    <t>Sagebrush, Wyoming Big</t>
  </si>
  <si>
    <t>Serviceberry, Saskatoon</t>
  </si>
  <si>
    <t>course</t>
  </si>
  <si>
    <t>Squirreltail, Bottlebrush</t>
  </si>
  <si>
    <t>Sweetvetch, Utah</t>
  </si>
  <si>
    <t>Wheatgrass, Bluebunch</t>
  </si>
  <si>
    <t>Wheatgrass, Crest. (Fairway)</t>
  </si>
  <si>
    <t>Wheatgrass, Intermediate</t>
  </si>
  <si>
    <t>Wheatgrass, NewHy</t>
  </si>
  <si>
    <t>Wheatgrass, Pubescent</t>
  </si>
  <si>
    <t>11+</t>
  </si>
  <si>
    <t>Wheatgrass, Slender</t>
  </si>
  <si>
    <t>Wheatgrass, Streambank</t>
  </si>
  <si>
    <t>Wheatgrass, Tall</t>
  </si>
  <si>
    <t>Wheatgrass, Thickspike</t>
  </si>
  <si>
    <t>Wheatgrass, Western</t>
  </si>
  <si>
    <t>Wildrye, Altai</t>
  </si>
  <si>
    <t>Wildrye, Great Basin</t>
  </si>
  <si>
    <t>Wildrye, Russian</t>
  </si>
  <si>
    <t>*Average purity, germination, and approximate cost can be changed based on actual values.</t>
  </si>
  <si>
    <t>**Purity, germ., &amp; costs obtained Feb 2002 - Pawnee Buttes Seed, Inc. Greeley, CO. (1-800-782-5947)</t>
  </si>
  <si>
    <t>Plant Materials Selection and Information</t>
  </si>
  <si>
    <t>Cost of Seed/lb</t>
  </si>
  <si>
    <t>Cost of Mix/ac</t>
  </si>
  <si>
    <t>(PLS lbs/ac)</t>
  </si>
  <si>
    <t>($B or P)</t>
  </si>
  <si>
    <t>($)</t>
  </si>
  <si>
    <t>Totals:</t>
  </si>
  <si>
    <t xml:space="preserve">Drill Spacing: </t>
  </si>
  <si>
    <r>
      <t xml:space="preserve">           </t>
    </r>
    <r>
      <rPr>
        <i/>
        <sz val="10"/>
        <rFont val="Times New Roman"/>
        <family val="1"/>
      </rPr>
      <t>Refer to the tab labeled "Seed List" for additional plant material information</t>
    </r>
  </si>
  <si>
    <t>Method of Fertilizer Application:</t>
  </si>
  <si>
    <t>Banded</t>
  </si>
  <si>
    <t>Certification</t>
  </si>
  <si>
    <t>Seed Characteristics and Seeding Information</t>
  </si>
  <si>
    <t>Varieties</t>
  </si>
  <si>
    <t>FD 1-2</t>
  </si>
  <si>
    <t>FD 2-3</t>
  </si>
  <si>
    <t>FD 3-5</t>
  </si>
  <si>
    <t>FD 5-8</t>
  </si>
  <si>
    <t>Ladak</t>
  </si>
  <si>
    <t>Wrangler</t>
  </si>
  <si>
    <t>Fountain</t>
  </si>
  <si>
    <t>Green</t>
  </si>
  <si>
    <t>Maybell</t>
  </si>
  <si>
    <t>Beeplant/Spiderflower</t>
  </si>
  <si>
    <t>Maitland</t>
  </si>
  <si>
    <t>Sherman</t>
  </si>
  <si>
    <t>Regar</t>
  </si>
  <si>
    <t>Fleet</t>
  </si>
  <si>
    <t>Paddock</t>
  </si>
  <si>
    <t>Bromar</t>
  </si>
  <si>
    <t>Manchar</t>
  </si>
  <si>
    <t>Lincoln</t>
  </si>
  <si>
    <t>Sakakawea</t>
  </si>
  <si>
    <t>Rise</t>
  </si>
  <si>
    <t>Venture</t>
  </si>
  <si>
    <t>Palaton</t>
  </si>
  <si>
    <t>Lutana</t>
  </si>
  <si>
    <t>Monarch</t>
  </si>
  <si>
    <t>Kenland</t>
  </si>
  <si>
    <t>Dollard</t>
  </si>
  <si>
    <t>Redman</t>
  </si>
  <si>
    <t>Reddy</t>
  </si>
  <si>
    <t>Salina</t>
  </si>
  <si>
    <t>Ladino</t>
  </si>
  <si>
    <t>Grassland</t>
  </si>
  <si>
    <t>New York</t>
  </si>
  <si>
    <t>Dawson</t>
  </si>
  <si>
    <t>Recent</t>
  </si>
  <si>
    <t>Covar</t>
  </si>
  <si>
    <t>Durar</t>
  </si>
  <si>
    <t>Alta</t>
  </si>
  <si>
    <t>Fawn</t>
  </si>
  <si>
    <t>Forager</t>
  </si>
  <si>
    <t>Johnstone</t>
  </si>
  <si>
    <t>Immigrant</t>
  </si>
  <si>
    <t>Rincon</t>
  </si>
  <si>
    <t>Scarlet</t>
  </si>
  <si>
    <t>Munroe</t>
  </si>
  <si>
    <t>Montane</t>
  </si>
  <si>
    <t>Latar</t>
  </si>
  <si>
    <t>Paiute</t>
  </si>
  <si>
    <t>Potomac</t>
  </si>
  <si>
    <t>Cedar</t>
  </si>
  <si>
    <t>Bandera</t>
  </si>
  <si>
    <t>Nezpar</t>
  </si>
  <si>
    <t>Paloma</t>
  </si>
  <si>
    <t>Rimrock</t>
  </si>
  <si>
    <t>Salado</t>
  </si>
  <si>
    <t>Saltalk</t>
  </si>
  <si>
    <t>Hobble Creek</t>
  </si>
  <si>
    <t>Gordon Creek</t>
  </si>
  <si>
    <t>Remont</t>
  </si>
  <si>
    <t>Renumex</t>
  </si>
  <si>
    <t>6-16</t>
  </si>
  <si>
    <t>Bighorn</t>
  </si>
  <si>
    <t>Delar</t>
  </si>
  <si>
    <t>Sand Hollow</t>
  </si>
  <si>
    <t>Timp</t>
  </si>
  <si>
    <t>Climax</t>
  </si>
  <si>
    <t>Mohawk</t>
  </si>
  <si>
    <t>Goldar</t>
  </si>
  <si>
    <t>Fairway</t>
  </si>
  <si>
    <t>Hycrest</t>
  </si>
  <si>
    <t>Nordan</t>
  </si>
  <si>
    <t>Oahe</t>
  </si>
  <si>
    <t>Tegmar</t>
  </si>
  <si>
    <t>Reliant</t>
  </si>
  <si>
    <t>Manska</t>
  </si>
  <si>
    <t>Rush</t>
  </si>
  <si>
    <t>NewHy</t>
  </si>
  <si>
    <t>Luna</t>
  </si>
  <si>
    <t>Wheatgrass, Siberian</t>
  </si>
  <si>
    <t>Vavilov</t>
  </si>
  <si>
    <t>P-27</t>
  </si>
  <si>
    <t>Revenue</t>
  </si>
  <si>
    <t>Pryor</t>
  </si>
  <si>
    <t>San Luis</t>
  </si>
  <si>
    <t>Alkar</t>
  </si>
  <si>
    <t>Jose</t>
  </si>
  <si>
    <t>Largo</t>
  </si>
  <si>
    <t>Platte</t>
  </si>
  <si>
    <t>Bannock</t>
  </si>
  <si>
    <t>Critana</t>
  </si>
  <si>
    <t>Elbee</t>
  </si>
  <si>
    <t>Schwendimar</t>
  </si>
  <si>
    <t>Barton</t>
  </si>
  <si>
    <t>Rosana</t>
  </si>
  <si>
    <t>Arriba</t>
  </si>
  <si>
    <t>Rodan</t>
  </si>
  <si>
    <t>Flintlock</t>
  </si>
  <si>
    <t>Walsh</t>
  </si>
  <si>
    <t>Prairieland</t>
  </si>
  <si>
    <t>Eejay</t>
  </si>
  <si>
    <t>Pearl</t>
  </si>
  <si>
    <t>Magnar</t>
  </si>
  <si>
    <t>Trailhead</t>
  </si>
  <si>
    <t>Bozoisky</t>
  </si>
  <si>
    <t>Mankota</t>
  </si>
  <si>
    <t>Hatch</t>
  </si>
  <si>
    <t>Seeds/    linear ft of Row</t>
  </si>
  <si>
    <t xml:space="preserve">Broadcast: </t>
  </si>
  <si>
    <t xml:space="preserve">Soil Limitations: </t>
  </si>
  <si>
    <t>None</t>
  </si>
  <si>
    <t>Species</t>
  </si>
  <si>
    <t>Variety</t>
  </si>
  <si>
    <t>PLS Rate (lbs/ac)</t>
  </si>
  <si>
    <t>Bulk Rate (lbs/ac)</t>
  </si>
  <si>
    <t>*Total Rate to be Seeded:</t>
  </si>
  <si>
    <t>Yes/No</t>
  </si>
  <si>
    <t>Y</t>
  </si>
  <si>
    <t>Soil Limitations</t>
  </si>
  <si>
    <t>Clayey</t>
  </si>
  <si>
    <t>Gravelly</t>
  </si>
  <si>
    <t>Saline</t>
  </si>
  <si>
    <t>Sandy</t>
  </si>
  <si>
    <t>Shallow</t>
  </si>
  <si>
    <t>Watertable</t>
  </si>
  <si>
    <t>Irrigated</t>
  </si>
  <si>
    <t>Soil Limitations:</t>
  </si>
  <si>
    <t>Depth:</t>
  </si>
  <si>
    <t>Date:</t>
  </si>
  <si>
    <t>Precip:</t>
  </si>
  <si>
    <t>Soil(s):</t>
  </si>
  <si>
    <t>Steptoe</t>
  </si>
  <si>
    <t>Wheat, Spring</t>
  </si>
  <si>
    <t>Wheat, Winter</t>
  </si>
  <si>
    <t>Oats</t>
  </si>
  <si>
    <t>Sudangrass</t>
  </si>
  <si>
    <t>Cattail</t>
  </si>
  <si>
    <t>Hairgrass, Tufted</t>
  </si>
  <si>
    <t>Saltgrass, Inland</t>
  </si>
  <si>
    <t>Sloughgrass</t>
  </si>
  <si>
    <t>Bulrush, Alkali</t>
  </si>
  <si>
    <t>Bulrush, Hardstem</t>
  </si>
  <si>
    <t>Bear Lake</t>
  </si>
  <si>
    <t>Bear River</t>
  </si>
  <si>
    <t>Stillwater</t>
  </si>
  <si>
    <t>Fort Boise</t>
  </si>
  <si>
    <t>Ogden Bay</t>
  </si>
  <si>
    <t>Camas</t>
  </si>
  <si>
    <t>Hagerman</t>
  </si>
  <si>
    <t>Rate Calculation</t>
  </si>
  <si>
    <t>Bulk</t>
  </si>
  <si>
    <t>PLS</t>
  </si>
  <si>
    <t>Seed (lbs)</t>
  </si>
  <si>
    <t>Total</t>
  </si>
  <si>
    <t>Clover, Ladino</t>
  </si>
  <si>
    <t>Sacaton, Alkali</t>
  </si>
  <si>
    <t>1/8 -1/4 inch</t>
  </si>
  <si>
    <t>Saline Rate</t>
  </si>
  <si>
    <t>Clayey Rate</t>
  </si>
  <si>
    <t>S/G/S Rate</t>
  </si>
  <si>
    <t>Annual</t>
  </si>
  <si>
    <t>Rush, Baltic</t>
  </si>
  <si>
    <t>Rush, Spike</t>
  </si>
  <si>
    <t>Plugs</t>
  </si>
  <si>
    <t>Sedge, Beaked</t>
  </si>
  <si>
    <t>Sedge, Nebraska</t>
  </si>
  <si>
    <t>Sedge, Water</t>
  </si>
  <si>
    <t>1-2</t>
  </si>
  <si>
    <t>Barley, Spring</t>
  </si>
  <si>
    <t>Walker</t>
  </si>
  <si>
    <t>Rollo</t>
  </si>
  <si>
    <t>Schuyler</t>
  </si>
  <si>
    <t>Bracken</t>
  </si>
  <si>
    <t>Statehood</t>
  </si>
  <si>
    <t>Brigham</t>
  </si>
  <si>
    <t>Monida</t>
  </si>
  <si>
    <t>Cayuse</t>
  </si>
  <si>
    <t>Otana</t>
  </si>
  <si>
    <t>Rick</t>
  </si>
  <si>
    <t>Fieldwin</t>
  </si>
  <si>
    <t>Fremont</t>
  </si>
  <si>
    <t>Promontory</t>
  </si>
  <si>
    <t>Garland</t>
  </si>
  <si>
    <t>Nugaines</t>
  </si>
  <si>
    <t>Daws</t>
  </si>
  <si>
    <t>Lambert</t>
  </si>
  <si>
    <t>Lewjain</t>
  </si>
  <si>
    <t>Meridian</t>
  </si>
  <si>
    <t>Sterling</t>
  </si>
  <si>
    <t>Roswell</t>
  </si>
  <si>
    <t>Railroad Valley</t>
  </si>
  <si>
    <t>Centennial</t>
  </si>
  <si>
    <t>Ruby Lake</t>
  </si>
  <si>
    <t>Modoc</t>
  </si>
  <si>
    <t>Spikerush, Creeping</t>
  </si>
  <si>
    <t>Malheur</t>
  </si>
  <si>
    <t>Mud Lake</t>
  </si>
  <si>
    <t>CJ Strike</t>
  </si>
  <si>
    <t>Needle and thread</t>
  </si>
  <si>
    <t>Troy</t>
  </si>
  <si>
    <t>Garnet</t>
  </si>
  <si>
    <t>Garrison</t>
  </si>
  <si>
    <t>Foxtail, Creeping</t>
  </si>
  <si>
    <t>Galleta</t>
  </si>
  <si>
    <t>Viva</t>
  </si>
  <si>
    <t>Peru Creek</t>
  </si>
  <si>
    <t>Douglas</t>
  </si>
  <si>
    <t>Summit</t>
  </si>
  <si>
    <t>Sodar</t>
  </si>
  <si>
    <t>Windsor</t>
  </si>
  <si>
    <t>Melrose</t>
  </si>
  <si>
    <t>Appar</t>
  </si>
  <si>
    <t>Rocky Mountain Juniper</t>
  </si>
  <si>
    <t>B ridger Select</t>
  </si>
  <si>
    <t>Fescue, Idaho</t>
  </si>
  <si>
    <t>Joseph</t>
  </si>
  <si>
    <t>Nezpurs</t>
  </si>
  <si>
    <t>Wildrye, Beardless</t>
  </si>
  <si>
    <t>Wildrye, Mammoth</t>
  </si>
  <si>
    <t>Shoshone</t>
  </si>
  <si>
    <t>Volga</t>
  </si>
  <si>
    <t>ls-s</t>
  </si>
  <si>
    <t>Swift</t>
  </si>
  <si>
    <t>Aurora</t>
  </si>
  <si>
    <t>Eski</t>
  </si>
  <si>
    <t>Madrid</t>
  </si>
  <si>
    <t>Bareroot</t>
  </si>
  <si>
    <t>Dogwood, Redosier</t>
  </si>
  <si>
    <t>moist</t>
  </si>
  <si>
    <t>Mountain Mahogony</t>
  </si>
  <si>
    <t>Austrian Winter Peas</t>
  </si>
  <si>
    <t>Full/Irr. Rate</t>
  </si>
  <si>
    <t>Bentgrass, Creeping</t>
  </si>
  <si>
    <t>Putter</t>
  </si>
  <si>
    <t>Penncross</t>
  </si>
  <si>
    <t>Seaside</t>
  </si>
  <si>
    <t>25+</t>
  </si>
  <si>
    <t>Mannagrass, Western</t>
  </si>
  <si>
    <t>Fults</t>
  </si>
  <si>
    <t>Alkaligrass</t>
  </si>
  <si>
    <t>Triticale</t>
  </si>
  <si>
    <t>20+</t>
  </si>
  <si>
    <t>Wheatgrass, Beardless</t>
  </si>
  <si>
    <t>Irrigation Lookup</t>
  </si>
  <si>
    <t>Limitations Lookup</t>
  </si>
  <si>
    <t>Combined Score</t>
  </si>
  <si>
    <t>Broadcast Lookup</t>
  </si>
  <si>
    <r>
      <t xml:space="preserve">           </t>
    </r>
    <r>
      <rPr>
        <i/>
        <sz val="10"/>
        <rFont val="Times New Roman"/>
        <family val="1"/>
      </rPr>
      <t>Irrig. Seed. Rate (lbs/ac)=(Irrig. Seed. Rate w or w/out limitations)X(% of mix)/(%germ)/(%purity)</t>
    </r>
  </si>
  <si>
    <r>
      <t>Note: Dry Seeding Rate (lbs/ac)=(Target Seeds/ft</t>
    </r>
    <r>
      <rPr>
        <i/>
        <vertAlign val="superscript"/>
        <sz val="10"/>
        <rFont val="Times New Roman"/>
        <family val="1"/>
      </rPr>
      <t>2</t>
    </r>
    <r>
      <rPr>
        <i/>
        <sz val="10"/>
        <rFont val="Times New Roman"/>
        <family val="1"/>
      </rPr>
      <t>)X(Seeds per lb)X(43560)/(% of mix)/(%germ)/(%purity)</t>
    </r>
  </si>
  <si>
    <t>Seed Lists</t>
  </si>
  <si>
    <t>Seed List</t>
  </si>
  <si>
    <t>Seed List Lookup</t>
  </si>
  <si>
    <t>Schubert</t>
  </si>
  <si>
    <t>Kent Wild</t>
  </si>
  <si>
    <t>Chemung</t>
  </si>
  <si>
    <t>Emerald</t>
  </si>
  <si>
    <t>Penngift</t>
  </si>
  <si>
    <t>Snake River</t>
  </si>
  <si>
    <t>Dan</t>
  </si>
  <si>
    <t>Mountain</t>
  </si>
  <si>
    <t>Snowbar</t>
  </si>
  <si>
    <t>P-7</t>
  </si>
  <si>
    <t>Secar Snake</t>
  </si>
  <si>
    <t>CD-II</t>
  </si>
  <si>
    <t>Ephraim</t>
  </si>
  <si>
    <t>Kirk</t>
  </si>
  <si>
    <t>Parkway</t>
  </si>
  <si>
    <t>Ruff</t>
  </si>
  <si>
    <t>Amur</t>
  </si>
  <si>
    <t>Greenleaf</t>
  </si>
  <si>
    <t>Northern Cold Desert</t>
  </si>
  <si>
    <t>Penstemon, Firecracker</t>
  </si>
  <si>
    <t>Med.</t>
  </si>
  <si>
    <t>fsl-s</t>
  </si>
  <si>
    <t>limy</t>
  </si>
  <si>
    <t>Broadcast/Limitation Modifier</t>
  </si>
  <si>
    <t>Limitations Final Score</t>
  </si>
  <si>
    <t>Table Lookup</t>
  </si>
  <si>
    <t>WaTbl/WetMd</t>
  </si>
  <si>
    <t>Irrigated/Dry</t>
  </si>
  <si>
    <t>Dry</t>
  </si>
  <si>
    <t xml:space="preserve">Irrigated/Dry: </t>
  </si>
  <si>
    <t>30-35</t>
  </si>
  <si>
    <r>
      <t>Target Seeds/ft</t>
    </r>
    <r>
      <rPr>
        <b/>
        <vertAlign val="superscript"/>
        <sz val="10"/>
        <rFont val="Times New Roman"/>
        <family val="1"/>
      </rPr>
      <t xml:space="preserve">2 </t>
    </r>
    <r>
      <rPr>
        <b/>
        <sz val="10"/>
        <rFont val="Times New Roman"/>
        <family val="1"/>
      </rPr>
      <t>Dry</t>
    </r>
  </si>
  <si>
    <t xml:space="preserve">PLS/B: </t>
  </si>
  <si>
    <t>COVER CROP</t>
  </si>
  <si>
    <t>SPECIFICATION SHEET (340)</t>
  </si>
  <si>
    <t>Reduce erosion from wind and water</t>
  </si>
  <si>
    <t>Increase soil organic matter</t>
  </si>
  <si>
    <t>Promote biological nitrogen fixation</t>
  </si>
  <si>
    <t>Increase biodiversity</t>
  </si>
  <si>
    <t>Weed suppression</t>
  </si>
  <si>
    <t>Provide supplemental forage</t>
  </si>
  <si>
    <t>Soil moisture management</t>
  </si>
  <si>
    <t xml:space="preserve">Cover Type: </t>
  </si>
  <si>
    <t>Barley, Winter</t>
  </si>
  <si>
    <t>Ryegrass, Annual</t>
  </si>
  <si>
    <t>Legumes</t>
  </si>
  <si>
    <t>Grasses</t>
  </si>
  <si>
    <t>Annuals</t>
  </si>
  <si>
    <t>Mixture</t>
  </si>
  <si>
    <t>1/2-1</t>
  </si>
  <si>
    <t>Management of Cover Crop after Establishment</t>
  </si>
  <si>
    <t>The cover crop will be maintained through mid April for wind erosion control.  Pests (i.e. insects, weeds, rodents) will be controlled through integrated pest management practices.</t>
  </si>
  <si>
    <t>Termination of Cover Crop</t>
  </si>
  <si>
    <t>Roundup will be applied to kill the crop seven days prior to seeding of the vegetable crop.  Vegetables will be seeded into the existing dead residue.</t>
  </si>
  <si>
    <t>Vegetable Grower</t>
  </si>
  <si>
    <t>Fine Sandy Loam</t>
  </si>
  <si>
    <t xml:space="preserve">Veg E. Man </t>
  </si>
  <si>
    <t>12-18</t>
  </si>
  <si>
    <t>Wheatgrass, Crest. (Hycrest)</t>
  </si>
  <si>
    <t>Wheatgrass, Crest. (Nordan)</t>
  </si>
  <si>
    <t xml:space="preserve">I agree to the installation and maintenance of this practice as outlined.  </t>
  </si>
  <si>
    <t>This specification meets NRCS standards.</t>
  </si>
  <si>
    <t>This practice is applied to  NRCS Specifications.</t>
  </si>
  <si>
    <t>Planner:</t>
  </si>
  <si>
    <t>December 2011</t>
  </si>
</sst>
</file>

<file path=xl/styles.xml><?xml version="1.0" encoding="utf-8"?>
<styleSheet xmlns="http://schemas.openxmlformats.org/spreadsheetml/2006/main">
  <numFmts count="3">
    <numFmt numFmtId="164" formatCode="0.0"/>
    <numFmt numFmtId="166" formatCode="mmmm\ d\,\ yyyy"/>
    <numFmt numFmtId="167" formatCode="&quot;$&quot;#,##0.00"/>
  </numFmts>
  <fonts count="18">
    <font>
      <sz val="10"/>
      <name val="Times New Roman"/>
    </font>
    <font>
      <b/>
      <sz val="10"/>
      <name val="Times New Roman"/>
      <family val="1"/>
    </font>
    <font>
      <sz val="10"/>
      <name val="Times New Roman"/>
      <family val="1"/>
    </font>
    <font>
      <b/>
      <sz val="9"/>
      <name val="Times New Roman"/>
      <family val="1"/>
    </font>
    <font>
      <b/>
      <sz val="12"/>
      <color indexed="8"/>
      <name val="Times New Roman"/>
      <family val="1"/>
    </font>
    <font>
      <b/>
      <sz val="10"/>
      <color indexed="8"/>
      <name val="Times New Roman"/>
      <family val="1"/>
    </font>
    <font>
      <b/>
      <sz val="9"/>
      <color indexed="8"/>
      <name val="Times New Roman"/>
      <family val="1"/>
    </font>
    <font>
      <sz val="10"/>
      <color indexed="8"/>
      <name val="Times New Roman"/>
      <family val="1"/>
    </font>
    <font>
      <sz val="8"/>
      <color indexed="81"/>
      <name val="Tahoma"/>
      <family val="2"/>
    </font>
    <font>
      <b/>
      <sz val="8"/>
      <color indexed="81"/>
      <name val="Tahoma"/>
      <family val="2"/>
    </font>
    <font>
      <i/>
      <sz val="10"/>
      <name val="Times New Roman"/>
      <family val="1"/>
    </font>
    <font>
      <b/>
      <vertAlign val="superscript"/>
      <sz val="9"/>
      <name val="Times New Roman"/>
      <family val="1"/>
    </font>
    <font>
      <sz val="8"/>
      <color indexed="8"/>
      <name val="Times New Roman"/>
      <family val="1"/>
    </font>
    <font>
      <b/>
      <sz val="8"/>
      <name val="Times New Roman"/>
      <family val="1"/>
    </font>
    <font>
      <sz val="8"/>
      <name val="Times New Roman"/>
      <family val="1"/>
    </font>
    <font>
      <i/>
      <vertAlign val="superscript"/>
      <sz val="10"/>
      <name val="Times New Roman"/>
      <family val="1"/>
    </font>
    <font>
      <b/>
      <vertAlign val="superscript"/>
      <sz val="10"/>
      <name val="Times New Roman"/>
      <family val="1"/>
    </font>
    <font>
      <sz val="8"/>
      <name val="Times New Roman"/>
      <family val="1"/>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s>
  <borders count="4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88">
    <xf numFmtId="0" fontId="0" fillId="0" borderId="0" xfId="0"/>
    <xf numFmtId="0" fontId="2" fillId="0" borderId="0" xfId="0" applyFont="1"/>
    <xf numFmtId="0" fontId="2" fillId="0" borderId="1" xfId="0" applyFont="1" applyBorder="1"/>
    <xf numFmtId="3" fontId="2" fillId="0" borderId="2" xfId="0" applyNumberFormat="1" applyFont="1" applyBorder="1"/>
    <xf numFmtId="0" fontId="2" fillId="0" borderId="2" xfId="0" applyFont="1" applyBorder="1" applyAlignment="1">
      <alignment horizontal="center"/>
    </xf>
    <xf numFmtId="0" fontId="2" fillId="0" borderId="3" xfId="0" applyFont="1" applyBorder="1"/>
    <xf numFmtId="3" fontId="2" fillId="0" borderId="4" xfId="0" applyNumberFormat="1" applyFont="1" applyBorder="1"/>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Border="1"/>
    <xf numFmtId="3" fontId="2" fillId="0" borderId="0" xfId="0" applyNumberFormat="1" applyFont="1" applyBorder="1"/>
    <xf numFmtId="0" fontId="2" fillId="0" borderId="0" xfId="0" applyFont="1" applyBorder="1" applyAlignment="1">
      <alignment horizontal="center"/>
    </xf>
    <xf numFmtId="0" fontId="2" fillId="0" borderId="6" xfId="0" applyFont="1" applyBorder="1"/>
    <xf numFmtId="3" fontId="2" fillId="0" borderId="7" xfId="0" applyNumberFormat="1" applyFont="1" applyBorder="1"/>
    <xf numFmtId="0" fontId="2" fillId="0" borderId="7" xfId="0" applyFont="1" applyBorder="1" applyAlignment="1">
      <alignment horizontal="center"/>
    </xf>
    <xf numFmtId="0" fontId="2" fillId="0" borderId="8" xfId="0" applyFont="1" applyBorder="1" applyAlignment="1">
      <alignment horizontal="center"/>
    </xf>
    <xf numFmtId="0" fontId="7" fillId="2" borderId="9" xfId="0" applyFont="1" applyFill="1" applyBorder="1" applyAlignment="1">
      <alignment horizontal="center"/>
    </xf>
    <xf numFmtId="9" fontId="7" fillId="3" borderId="4" xfId="0" applyNumberFormat="1" applyFont="1" applyFill="1" applyBorder="1" applyAlignment="1" applyProtection="1">
      <alignment horizontal="center"/>
      <protection locked="0"/>
    </xf>
    <xf numFmtId="0" fontId="0" fillId="0" borderId="0" xfId="0" applyAlignment="1">
      <alignment vertical="center"/>
    </xf>
    <xf numFmtId="0" fontId="1" fillId="0" borderId="0" xfId="0" applyFont="1" applyAlignment="1">
      <alignment vertical="center"/>
    </xf>
    <xf numFmtId="0" fontId="1" fillId="4" borderId="10" xfId="0" applyFont="1" applyFill="1" applyBorder="1" applyAlignment="1">
      <alignment horizontal="center" vertical="center"/>
    </xf>
    <xf numFmtId="0" fontId="1" fillId="4" borderId="0" xfId="0" applyFont="1" applyFill="1" applyBorder="1" applyAlignment="1">
      <alignment horizontal="center" vertical="center"/>
    </xf>
    <xf numFmtId="0" fontId="0" fillId="4" borderId="11" xfId="0" applyFill="1" applyBorder="1" applyAlignment="1">
      <alignment vertical="center"/>
    </xf>
    <xf numFmtId="0" fontId="1" fillId="4" borderId="10" xfId="0" applyFont="1" applyFill="1" applyBorder="1" applyAlignment="1">
      <alignment horizontal="left" vertical="center"/>
    </xf>
    <xf numFmtId="0" fontId="1" fillId="4" borderId="0" xfId="0" applyFont="1" applyFill="1" applyBorder="1" applyAlignment="1">
      <alignment horizontal="right" vertical="center"/>
    </xf>
    <xf numFmtId="0" fontId="0" fillId="4" borderId="0" xfId="0" applyFill="1" applyBorder="1"/>
    <xf numFmtId="0" fontId="0" fillId="4" borderId="10" xfId="0" applyFill="1" applyBorder="1" applyAlignment="1">
      <alignment vertical="center"/>
    </xf>
    <xf numFmtId="0" fontId="0" fillId="4" borderId="0" xfId="0" applyFill="1" applyBorder="1" applyAlignment="1">
      <alignment vertical="center"/>
    </xf>
    <xf numFmtId="0" fontId="1" fillId="4" borderId="0" xfId="0" applyFont="1" applyFill="1" applyBorder="1" applyAlignment="1">
      <alignment horizontal="left" vertical="center"/>
    </xf>
    <xf numFmtId="0" fontId="0" fillId="4" borderId="0" xfId="0" applyFill="1" applyBorder="1" applyAlignment="1">
      <alignment horizontal="center" vertical="center"/>
    </xf>
    <xf numFmtId="0" fontId="0" fillId="4" borderId="0" xfId="0" applyFill="1" applyBorder="1" applyAlignment="1">
      <alignment horizontal="left" vertical="center"/>
    </xf>
    <xf numFmtId="0" fontId="0" fillId="4" borderId="0" xfId="0" applyFill="1" applyBorder="1" applyAlignment="1">
      <alignment horizontal="right" vertical="center"/>
    </xf>
    <xf numFmtId="0" fontId="0" fillId="4" borderId="10" xfId="0" applyFill="1" applyBorder="1" applyAlignment="1">
      <alignment horizontal="center" vertical="center"/>
    </xf>
    <xf numFmtId="0" fontId="1" fillId="4" borderId="12" xfId="0" applyFont="1" applyFill="1" applyBorder="1" applyAlignment="1">
      <alignment horizontal="center" vertical="center"/>
    </xf>
    <xf numFmtId="0" fontId="0" fillId="4" borderId="10" xfId="0" applyFill="1" applyBorder="1"/>
    <xf numFmtId="0" fontId="0" fillId="4" borderId="11" xfId="0" applyFill="1" applyBorder="1" applyAlignment="1">
      <alignment horizontal="right" vertical="center"/>
    </xf>
    <xf numFmtId="0" fontId="0" fillId="4" borderId="14" xfId="0" applyFill="1" applyBorder="1" applyAlignment="1">
      <alignment vertical="center"/>
    </xf>
    <xf numFmtId="0" fontId="0" fillId="4" borderId="0" xfId="0" applyFill="1" applyAlignment="1">
      <alignment vertical="center"/>
    </xf>
    <xf numFmtId="0" fontId="2" fillId="0" borderId="15" xfId="0" applyFont="1" applyBorder="1" applyAlignment="1">
      <alignment horizontal="center"/>
    </xf>
    <xf numFmtId="0" fontId="2" fillId="0" borderId="2" xfId="0" applyFont="1" applyBorder="1"/>
    <xf numFmtId="0" fontId="2" fillId="0" borderId="16" xfId="0" applyFont="1" applyBorder="1"/>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1" fillId="2" borderId="20" xfId="0" applyFont="1" applyFill="1" applyBorder="1" applyAlignment="1">
      <alignment horizontal="center"/>
    </xf>
    <xf numFmtId="0" fontId="1" fillId="0" borderId="0" xfId="0" applyFont="1"/>
    <xf numFmtId="0" fontId="2" fillId="4" borderId="3" xfId="0" applyFont="1" applyFill="1" applyBorder="1" applyAlignment="1">
      <alignment horizontal="center"/>
    </xf>
    <xf numFmtId="0" fontId="7" fillId="2" borderId="9" xfId="0" applyFont="1" applyFill="1" applyBorder="1" applyAlignment="1" applyProtection="1">
      <alignment horizontal="center"/>
    </xf>
    <xf numFmtId="9" fontId="7" fillId="4" borderId="4" xfId="0" applyNumberFormat="1" applyFont="1" applyFill="1" applyBorder="1" applyAlignment="1" applyProtection="1">
      <alignment horizontal="center"/>
    </xf>
    <xf numFmtId="9" fontId="1" fillId="4" borderId="20" xfId="0" applyNumberFormat="1" applyFont="1" applyFill="1" applyBorder="1" applyAlignment="1">
      <alignment horizontal="center"/>
    </xf>
    <xf numFmtId="164" fontId="1" fillId="4" borderId="20" xfId="0" applyNumberFormat="1" applyFont="1" applyFill="1" applyBorder="1" applyAlignment="1">
      <alignment horizontal="center"/>
    </xf>
    <xf numFmtId="0" fontId="1" fillId="4" borderId="10" xfId="0" applyFont="1" applyFill="1" applyBorder="1" applyAlignment="1">
      <alignment horizontal="right" vertical="center"/>
    </xf>
    <xf numFmtId="0" fontId="2" fillId="2" borderId="9" xfId="0" applyFont="1" applyFill="1" applyBorder="1" applyAlignment="1">
      <alignment horizontal="center"/>
    </xf>
    <xf numFmtId="0" fontId="2" fillId="0" borderId="21" xfId="0" applyFont="1" applyBorder="1" applyAlignment="1">
      <alignment horizontal="center"/>
    </xf>
    <xf numFmtId="0" fontId="2" fillId="3" borderId="4" xfId="0" applyFont="1" applyFill="1" applyBorder="1" applyAlignment="1" applyProtection="1">
      <alignment horizontal="center"/>
      <protection locked="0"/>
    </xf>
    <xf numFmtId="167" fontId="2" fillId="3" borderId="17" xfId="0" applyNumberFormat="1" applyFont="1" applyFill="1" applyBorder="1" applyAlignment="1" applyProtection="1">
      <alignment horizontal="center"/>
      <protection locked="0"/>
    </xf>
    <xf numFmtId="49" fontId="2" fillId="0" borderId="4" xfId="0" applyNumberFormat="1" applyFont="1" applyBorder="1" applyAlignment="1">
      <alignment horizontal="center"/>
    </xf>
    <xf numFmtId="0" fontId="2" fillId="0" borderId="22" xfId="0" applyFont="1" applyBorder="1"/>
    <xf numFmtId="3" fontId="2" fillId="0" borderId="23" xfId="0" applyNumberFormat="1" applyFont="1" applyBorder="1"/>
    <xf numFmtId="0" fontId="2" fillId="3" borderId="23" xfId="0" applyFont="1" applyFill="1" applyBorder="1" applyAlignment="1" applyProtection="1">
      <alignment horizontal="center"/>
      <protection locked="0"/>
    </xf>
    <xf numFmtId="167" fontId="2" fillId="3" borderId="21" xfId="0" applyNumberFormat="1" applyFont="1" applyFill="1" applyBorder="1" applyAlignment="1" applyProtection="1">
      <alignment horizontal="center"/>
      <protection locked="0"/>
    </xf>
    <xf numFmtId="0" fontId="2" fillId="0" borderId="23" xfId="0" applyFont="1" applyBorder="1" applyAlignment="1">
      <alignment horizontal="center"/>
    </xf>
    <xf numFmtId="49" fontId="2" fillId="0" borderId="23" xfId="0" applyNumberFormat="1" applyFont="1" applyBorder="1" applyAlignment="1">
      <alignment horizontal="center"/>
    </xf>
    <xf numFmtId="0" fontId="2" fillId="0" borderId="24" xfId="0" applyFont="1" applyBorder="1" applyAlignment="1">
      <alignment horizontal="center"/>
    </xf>
    <xf numFmtId="167" fontId="2" fillId="3" borderId="25" xfId="0" applyNumberFormat="1"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167" fontId="2" fillId="3" borderId="19" xfId="0" applyNumberFormat="1" applyFont="1" applyFill="1" applyBorder="1" applyAlignment="1" applyProtection="1">
      <alignment horizontal="center"/>
      <protection locked="0"/>
    </xf>
    <xf numFmtId="49" fontId="2" fillId="0" borderId="7" xfId="0" applyNumberFormat="1" applyFont="1" applyBorder="1" applyAlignment="1">
      <alignment horizontal="center"/>
    </xf>
    <xf numFmtId="49" fontId="1" fillId="0" borderId="0" xfId="0" applyNumberFormat="1" applyFont="1"/>
    <xf numFmtId="0" fontId="12" fillId="2" borderId="9" xfId="0" applyFont="1" applyFill="1" applyBorder="1" applyAlignment="1" applyProtection="1">
      <alignment horizontal="center"/>
    </xf>
    <xf numFmtId="2" fontId="7" fillId="4" borderId="4" xfId="0" applyNumberFormat="1" applyFont="1" applyFill="1" applyBorder="1" applyAlignment="1" applyProtection="1">
      <alignment horizontal="center"/>
    </xf>
    <xf numFmtId="167" fontId="7" fillId="4" borderId="4" xfId="0" applyNumberFormat="1" applyFont="1" applyFill="1" applyBorder="1" applyAlignment="1">
      <alignment horizontal="center"/>
    </xf>
    <xf numFmtId="164" fontId="1" fillId="0" borderId="20" xfId="0" applyNumberFormat="1" applyFont="1" applyBorder="1" applyAlignment="1">
      <alignment horizontal="center"/>
    </xf>
    <xf numFmtId="0" fontId="2" fillId="3" borderId="20" xfId="0" applyFont="1" applyFill="1" applyBorder="1" applyAlignment="1" applyProtection="1">
      <alignment horizontal="center"/>
      <protection locked="0"/>
    </xf>
    <xf numFmtId="167" fontId="2" fillId="0" borderId="20" xfId="0" applyNumberFormat="1" applyFont="1" applyBorder="1" applyAlignment="1">
      <alignment horizontal="center"/>
    </xf>
    <xf numFmtId="167" fontId="2" fillId="4" borderId="5" xfId="0" applyNumberFormat="1" applyFont="1" applyFill="1" applyBorder="1" applyAlignment="1">
      <alignment horizontal="center"/>
    </xf>
    <xf numFmtId="0" fontId="2" fillId="0" borderId="4" xfId="0" applyFont="1" applyBorder="1"/>
    <xf numFmtId="0" fontId="2" fillId="0" borderId="5" xfId="0" applyFont="1" applyBorder="1"/>
    <xf numFmtId="0" fontId="2" fillId="0" borderId="7" xfId="0" applyFont="1" applyBorder="1"/>
    <xf numFmtId="0" fontId="2" fillId="0" borderId="8" xfId="0" applyFont="1" applyBorder="1"/>
    <xf numFmtId="0" fontId="2" fillId="4" borderId="22" xfId="0" applyFont="1" applyFill="1" applyBorder="1" applyAlignment="1">
      <alignment horizontal="center"/>
    </xf>
    <xf numFmtId="0" fontId="0" fillId="3" borderId="1" xfId="0" applyFill="1" applyBorder="1" applyAlignment="1" applyProtection="1">
      <alignment vertical="center"/>
      <protection locked="0"/>
    </xf>
    <xf numFmtId="0" fontId="2" fillId="0" borderId="2" xfId="0" applyFont="1" applyBorder="1" applyAlignment="1">
      <alignment horizontal="left"/>
    </xf>
    <xf numFmtId="0" fontId="2" fillId="0" borderId="16" xfId="0" applyFont="1" applyBorder="1" applyAlignment="1">
      <alignment horizontal="left"/>
    </xf>
    <xf numFmtId="0" fontId="0" fillId="3" borderId="3" xfId="0" applyFill="1" applyBorder="1" applyAlignment="1" applyProtection="1">
      <alignment vertical="center"/>
      <protection locked="0"/>
    </xf>
    <xf numFmtId="0" fontId="2" fillId="0" borderId="4" xfId="0" applyFont="1" applyBorder="1" applyAlignment="1">
      <alignment horizontal="left"/>
    </xf>
    <xf numFmtId="0" fontId="2" fillId="0" borderId="5" xfId="0" applyFont="1" applyBorder="1" applyAlignment="1">
      <alignment horizontal="left"/>
    </xf>
    <xf numFmtId="0" fontId="0" fillId="3" borderId="6" xfId="0" applyFill="1" applyBorder="1" applyAlignment="1" applyProtection="1">
      <alignment vertical="center"/>
      <protection locked="0"/>
    </xf>
    <xf numFmtId="0" fontId="2" fillId="0" borderId="7" xfId="0" applyFont="1" applyBorder="1" applyAlignment="1">
      <alignment horizontal="left"/>
    </xf>
    <xf numFmtId="0" fontId="2" fillId="0" borderId="8" xfId="0" applyFont="1" applyBorder="1" applyAlignment="1">
      <alignment horizontal="left"/>
    </xf>
    <xf numFmtId="0" fontId="0" fillId="4" borderId="0" xfId="0" applyFill="1" applyBorder="1" applyAlignment="1" applyProtection="1">
      <alignment horizontal="center" vertical="center"/>
      <protection locked="0"/>
    </xf>
    <xf numFmtId="0" fontId="2" fillId="0" borderId="0" xfId="0" applyFont="1" applyBorder="1" applyAlignment="1">
      <alignment horizontal="left"/>
    </xf>
    <xf numFmtId="0" fontId="2" fillId="0" borderId="0" xfId="0" applyFont="1" applyAlignment="1">
      <alignment horizontal="center"/>
    </xf>
    <xf numFmtId="0" fontId="0" fillId="4" borderId="0" xfId="0" applyFill="1"/>
    <xf numFmtId="0" fontId="2" fillId="0" borderId="23" xfId="0" applyFont="1" applyBorder="1"/>
    <xf numFmtId="0" fontId="2" fillId="0" borderId="24" xfId="0" applyFont="1" applyBorder="1"/>
    <xf numFmtId="0" fontId="2" fillId="3" borderId="23" xfId="0" applyFont="1" applyFill="1" applyBorder="1" applyAlignment="1">
      <alignment horizontal="center"/>
    </xf>
    <xf numFmtId="167" fontId="2" fillId="3" borderId="21" xfId="0" applyNumberFormat="1" applyFont="1" applyFill="1" applyBorder="1" applyAlignment="1">
      <alignment horizontal="center"/>
    </xf>
    <xf numFmtId="164" fontId="7" fillId="4" borderId="4" xfId="0" applyNumberFormat="1" applyFont="1" applyFill="1" applyBorder="1" applyAlignment="1" applyProtection="1">
      <alignment horizontal="center"/>
    </xf>
    <xf numFmtId="0" fontId="2" fillId="3" borderId="4" xfId="0" applyFont="1" applyFill="1" applyBorder="1" applyAlignment="1">
      <alignment horizontal="center"/>
    </xf>
    <xf numFmtId="167" fontId="2" fillId="3" borderId="17" xfId="0" applyNumberFormat="1" applyFont="1" applyFill="1" applyBorder="1" applyAlignment="1">
      <alignment horizontal="center"/>
    </xf>
    <xf numFmtId="0" fontId="13" fillId="2" borderId="12" xfId="0" applyFont="1" applyFill="1" applyBorder="1" applyAlignment="1">
      <alignment horizontal="right" vertical="center"/>
    </xf>
    <xf numFmtId="3" fontId="2" fillId="0" borderId="4" xfId="0" applyNumberFormat="1" applyFont="1" applyBorder="1" applyAlignment="1">
      <alignment horizontal="center"/>
    </xf>
    <xf numFmtId="164" fontId="2" fillId="0" borderId="23" xfId="0" applyNumberFormat="1" applyFont="1" applyBorder="1" applyAlignment="1">
      <alignment horizontal="center"/>
    </xf>
    <xf numFmtId="164" fontId="2" fillId="0" borderId="4" xfId="0" applyNumberFormat="1" applyFont="1" applyBorder="1" applyAlignment="1">
      <alignment horizontal="center"/>
    </xf>
    <xf numFmtId="164" fontId="2" fillId="0" borderId="7" xfId="0" applyNumberFormat="1" applyFont="1" applyBorder="1" applyAlignment="1">
      <alignment horizontal="center"/>
    </xf>
    <xf numFmtId="0" fontId="2" fillId="2" borderId="0" xfId="0" applyFont="1" applyFill="1" applyAlignment="1">
      <alignment horizontal="center"/>
    </xf>
    <xf numFmtId="49" fontId="2" fillId="0" borderId="0" xfId="0" applyNumberFormat="1" applyFont="1"/>
    <xf numFmtId="0" fontId="2" fillId="0" borderId="15" xfId="0" applyFont="1" applyBorder="1"/>
    <xf numFmtId="0" fontId="2" fillId="0" borderId="25" xfId="0" applyFont="1" applyBorder="1" applyAlignment="1">
      <alignment horizontal="center"/>
    </xf>
    <xf numFmtId="0" fontId="2" fillId="0" borderId="27" xfId="0" applyFont="1" applyBorder="1" applyAlignment="1">
      <alignment horizontal="center"/>
    </xf>
    <xf numFmtId="49" fontId="2" fillId="0" borderId="28" xfId="0" applyNumberFormat="1"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49" fontId="2" fillId="0" borderId="29" xfId="0" applyNumberFormat="1" applyFont="1" applyBorder="1" applyAlignment="1">
      <alignment horizontal="center"/>
    </xf>
    <xf numFmtId="49" fontId="2" fillId="0" borderId="30" xfId="0" applyNumberFormat="1" applyFont="1" applyBorder="1" applyAlignment="1">
      <alignment horizontal="center"/>
    </xf>
    <xf numFmtId="0" fontId="2" fillId="0" borderId="16" xfId="0" applyFont="1" applyBorder="1" applyAlignment="1">
      <alignment horizontal="center"/>
    </xf>
    <xf numFmtId="49" fontId="2" fillId="3" borderId="23" xfId="0" applyNumberFormat="1" applyFont="1" applyFill="1" applyBorder="1" applyAlignment="1" applyProtection="1">
      <alignment horizontal="center"/>
      <protection locked="0"/>
    </xf>
    <xf numFmtId="49" fontId="2" fillId="3" borderId="4" xfId="0" applyNumberFormat="1" applyFont="1" applyFill="1" applyBorder="1" applyAlignment="1" applyProtection="1">
      <alignment horizontal="center"/>
      <protection locked="0"/>
    </xf>
    <xf numFmtId="49" fontId="2" fillId="3" borderId="7" xfId="0" applyNumberFormat="1" applyFont="1" applyFill="1" applyBorder="1" applyAlignment="1" applyProtection="1">
      <alignment horizontal="center"/>
      <protection locked="0"/>
    </xf>
    <xf numFmtId="49" fontId="2" fillId="0" borderId="31" xfId="0" applyNumberFormat="1" applyFont="1" applyBorder="1" applyAlignment="1">
      <alignment horizontal="center"/>
    </xf>
    <xf numFmtId="49" fontId="2" fillId="0" borderId="18" xfId="0" applyNumberFormat="1" applyFont="1" applyBorder="1" applyAlignment="1">
      <alignment horizontal="center"/>
    </xf>
    <xf numFmtId="0" fontId="2" fillId="0" borderId="18" xfId="0" applyFont="1" applyBorder="1"/>
    <xf numFmtId="0" fontId="2" fillId="0" borderId="32" xfId="0" applyFont="1" applyBorder="1"/>
    <xf numFmtId="0" fontId="2" fillId="3" borderId="7" xfId="0" applyFont="1" applyFill="1" applyBorder="1" applyAlignment="1">
      <alignment horizontal="center"/>
    </xf>
    <xf numFmtId="167" fontId="2" fillId="3" borderId="7" xfId="0" applyNumberFormat="1" applyFont="1" applyFill="1" applyBorder="1" applyAlignment="1">
      <alignment horizontal="center"/>
    </xf>
    <xf numFmtId="0" fontId="2" fillId="0" borderId="30" xfId="0" applyFont="1" applyBorder="1" applyAlignment="1">
      <alignment horizontal="center"/>
    </xf>
    <xf numFmtId="1" fontId="7" fillId="4" borderId="4" xfId="0" applyNumberFormat="1" applyFont="1" applyFill="1" applyBorder="1" applyAlignment="1">
      <alignment horizontal="center"/>
    </xf>
    <xf numFmtId="0" fontId="5" fillId="2" borderId="33" xfId="0" applyFont="1" applyFill="1" applyBorder="1" applyAlignment="1">
      <alignment horizontal="right" vertical="center"/>
    </xf>
    <xf numFmtId="0" fontId="7" fillId="3" borderId="20" xfId="0" applyFont="1" applyFill="1" applyBorder="1" applyAlignment="1" applyProtection="1">
      <alignment horizontal="center" vertical="center"/>
      <protection locked="0"/>
    </xf>
    <xf numFmtId="0" fontId="1" fillId="4" borderId="11" xfId="0" applyFont="1" applyFill="1" applyBorder="1" applyAlignment="1" applyProtection="1">
      <alignment horizontal="left" vertical="center"/>
      <protection locked="0"/>
    </xf>
    <xf numFmtId="0" fontId="13" fillId="2" borderId="34" xfId="0" applyFont="1" applyFill="1" applyBorder="1" applyAlignment="1" applyProtection="1">
      <alignment horizontal="left" vertical="center"/>
      <protection locked="0"/>
    </xf>
    <xf numFmtId="0" fontId="0" fillId="4" borderId="0" xfId="0" applyFill="1" applyBorder="1" applyAlignment="1">
      <alignment horizontal="left" vertical="center"/>
    </xf>
    <xf numFmtId="0" fontId="0" fillId="4" borderId="11" xfId="0" applyFill="1" applyBorder="1" applyAlignment="1">
      <alignment horizontal="left" vertical="center"/>
    </xf>
    <xf numFmtId="0" fontId="1" fillId="5" borderId="37"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36" xfId="0" applyFont="1" applyFill="1" applyBorder="1" applyAlignment="1">
      <alignment horizontal="center" vertical="center"/>
    </xf>
    <xf numFmtId="0" fontId="0" fillId="4" borderId="12" xfId="0" applyFill="1" applyBorder="1" applyAlignment="1" applyProtection="1">
      <alignment horizontal="center" vertical="center"/>
    </xf>
    <xf numFmtId="0" fontId="0" fillId="4" borderId="35" xfId="0" applyFill="1" applyBorder="1" applyAlignment="1" applyProtection="1">
      <alignment horizontal="center" vertical="center"/>
    </xf>
    <xf numFmtId="0" fontId="0" fillId="4" borderId="34" xfId="0" applyFill="1" applyBorder="1" applyAlignment="1" applyProtection="1">
      <alignment horizontal="center" vertical="center"/>
    </xf>
    <xf numFmtId="0" fontId="0" fillId="4" borderId="10" xfId="0" applyFill="1" applyBorder="1" applyAlignment="1" applyProtection="1">
      <alignment horizontal="center" vertical="center"/>
    </xf>
    <xf numFmtId="0" fontId="0" fillId="4" borderId="0" xfId="0" applyFill="1" applyBorder="1" applyAlignment="1" applyProtection="1">
      <alignment horizontal="left" vertical="center" wrapText="1"/>
      <protection locked="0"/>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0" fillId="4" borderId="13" xfId="0" applyFill="1" applyBorder="1" applyAlignment="1">
      <alignment horizontal="center" vertical="center"/>
    </xf>
    <xf numFmtId="0" fontId="0" fillId="4" borderId="35" xfId="0" applyFill="1" applyBorder="1" applyAlignment="1">
      <alignment horizontal="center" vertical="center"/>
    </xf>
    <xf numFmtId="0" fontId="0" fillId="4" borderId="34" xfId="0" applyFill="1" applyBorder="1" applyAlignment="1">
      <alignment horizontal="center" vertical="center"/>
    </xf>
    <xf numFmtId="0" fontId="0" fillId="4" borderId="11" xfId="0" applyFill="1" applyBorder="1" applyAlignment="1">
      <alignment horizontal="center" vertical="center"/>
    </xf>
    <xf numFmtId="0" fontId="0" fillId="4" borderId="26" xfId="0" applyFill="1" applyBorder="1" applyAlignment="1">
      <alignment horizontal="center" vertical="center"/>
    </xf>
    <xf numFmtId="0" fontId="0" fillId="4" borderId="14" xfId="0" applyFill="1" applyBorder="1" applyAlignment="1">
      <alignment horizontal="center"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26" xfId="0" applyFill="1" applyBorder="1" applyAlignment="1">
      <alignment horizontal="left" vertical="center"/>
    </xf>
    <xf numFmtId="0" fontId="13" fillId="2" borderId="13" xfId="0" applyFont="1" applyFill="1" applyBorder="1" applyAlignment="1">
      <alignment horizontal="center" vertical="center"/>
    </xf>
    <xf numFmtId="0" fontId="13" fillId="2" borderId="26" xfId="0" applyFont="1" applyFill="1" applyBorder="1" applyAlignment="1">
      <alignment horizontal="center" vertical="center"/>
    </xf>
    <xf numFmtId="0" fontId="0" fillId="4" borderId="37" xfId="0" applyFill="1" applyBorder="1" applyAlignment="1" applyProtection="1">
      <alignment horizontal="left" vertical="center"/>
      <protection locked="0"/>
    </xf>
    <xf numFmtId="0" fontId="0" fillId="4" borderId="33" xfId="0" applyFill="1" applyBorder="1" applyAlignment="1" applyProtection="1">
      <alignment horizontal="left" vertical="center"/>
      <protection locked="0"/>
    </xf>
    <xf numFmtId="0" fontId="0" fillId="4" borderId="36" xfId="0" applyFill="1" applyBorder="1" applyAlignment="1" applyProtection="1">
      <alignment horizontal="left" vertical="center"/>
      <protection locked="0"/>
    </xf>
    <xf numFmtId="2" fontId="0" fillId="4" borderId="37" xfId="0" applyNumberFormat="1" applyFill="1" applyBorder="1" applyAlignment="1">
      <alignment horizontal="center" vertical="center"/>
    </xf>
    <xf numFmtId="2" fontId="0" fillId="4" borderId="36" xfId="0" applyNumberFormat="1" applyFill="1" applyBorder="1" applyAlignment="1">
      <alignment horizontal="center" vertical="center"/>
    </xf>
    <xf numFmtId="0" fontId="0" fillId="4" borderId="36" xfId="0" applyFill="1" applyBorder="1" applyAlignment="1">
      <alignment horizontal="center" vertical="center"/>
    </xf>
    <xf numFmtId="3" fontId="0" fillId="4" borderId="37" xfId="0" applyNumberFormat="1" applyFill="1" applyBorder="1" applyAlignment="1">
      <alignment horizontal="center" vertical="center"/>
    </xf>
    <xf numFmtId="3" fontId="0" fillId="4" borderId="36" xfId="0" applyNumberFormat="1" applyFill="1" applyBorder="1" applyAlignment="1">
      <alignment horizontal="center" vertical="center"/>
    </xf>
    <xf numFmtId="0" fontId="13" fillId="2" borderId="12"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4" borderId="11"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4" borderId="14" xfId="0" applyFill="1" applyBorder="1" applyAlignment="1" applyProtection="1">
      <alignment horizontal="center" vertical="center"/>
    </xf>
    <xf numFmtId="0" fontId="0" fillId="4" borderId="26" xfId="0" applyFill="1" applyBorder="1" applyAlignment="1" applyProtection="1">
      <alignment horizontal="center" vertical="center"/>
    </xf>
    <xf numFmtId="0" fontId="1" fillId="4" borderId="10" xfId="0" applyFont="1" applyFill="1" applyBorder="1" applyAlignment="1">
      <alignment horizontal="right" vertical="center"/>
    </xf>
    <xf numFmtId="0" fontId="1" fillId="4" borderId="0" xfId="0" applyFont="1" applyFill="1" applyBorder="1" applyAlignment="1">
      <alignment horizontal="right" vertical="center"/>
    </xf>
    <xf numFmtId="0" fontId="0" fillId="4" borderId="14" xfId="0" applyFill="1" applyBorder="1" applyAlignment="1" applyProtection="1">
      <alignment horizontal="center" vertical="center"/>
      <protection locked="0"/>
    </xf>
    <xf numFmtId="0" fontId="1" fillId="4" borderId="35" xfId="0" applyFont="1" applyFill="1" applyBorder="1" applyAlignment="1">
      <alignment horizontal="center" vertical="center"/>
    </xf>
    <xf numFmtId="0" fontId="0" fillId="4" borderId="33" xfId="0" applyFill="1" applyBorder="1" applyAlignment="1" applyProtection="1">
      <alignment horizontal="center" vertical="center"/>
      <protection locked="0"/>
    </xf>
    <xf numFmtId="0" fontId="1" fillId="3" borderId="12"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26" xfId="0" applyFont="1" applyFill="1" applyBorder="1" applyAlignment="1">
      <alignment horizontal="center" vertical="center"/>
    </xf>
    <xf numFmtId="166" fontId="0" fillId="4" borderId="14" xfId="0" applyNumberForma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xf>
    <xf numFmtId="0" fontId="1" fillId="4" borderId="10" xfId="0" applyFont="1" applyFill="1" applyBorder="1" applyAlignment="1">
      <alignment horizontal="left" vertical="center"/>
    </xf>
    <xf numFmtId="0" fontId="1" fillId="4" borderId="0" xfId="0" applyFont="1" applyFill="1" applyBorder="1" applyAlignment="1">
      <alignment horizontal="left" vertical="center"/>
    </xf>
    <xf numFmtId="0" fontId="1" fillId="0" borderId="0" xfId="0" applyFont="1" applyBorder="1" applyAlignment="1">
      <alignment horizontal="center"/>
    </xf>
    <xf numFmtId="0" fontId="2" fillId="4" borderId="14" xfId="0" applyFont="1" applyFill="1" applyBorder="1" applyAlignment="1" applyProtection="1">
      <alignment horizontal="center" vertical="center"/>
      <protection locked="0"/>
    </xf>
    <xf numFmtId="0" fontId="1" fillId="2" borderId="3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6" xfId="0" applyFont="1" applyFill="1" applyBorder="1" applyAlignment="1">
      <alignment horizontal="center" vertical="center"/>
    </xf>
    <xf numFmtId="0" fontId="2" fillId="4" borderId="26" xfId="0" applyFont="1" applyFill="1" applyBorder="1" applyAlignment="1" applyProtection="1">
      <alignment horizontal="center" vertical="center"/>
      <protection locked="0"/>
    </xf>
    <xf numFmtId="0" fontId="0" fillId="4" borderId="14" xfId="0" applyFill="1" applyBorder="1" applyAlignment="1" applyProtection="1">
      <alignment horizontal="left" vertical="center"/>
      <protection locked="0"/>
    </xf>
    <xf numFmtId="0" fontId="2" fillId="4" borderId="14" xfId="0" applyFont="1" applyFill="1" applyBorder="1" applyAlignment="1" applyProtection="1">
      <alignment horizontal="left" vertical="center"/>
      <protection locked="0"/>
    </xf>
    <xf numFmtId="0" fontId="2" fillId="4" borderId="26" xfId="0" applyFont="1" applyFill="1" applyBorder="1" applyAlignment="1" applyProtection="1">
      <alignment horizontal="left" vertical="center"/>
      <protection locked="0"/>
    </xf>
    <xf numFmtId="0" fontId="0" fillId="4" borderId="14" xfId="0" applyFill="1" applyBorder="1" applyAlignment="1" applyProtection="1">
      <alignment horizontal="center"/>
    </xf>
    <xf numFmtId="0" fontId="1" fillId="2" borderId="12"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6" xfId="0" applyFont="1" applyFill="1" applyBorder="1" applyAlignment="1">
      <alignment horizontal="center" vertical="center"/>
    </xf>
    <xf numFmtId="2" fontId="1" fillId="4" borderId="37" xfId="0" applyNumberFormat="1" applyFont="1" applyFill="1" applyBorder="1" applyAlignment="1">
      <alignment horizontal="center" vertical="center"/>
    </xf>
    <xf numFmtId="0" fontId="1" fillId="4" borderId="36" xfId="0" applyFont="1" applyFill="1" applyBorder="1" applyAlignment="1">
      <alignment horizontal="center" vertical="center"/>
    </xf>
    <xf numFmtId="3" fontId="1" fillId="4" borderId="33" xfId="0" applyNumberFormat="1" applyFont="1" applyFill="1" applyBorder="1" applyAlignment="1">
      <alignment horizontal="center" vertical="center"/>
    </xf>
    <xf numFmtId="3" fontId="1" fillId="4" borderId="36" xfId="0" applyNumberFormat="1" applyFont="1" applyFill="1" applyBorder="1" applyAlignment="1">
      <alignment horizontal="center" vertical="center"/>
    </xf>
    <xf numFmtId="0" fontId="1" fillId="4" borderId="14" xfId="0" applyFont="1" applyFill="1" applyBorder="1" applyAlignment="1" applyProtection="1">
      <alignment horizontal="center" vertical="center"/>
      <protection locked="0"/>
    </xf>
    <xf numFmtId="0" fontId="1" fillId="4" borderId="10" xfId="0" applyFont="1" applyFill="1" applyBorder="1" applyAlignment="1">
      <alignment horizontal="center" vertical="center"/>
    </xf>
    <xf numFmtId="0" fontId="1" fillId="4" borderId="0" xfId="0" applyFont="1" applyFill="1" applyBorder="1" applyAlignment="1">
      <alignment horizontal="center" vertical="center"/>
    </xf>
    <xf numFmtId="0" fontId="2" fillId="4" borderId="0" xfId="0" applyFont="1" applyFill="1" applyAlignment="1">
      <alignment horizontal="left"/>
    </xf>
    <xf numFmtId="0" fontId="10" fillId="4" borderId="0" xfId="0" applyFont="1" applyFill="1" applyBorder="1" applyAlignment="1">
      <alignment horizontal="left" vertical="center"/>
    </xf>
    <xf numFmtId="0" fontId="5" fillId="2" borderId="38" xfId="0" applyFont="1" applyFill="1" applyBorder="1" applyAlignment="1" applyProtection="1">
      <alignment horizontal="center" vertical="center" wrapText="1"/>
    </xf>
    <xf numFmtId="0" fontId="5" fillId="2" borderId="39"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7" fillId="3" borderId="21" xfId="0" applyFont="1" applyFill="1" applyBorder="1" applyAlignment="1" applyProtection="1">
      <alignment horizontal="left"/>
      <protection locked="0"/>
    </xf>
    <xf numFmtId="0" fontId="7" fillId="3" borderId="28" xfId="0" applyFont="1" applyFill="1" applyBorder="1" applyAlignment="1" applyProtection="1">
      <alignment horizontal="left"/>
      <protection locked="0"/>
    </xf>
    <xf numFmtId="0" fontId="5" fillId="2" borderId="37" xfId="0" applyFont="1" applyFill="1" applyBorder="1" applyAlignment="1">
      <alignment horizontal="right" vertical="center"/>
    </xf>
    <xf numFmtId="0" fontId="5" fillId="2" borderId="36" xfId="0" applyFont="1" applyFill="1" applyBorder="1" applyAlignment="1">
      <alignment horizontal="right" vertical="center"/>
    </xf>
    <xf numFmtId="0" fontId="1" fillId="2" borderId="37" xfId="0" applyFont="1" applyFill="1" applyBorder="1" applyAlignment="1">
      <alignment horizontal="right" vertical="center"/>
    </xf>
    <xf numFmtId="0" fontId="13" fillId="2" borderId="36" xfId="0" applyFont="1" applyFill="1" applyBorder="1" applyAlignment="1">
      <alignment horizontal="right" vertical="center"/>
    </xf>
    <xf numFmtId="0" fontId="1" fillId="2" borderId="38" xfId="0" applyFont="1" applyFill="1" applyBorder="1" applyAlignment="1">
      <alignment horizontal="center" wrapText="1"/>
    </xf>
    <xf numFmtId="0" fontId="1" fillId="2" borderId="39" xfId="0" applyFont="1" applyFill="1" applyBorder="1" applyAlignment="1">
      <alignment horizontal="center" wrapText="1"/>
    </xf>
    <xf numFmtId="0" fontId="5"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164" fontId="1" fillId="2" borderId="37" xfId="0" applyNumberFormat="1" applyFont="1" applyFill="1" applyBorder="1" applyAlignment="1">
      <alignment horizontal="right"/>
    </xf>
    <xf numFmtId="164" fontId="1" fillId="2" borderId="36" xfId="0" applyNumberFormat="1" applyFont="1" applyFill="1" applyBorder="1" applyAlignment="1">
      <alignment horizontal="right"/>
    </xf>
    <xf numFmtId="0" fontId="7" fillId="3" borderId="37"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4" fillId="6" borderId="12" xfId="0" applyFont="1" applyFill="1" applyBorder="1" applyAlignment="1">
      <alignment horizontal="center" vertical="center"/>
    </xf>
    <xf numFmtId="0" fontId="4" fillId="6" borderId="35" xfId="0" applyFont="1" applyFill="1" applyBorder="1" applyAlignment="1">
      <alignment horizontal="center" vertical="center"/>
    </xf>
    <xf numFmtId="0" fontId="4" fillId="6" borderId="34"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26" xfId="0" applyFont="1" applyFill="1" applyBorder="1" applyAlignment="1">
      <alignment horizontal="center" vertical="center"/>
    </xf>
    <xf numFmtId="0" fontId="1" fillId="2" borderId="38" xfId="0" applyFont="1" applyFill="1" applyBorder="1" applyAlignment="1">
      <alignment vertical="center" textRotation="90"/>
    </xf>
    <xf numFmtId="0" fontId="1" fillId="2" borderId="39" xfId="0" applyFont="1" applyFill="1" applyBorder="1" applyAlignment="1">
      <alignment vertical="center" textRotation="90"/>
    </xf>
    <xf numFmtId="0" fontId="1" fillId="2" borderId="9" xfId="0" applyFont="1" applyFill="1" applyBorder="1" applyAlignment="1">
      <alignment vertical="center" textRotation="90"/>
    </xf>
    <xf numFmtId="0" fontId="5" fillId="2" borderId="1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2" borderId="13" xfId="0" applyFont="1" applyFill="1" applyBorder="1" applyAlignment="1">
      <alignment horizontal="center" wrapText="1"/>
    </xf>
    <xf numFmtId="0" fontId="2" fillId="2" borderId="26" xfId="0" applyFont="1" applyFill="1" applyBorder="1" applyAlignment="1">
      <alignment horizont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2" borderId="38" xfId="0" applyFont="1" applyFill="1" applyBorder="1" applyAlignment="1" applyProtection="1">
      <alignment horizontal="center" vertical="center" wrapText="1"/>
    </xf>
    <xf numFmtId="3" fontId="1" fillId="6" borderId="37" xfId="0" applyNumberFormat="1" applyFont="1" applyFill="1" applyBorder="1" applyAlignment="1">
      <alignment horizontal="center"/>
    </xf>
    <xf numFmtId="3" fontId="1" fillId="6" borderId="33" xfId="0" applyNumberFormat="1" applyFont="1" applyFill="1" applyBorder="1" applyAlignment="1">
      <alignment horizontal="center"/>
    </xf>
    <xf numFmtId="3" fontId="1" fillId="6" borderId="36" xfId="0" applyNumberFormat="1" applyFont="1" applyFill="1" applyBorder="1" applyAlignment="1">
      <alignment horizontal="center"/>
    </xf>
    <xf numFmtId="0" fontId="1" fillId="6" borderId="33" xfId="0" applyFont="1" applyFill="1" applyBorder="1" applyAlignment="1">
      <alignment horizontal="center"/>
    </xf>
    <xf numFmtId="0" fontId="1" fillId="6" borderId="36" xfId="0" applyFont="1" applyFill="1" applyBorder="1" applyAlignment="1">
      <alignment horizontal="center"/>
    </xf>
    <xf numFmtId="0" fontId="10" fillId="3" borderId="12" xfId="0" applyFont="1" applyFill="1" applyBorder="1" applyAlignment="1">
      <alignment horizontal="left"/>
    </xf>
    <xf numFmtId="0" fontId="10" fillId="3" borderId="35" xfId="0" applyFont="1" applyFill="1" applyBorder="1" applyAlignment="1">
      <alignment horizontal="left"/>
    </xf>
    <xf numFmtId="0" fontId="10" fillId="3" borderId="34" xfId="0" applyFont="1" applyFill="1" applyBorder="1" applyAlignment="1">
      <alignment horizontal="left"/>
    </xf>
    <xf numFmtId="0" fontId="10" fillId="3" borderId="13" xfId="0" applyFont="1" applyFill="1" applyBorder="1" applyAlignment="1" applyProtection="1">
      <alignment horizontal="left"/>
      <protection locked="0"/>
    </xf>
    <xf numFmtId="0" fontId="10" fillId="3" borderId="14" xfId="0" applyFont="1" applyFill="1" applyBorder="1" applyAlignment="1" applyProtection="1">
      <alignment horizontal="left"/>
      <protection locked="0"/>
    </xf>
    <xf numFmtId="0" fontId="10" fillId="3" borderId="26" xfId="0" applyFont="1" applyFill="1" applyBorder="1" applyAlignment="1" applyProtection="1">
      <alignment horizontal="left"/>
      <protection locked="0"/>
    </xf>
    <xf numFmtId="0" fontId="2" fillId="3" borderId="12" xfId="0" applyFont="1" applyFill="1" applyBorder="1" applyAlignment="1">
      <alignment horizontal="left"/>
    </xf>
    <xf numFmtId="0" fontId="2" fillId="3" borderId="35" xfId="0" applyFont="1" applyFill="1" applyBorder="1" applyAlignment="1">
      <alignment horizontal="left"/>
    </xf>
    <xf numFmtId="0" fontId="2" fillId="3" borderId="34" xfId="0" applyFont="1" applyFill="1" applyBorder="1" applyAlignment="1">
      <alignment horizontal="left"/>
    </xf>
    <xf numFmtId="0" fontId="3" fillId="6" borderId="3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9" xfId="0" applyFont="1" applyFill="1" applyBorder="1" applyAlignment="1">
      <alignment horizontal="center" vertical="center" wrapText="1"/>
    </xf>
    <xf numFmtId="3" fontId="3" fillId="6" borderId="20" xfId="0" applyNumberFormat="1"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12"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26" xfId="0" applyFont="1" applyFill="1" applyBorder="1" applyAlignment="1">
      <alignment horizontal="center" vertical="center"/>
    </xf>
    <xf numFmtId="0" fontId="0" fillId="4" borderId="35" xfId="0" applyFill="1" applyBorder="1" applyAlignment="1">
      <alignment vertical="center"/>
    </xf>
    <xf numFmtId="0" fontId="0" fillId="4" borderId="34" xfId="0" applyFill="1" applyBorder="1" applyAlignment="1">
      <alignment vertical="center"/>
    </xf>
    <xf numFmtId="0" fontId="2" fillId="4" borderId="0" xfId="0" applyFont="1" applyFill="1" applyBorder="1" applyAlignment="1">
      <alignment horizontal="center" vertical="center"/>
    </xf>
    <xf numFmtId="0" fontId="2" fillId="4" borderId="3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0" borderId="0" xfId="0" applyFont="1" applyBorder="1" applyAlignment="1">
      <alignment vertical="center"/>
    </xf>
    <xf numFmtId="0" fontId="2" fillId="4" borderId="13" xfId="0" applyFont="1" applyFill="1" applyBorder="1" applyAlignment="1">
      <alignment vertical="center"/>
    </xf>
    <xf numFmtId="0" fontId="2" fillId="4" borderId="10" xfId="0" applyFont="1" applyFill="1" applyBorder="1" applyAlignment="1">
      <alignment horizontal="center" vertical="center"/>
    </xf>
    <xf numFmtId="0" fontId="1" fillId="4" borderId="14" xfId="0" applyFont="1" applyFill="1" applyBorder="1" applyAlignment="1">
      <alignment horizontal="right" vertical="center"/>
    </xf>
    <xf numFmtId="0" fontId="0" fillId="4" borderId="0" xfId="0" applyFill="1" applyBorder="1" applyAlignment="1" applyProtection="1">
      <alignment horizontal="center" vertical="center"/>
      <protection locked="0"/>
    </xf>
    <xf numFmtId="49" fontId="2" fillId="4" borderId="26" xfId="0" applyNumberFormat="1" applyFont="1" applyFill="1" applyBorder="1" applyAlignment="1">
      <alignment horizontal="right" vertical="center"/>
    </xf>
    <xf numFmtId="0" fontId="0" fillId="0" borderId="10" xfId="0" applyBorder="1" applyAlignment="1">
      <alignment vertical="center"/>
    </xf>
  </cellXfs>
  <cellStyles count="1">
    <cellStyle name="Normal" xfId="0" builtinId="0"/>
  </cellStyles>
  <dxfs count="1">
    <dxf>
      <fill>
        <patternFill>
          <bgColor indexed="4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AM67"/>
  <sheetViews>
    <sheetView tabSelected="1" workbookViewId="0">
      <selection activeCell="X15" sqref="X15"/>
    </sheetView>
  </sheetViews>
  <sheetFormatPr defaultRowHeight="12.75"/>
  <cols>
    <col min="1" max="1" width="6.83203125" style="18" customWidth="1"/>
    <col min="2" max="2" width="4.83203125" style="18" customWidth="1"/>
    <col min="3" max="4" width="8.83203125" style="18" customWidth="1"/>
    <col min="5" max="5" width="2.83203125" style="18" customWidth="1"/>
    <col min="6" max="6" width="3.83203125" style="18" customWidth="1"/>
    <col min="7" max="7" width="5.1640625" style="18" customWidth="1"/>
    <col min="8" max="9" width="5.33203125" style="18" customWidth="1"/>
    <col min="10" max="10" width="3.83203125" style="18" customWidth="1"/>
    <col min="11" max="11" width="4.33203125" style="18" customWidth="1"/>
    <col min="12" max="12" width="5.33203125" style="18" customWidth="1"/>
    <col min="13" max="14" width="3.83203125" style="18" customWidth="1"/>
    <col min="15" max="15" width="5.83203125" style="18" customWidth="1"/>
    <col min="16" max="17" width="4.83203125" style="18" customWidth="1"/>
    <col min="18" max="19" width="5.33203125" style="18" customWidth="1"/>
    <col min="20" max="20" width="4.83203125" style="18" customWidth="1"/>
    <col min="21" max="16384" width="9.33203125" style="18"/>
  </cols>
  <sheetData>
    <row r="1" spans="1:37">
      <c r="A1" s="176" t="s">
        <v>526</v>
      </c>
      <c r="B1" s="177"/>
      <c r="C1" s="177"/>
      <c r="D1" s="177"/>
      <c r="E1" s="177"/>
      <c r="F1" s="177"/>
      <c r="G1" s="177"/>
      <c r="H1" s="177"/>
      <c r="I1" s="177"/>
      <c r="J1" s="177"/>
      <c r="K1" s="177"/>
      <c r="L1" s="177"/>
      <c r="M1" s="177"/>
      <c r="N1" s="177"/>
      <c r="O1" s="177"/>
      <c r="P1" s="177"/>
      <c r="Q1" s="177"/>
      <c r="R1" s="177"/>
      <c r="S1" s="178"/>
    </row>
    <row r="2" spans="1:37">
      <c r="A2" s="179" t="s">
        <v>527</v>
      </c>
      <c r="B2" s="180"/>
      <c r="C2" s="180"/>
      <c r="D2" s="180"/>
      <c r="E2" s="180"/>
      <c r="F2" s="180"/>
      <c r="G2" s="180"/>
      <c r="H2" s="180"/>
      <c r="I2" s="180"/>
      <c r="J2" s="180"/>
      <c r="K2" s="180"/>
      <c r="L2" s="180"/>
      <c r="M2" s="180"/>
      <c r="N2" s="180"/>
      <c r="O2" s="180"/>
      <c r="P2" s="180"/>
      <c r="Q2" s="180"/>
      <c r="R2" s="180"/>
      <c r="S2" s="181"/>
      <c r="AD2" s="19" t="s">
        <v>27</v>
      </c>
      <c r="AK2" s="19" t="s">
        <v>75</v>
      </c>
    </row>
    <row r="3" spans="1:37">
      <c r="A3" s="20"/>
      <c r="B3" s="21"/>
      <c r="C3" s="21"/>
      <c r="D3" s="21"/>
      <c r="E3" s="21"/>
      <c r="F3" s="21"/>
      <c r="G3" s="21"/>
      <c r="H3" s="21"/>
      <c r="I3" s="21"/>
      <c r="J3" s="21"/>
      <c r="K3" s="21"/>
      <c r="L3" s="21"/>
      <c r="M3" s="21"/>
      <c r="N3" s="21"/>
      <c r="O3" s="21"/>
      <c r="P3" s="21"/>
      <c r="Q3" s="21"/>
      <c r="R3" s="21"/>
      <c r="S3" s="22"/>
      <c r="AD3" s="18" t="s">
        <v>11</v>
      </c>
      <c r="AK3" s="18" t="s">
        <v>11</v>
      </c>
    </row>
    <row r="4" spans="1:37">
      <c r="A4" s="23" t="s">
        <v>0</v>
      </c>
      <c r="B4" s="173" t="s">
        <v>547</v>
      </c>
      <c r="C4" s="173"/>
      <c r="D4" s="173"/>
      <c r="E4" s="173"/>
      <c r="F4" s="173"/>
      <c r="G4" s="90"/>
      <c r="H4" s="24" t="s">
        <v>71</v>
      </c>
      <c r="I4" s="182">
        <v>37848</v>
      </c>
      <c r="J4" s="182"/>
      <c r="K4" s="182"/>
      <c r="L4" s="182"/>
      <c r="N4" s="172" t="s">
        <v>370</v>
      </c>
      <c r="O4" s="172"/>
      <c r="P4" s="183" t="str">
        <f>IF('Seed Calculator'!C12=" "," ",IF('Seed Calculator'!C12="8-12 inches","8-12 inches",IF('Seed Calculator'!C12="12-16 inches","12-16 inches",IF('Seed Calculator'!C12="16+ inches","16+ inches","Irrigated"))))</f>
        <v>Irrigated</v>
      </c>
      <c r="Q4" s="183"/>
      <c r="R4" s="183"/>
      <c r="S4" s="22"/>
      <c r="AD4" s="18" t="s">
        <v>528</v>
      </c>
      <c r="AK4" s="18" t="s">
        <v>88</v>
      </c>
    </row>
    <row r="5" spans="1:37">
      <c r="A5" s="26"/>
      <c r="B5" s="27"/>
      <c r="C5" s="27"/>
      <c r="D5" s="27"/>
      <c r="E5" s="27"/>
      <c r="F5" s="27"/>
      <c r="G5" s="27"/>
      <c r="H5" s="27"/>
      <c r="I5" s="27"/>
      <c r="J5" s="27"/>
      <c r="K5" s="27"/>
      <c r="L5" s="27"/>
      <c r="M5" s="27"/>
      <c r="N5" s="27"/>
      <c r="O5" s="27"/>
      <c r="P5" s="27"/>
      <c r="Q5" s="27"/>
      <c r="R5" s="27"/>
      <c r="S5" s="22"/>
      <c r="AD5" s="18" t="s">
        <v>529</v>
      </c>
      <c r="AK5" s="18" t="s">
        <v>96</v>
      </c>
    </row>
    <row r="6" spans="1:37">
      <c r="A6" s="184" t="s">
        <v>3</v>
      </c>
      <c r="B6" s="185"/>
      <c r="C6" s="173" t="s">
        <v>114</v>
      </c>
      <c r="D6" s="173"/>
      <c r="E6" s="173"/>
      <c r="F6" s="173"/>
      <c r="G6" s="173"/>
      <c r="H6" s="173"/>
      <c r="I6" s="173"/>
      <c r="J6" s="172" t="s">
        <v>371</v>
      </c>
      <c r="K6" s="172"/>
      <c r="L6" s="187" t="s">
        <v>548</v>
      </c>
      <c r="M6" s="187"/>
      <c r="N6" s="187"/>
      <c r="O6" s="187"/>
      <c r="P6" s="29"/>
      <c r="Q6" s="24" t="s">
        <v>70</v>
      </c>
      <c r="R6" s="187">
        <v>40</v>
      </c>
      <c r="S6" s="191"/>
      <c r="AD6" s="18" t="s">
        <v>530</v>
      </c>
      <c r="AK6" s="18" t="s">
        <v>89</v>
      </c>
    </row>
    <row r="7" spans="1:37">
      <c r="A7" s="26"/>
      <c r="B7" s="27"/>
      <c r="C7" s="27"/>
      <c r="D7" s="27"/>
      <c r="E7" s="27"/>
      <c r="F7" s="27"/>
      <c r="G7" s="27"/>
      <c r="H7" s="27"/>
      <c r="I7" s="27"/>
      <c r="J7" s="27"/>
      <c r="K7" s="27"/>
      <c r="L7" s="27"/>
      <c r="M7" s="27"/>
      <c r="N7" s="27"/>
      <c r="O7" s="27"/>
      <c r="P7" s="27"/>
      <c r="Q7" s="27"/>
      <c r="R7" s="27"/>
      <c r="S7" s="22"/>
      <c r="AD7" s="18" t="s">
        <v>531</v>
      </c>
      <c r="AK7" s="18" t="s">
        <v>80</v>
      </c>
    </row>
    <row r="8" spans="1:37">
      <c r="A8" s="184" t="s">
        <v>1</v>
      </c>
      <c r="B8" s="185"/>
      <c r="C8" s="173" t="s">
        <v>549</v>
      </c>
      <c r="D8" s="173"/>
      <c r="E8" s="173"/>
      <c r="F8" s="173"/>
      <c r="G8" s="90"/>
      <c r="H8" s="30"/>
      <c r="I8" s="29"/>
      <c r="J8" s="186" t="s">
        <v>367</v>
      </c>
      <c r="K8" s="186"/>
      <c r="L8" s="186"/>
      <c r="M8" s="186"/>
      <c r="N8" s="195" t="str">
        <f>IF('Seed Calculator'!I13=" "," ",'Seed Calculator'!I13)</f>
        <v>Gravelly</v>
      </c>
      <c r="O8" s="195"/>
      <c r="P8" s="195"/>
      <c r="Q8" s="195"/>
      <c r="R8" s="30"/>
      <c r="S8" s="22"/>
      <c r="AD8" s="18" t="s">
        <v>532</v>
      </c>
      <c r="AK8" s="18" t="s">
        <v>87</v>
      </c>
    </row>
    <row r="9" spans="1:37">
      <c r="A9" s="26"/>
      <c r="B9" s="27"/>
      <c r="C9" s="29"/>
      <c r="D9" s="29"/>
      <c r="E9" s="29"/>
      <c r="F9" s="29"/>
      <c r="G9" s="29"/>
      <c r="H9" s="29"/>
      <c r="I9" s="29"/>
      <c r="J9" s="29"/>
      <c r="K9" s="31"/>
      <c r="L9" s="31"/>
      <c r="M9" s="31"/>
      <c r="N9" s="31"/>
      <c r="O9" s="29"/>
      <c r="P9" s="29"/>
      <c r="Q9" s="29"/>
      <c r="R9" s="29"/>
      <c r="S9" s="22"/>
      <c r="AD9" s="18" t="s">
        <v>533</v>
      </c>
      <c r="AK9" s="18" t="s">
        <v>84</v>
      </c>
    </row>
    <row r="10" spans="1:37">
      <c r="A10" s="184" t="s">
        <v>26</v>
      </c>
      <c r="B10" s="185"/>
      <c r="C10" s="192" t="s">
        <v>528</v>
      </c>
      <c r="D10" s="192"/>
      <c r="E10" s="192"/>
      <c r="F10" s="192"/>
      <c r="G10" s="192"/>
      <c r="H10" s="192"/>
      <c r="I10" s="192"/>
      <c r="J10" s="192"/>
      <c r="K10" s="192"/>
      <c r="L10" s="192"/>
      <c r="M10" s="172" t="s">
        <v>74</v>
      </c>
      <c r="N10" s="172"/>
      <c r="O10" s="172"/>
      <c r="P10" s="187" t="s">
        <v>79</v>
      </c>
      <c r="Q10" s="187"/>
      <c r="R10" s="187"/>
      <c r="S10" s="191"/>
      <c r="T10"/>
      <c r="U10"/>
      <c r="AD10" s="18" t="s">
        <v>534</v>
      </c>
      <c r="AK10" s="18" t="s">
        <v>77</v>
      </c>
    </row>
    <row r="11" spans="1:37">
      <c r="A11" s="26"/>
      <c r="B11" s="27"/>
      <c r="C11" s="192" t="s">
        <v>529</v>
      </c>
      <c r="D11" s="192"/>
      <c r="E11" s="192"/>
      <c r="F11" s="192"/>
      <c r="G11" s="192"/>
      <c r="H11" s="192"/>
      <c r="I11" s="192"/>
      <c r="J11" s="192"/>
      <c r="K11" s="192"/>
      <c r="L11" s="192"/>
      <c r="M11" s="25"/>
      <c r="N11" s="25"/>
      <c r="O11" s="25"/>
      <c r="P11" s="30"/>
      <c r="Q11" s="27"/>
      <c r="R11" s="27"/>
      <c r="S11" s="22"/>
      <c r="AK11" s="18" t="s">
        <v>86</v>
      </c>
    </row>
    <row r="12" spans="1:37">
      <c r="A12" s="26"/>
      <c r="B12" s="27"/>
      <c r="C12" s="192" t="s">
        <v>532</v>
      </c>
      <c r="D12" s="192"/>
      <c r="E12" s="192"/>
      <c r="F12" s="192"/>
      <c r="G12" s="192"/>
      <c r="H12" s="192"/>
      <c r="I12" s="192"/>
      <c r="J12" s="192"/>
      <c r="K12" s="192"/>
      <c r="L12" s="192"/>
      <c r="M12" s="25"/>
      <c r="N12" s="25"/>
      <c r="O12" s="25"/>
      <c r="P12" s="30"/>
      <c r="Q12" s="27"/>
      <c r="R12" s="27"/>
      <c r="S12" s="22"/>
      <c r="AD12" s="19" t="s">
        <v>12</v>
      </c>
      <c r="AG12" s="19" t="s">
        <v>10</v>
      </c>
      <c r="AK12" s="18" t="s">
        <v>95</v>
      </c>
    </row>
    <row r="13" spans="1:37">
      <c r="A13" s="26"/>
      <c r="B13" s="27"/>
      <c r="C13" s="30"/>
      <c r="D13" s="30"/>
      <c r="E13" s="27"/>
      <c r="F13" s="27"/>
      <c r="G13" s="27"/>
      <c r="H13" s="27"/>
      <c r="I13" s="27"/>
      <c r="J13" s="27"/>
      <c r="K13" s="27"/>
      <c r="L13" s="27"/>
      <c r="M13" s="27"/>
      <c r="N13" s="27"/>
      <c r="O13" s="27"/>
      <c r="P13" s="27"/>
      <c r="Q13" s="27"/>
      <c r="R13" s="27"/>
      <c r="S13" s="22"/>
      <c r="AD13" s="18" t="s">
        <v>11</v>
      </c>
      <c r="AG13" s="18" t="s">
        <v>11</v>
      </c>
      <c r="AH13" s="18" t="s">
        <v>11</v>
      </c>
      <c r="AK13" s="18" t="s">
        <v>82</v>
      </c>
    </row>
    <row r="14" spans="1:37">
      <c r="A14" s="23" t="s">
        <v>72</v>
      </c>
      <c r="B14" s="28"/>
      <c r="C14" s="24"/>
      <c r="D14" s="193" t="s">
        <v>115</v>
      </c>
      <c r="E14" s="193"/>
      <c r="F14" s="193"/>
      <c r="G14" s="193"/>
      <c r="H14" s="193"/>
      <c r="I14" s="193"/>
      <c r="J14" s="193"/>
      <c r="K14" s="193"/>
      <c r="L14" s="193"/>
      <c r="M14" s="193"/>
      <c r="N14" s="193"/>
      <c r="O14" s="193"/>
      <c r="P14" s="193"/>
      <c r="Q14" s="193"/>
      <c r="R14" s="193"/>
      <c r="S14" s="194"/>
      <c r="AD14" s="18" t="s">
        <v>131</v>
      </c>
      <c r="AG14" s="18" t="s">
        <v>98</v>
      </c>
      <c r="AK14" s="18" t="s">
        <v>85</v>
      </c>
    </row>
    <row r="15" spans="1:37">
      <c r="A15" s="32"/>
      <c r="B15" s="29"/>
      <c r="C15" s="29"/>
      <c r="D15" s="156" t="s">
        <v>116</v>
      </c>
      <c r="E15" s="156"/>
      <c r="F15" s="156"/>
      <c r="G15" s="156"/>
      <c r="H15" s="156"/>
      <c r="I15" s="156"/>
      <c r="J15" s="156"/>
      <c r="K15" s="156"/>
      <c r="L15" s="156"/>
      <c r="M15" s="156"/>
      <c r="N15" s="156"/>
      <c r="O15" s="156"/>
      <c r="P15" s="156"/>
      <c r="Q15" s="156"/>
      <c r="R15" s="156"/>
      <c r="S15" s="157"/>
      <c r="AD15" s="18" t="s">
        <v>132</v>
      </c>
      <c r="AG15" s="18" t="s">
        <v>16</v>
      </c>
      <c r="AK15" s="18" t="s">
        <v>79</v>
      </c>
    </row>
    <row r="16" spans="1:37">
      <c r="A16" s="26"/>
      <c r="B16" s="27"/>
      <c r="C16" s="27"/>
      <c r="D16" s="27"/>
      <c r="E16" s="27"/>
      <c r="F16" s="27"/>
      <c r="G16" s="27"/>
      <c r="H16" s="27"/>
      <c r="I16" s="27"/>
      <c r="J16" s="27"/>
      <c r="K16" s="27"/>
      <c r="L16" s="27"/>
      <c r="M16" s="27"/>
      <c r="N16" s="27"/>
      <c r="O16" s="27"/>
      <c r="P16" s="27"/>
      <c r="Q16" s="27"/>
      <c r="R16" s="27"/>
      <c r="S16" s="22"/>
      <c r="AD16" s="18" t="s">
        <v>133</v>
      </c>
      <c r="AG16" s="18" t="s">
        <v>15</v>
      </c>
      <c r="AK16" s="18" t="s">
        <v>91</v>
      </c>
    </row>
    <row r="17" spans="1:37">
      <c r="A17" s="188" t="s">
        <v>11</v>
      </c>
      <c r="B17" s="189"/>
      <c r="C17" s="189"/>
      <c r="D17" s="189"/>
      <c r="E17" s="189"/>
      <c r="F17" s="189"/>
      <c r="G17" s="189"/>
      <c r="H17" s="189"/>
      <c r="I17" s="189"/>
      <c r="J17" s="189"/>
      <c r="K17" s="189"/>
      <c r="L17" s="189"/>
      <c r="M17" s="189"/>
      <c r="N17" s="189"/>
      <c r="O17" s="189"/>
      <c r="P17" s="189"/>
      <c r="Q17" s="189"/>
      <c r="R17" s="189"/>
      <c r="S17" s="190"/>
      <c r="AD17" s="18" t="s">
        <v>134</v>
      </c>
      <c r="AG17" s="18" t="s">
        <v>14</v>
      </c>
      <c r="AK17" s="18" t="s">
        <v>94</v>
      </c>
    </row>
    <row r="18" spans="1:37">
      <c r="A18" s="33" t="s">
        <v>11</v>
      </c>
      <c r="B18" s="174" t="s">
        <v>12</v>
      </c>
      <c r="C18" s="174"/>
      <c r="D18" s="174"/>
      <c r="E18" s="27"/>
      <c r="F18" s="37"/>
      <c r="G18" s="174" t="s">
        <v>9</v>
      </c>
      <c r="H18" s="174"/>
      <c r="I18" s="174"/>
      <c r="J18" s="27"/>
      <c r="K18" s="174" t="s">
        <v>10</v>
      </c>
      <c r="L18" s="174"/>
      <c r="M18" s="174"/>
      <c r="N18" s="27"/>
      <c r="O18" s="174" t="s">
        <v>58</v>
      </c>
      <c r="P18" s="174"/>
      <c r="Q18" s="174"/>
      <c r="R18" s="174"/>
      <c r="S18" s="22"/>
      <c r="AD18" s="18" t="s">
        <v>135</v>
      </c>
      <c r="AG18" s="18" t="s">
        <v>99</v>
      </c>
      <c r="AK18" s="18" t="s">
        <v>83</v>
      </c>
    </row>
    <row r="19" spans="1:37">
      <c r="A19" s="34"/>
      <c r="B19" s="173" t="s">
        <v>133</v>
      </c>
      <c r="C19" s="173"/>
      <c r="D19" s="173"/>
      <c r="E19" s="173"/>
      <c r="F19" s="37"/>
      <c r="G19" s="173" t="s">
        <v>28</v>
      </c>
      <c r="H19" s="173"/>
      <c r="I19" s="173"/>
      <c r="J19" s="29"/>
      <c r="K19" s="173" t="s">
        <v>14</v>
      </c>
      <c r="L19" s="173"/>
      <c r="M19" s="173"/>
      <c r="N19" s="27"/>
      <c r="O19" s="173" t="s">
        <v>22</v>
      </c>
      <c r="P19" s="173"/>
      <c r="Q19" s="173"/>
      <c r="R19" s="173"/>
      <c r="S19" s="22"/>
      <c r="AD19" s="18" t="s">
        <v>136</v>
      </c>
      <c r="AK19" s="18" t="s">
        <v>76</v>
      </c>
    </row>
    <row r="20" spans="1:37">
      <c r="A20" s="34"/>
      <c r="B20" s="175" t="s">
        <v>131</v>
      </c>
      <c r="C20" s="175"/>
      <c r="D20" s="175"/>
      <c r="E20" s="175"/>
      <c r="F20" s="37"/>
      <c r="G20" s="175" t="s">
        <v>28</v>
      </c>
      <c r="H20" s="175"/>
      <c r="I20" s="175"/>
      <c r="J20" s="27"/>
      <c r="K20" s="173" t="s">
        <v>14</v>
      </c>
      <c r="L20" s="173"/>
      <c r="M20" s="173"/>
      <c r="N20" s="27"/>
      <c r="O20" s="173" t="s">
        <v>22</v>
      </c>
      <c r="P20" s="173"/>
      <c r="Q20" s="173"/>
      <c r="R20" s="173"/>
      <c r="S20" s="22"/>
      <c r="AD20" s="18" t="s">
        <v>13</v>
      </c>
      <c r="AK20" s="18" t="s">
        <v>97</v>
      </c>
    </row>
    <row r="21" spans="1:37">
      <c r="A21" s="26"/>
      <c r="B21" s="27"/>
      <c r="C21" s="27"/>
      <c r="D21" s="27"/>
      <c r="E21" s="27"/>
      <c r="F21" s="27"/>
      <c r="G21" s="27"/>
      <c r="H21" s="27"/>
      <c r="I21" s="27"/>
      <c r="J21" s="27"/>
      <c r="K21" s="27"/>
      <c r="L21" s="27"/>
      <c r="M21" s="27"/>
      <c r="N21" s="27"/>
      <c r="O21" s="27"/>
      <c r="P21" s="27"/>
      <c r="Q21" s="27"/>
      <c r="R21" s="27"/>
      <c r="S21" s="22"/>
      <c r="AD21" s="18" t="s">
        <v>11</v>
      </c>
      <c r="AK21" s="18" t="s">
        <v>93</v>
      </c>
    </row>
    <row r="22" spans="1:37">
      <c r="A22" s="171" t="s">
        <v>238</v>
      </c>
      <c r="B22" s="172"/>
      <c r="C22" s="172"/>
      <c r="D22" s="172"/>
      <c r="E22" s="172"/>
      <c r="F22" s="187" t="s">
        <v>17</v>
      </c>
      <c r="G22" s="187"/>
      <c r="H22" s="187"/>
      <c r="I22" s="187"/>
      <c r="J22" s="187"/>
      <c r="K22" s="187"/>
      <c r="L22" s="187"/>
      <c r="M22" s="187"/>
      <c r="N22" s="27"/>
      <c r="O22" s="27"/>
      <c r="P22" s="27"/>
      <c r="Q22" s="27"/>
      <c r="R22" s="27"/>
      <c r="S22" s="22"/>
      <c r="AK22" s="18" t="s">
        <v>90</v>
      </c>
    </row>
    <row r="23" spans="1:37">
      <c r="A23" s="26"/>
      <c r="B23" s="27"/>
      <c r="C23" s="27"/>
      <c r="D23" s="27"/>
      <c r="E23" s="27"/>
      <c r="F23" s="27"/>
      <c r="G23" s="27"/>
      <c r="H23" s="27"/>
      <c r="I23" s="27"/>
      <c r="J23" s="27"/>
      <c r="K23" s="27"/>
      <c r="L23" s="27"/>
      <c r="M23" s="27"/>
      <c r="N23" s="27"/>
      <c r="O23" s="27"/>
      <c r="P23" s="27"/>
      <c r="Q23" s="27"/>
      <c r="R23" s="27"/>
      <c r="S23" s="22"/>
      <c r="AK23" s="18" t="s">
        <v>81</v>
      </c>
    </row>
    <row r="24" spans="1:37">
      <c r="A24" s="134" t="s">
        <v>73</v>
      </c>
      <c r="B24" s="135"/>
      <c r="C24" s="135"/>
      <c r="D24" s="135"/>
      <c r="E24" s="135"/>
      <c r="F24" s="135"/>
      <c r="G24" s="135"/>
      <c r="H24" s="135"/>
      <c r="I24" s="135"/>
      <c r="J24" s="135"/>
      <c r="K24" s="135"/>
      <c r="L24" s="135"/>
      <c r="M24" s="135"/>
      <c r="N24" s="135"/>
      <c r="O24" s="135"/>
      <c r="P24" s="135"/>
      <c r="Q24" s="135"/>
      <c r="R24" s="135"/>
      <c r="S24" s="136"/>
      <c r="AK24" s="18" t="s">
        <v>78</v>
      </c>
    </row>
    <row r="25" spans="1:37">
      <c r="A25" s="26"/>
      <c r="B25" s="27"/>
      <c r="C25" s="27"/>
      <c r="D25" s="27"/>
      <c r="E25" s="27"/>
      <c r="F25" s="196" t="s">
        <v>352</v>
      </c>
      <c r="G25" s="197"/>
      <c r="H25" s="197"/>
      <c r="I25" s="197"/>
      <c r="J25" s="198"/>
      <c r="K25" s="196" t="s">
        <v>353</v>
      </c>
      <c r="L25" s="197"/>
      <c r="M25" s="198"/>
      <c r="N25" s="163" t="s">
        <v>354</v>
      </c>
      <c r="O25" s="164"/>
      <c r="P25" s="163" t="s">
        <v>355</v>
      </c>
      <c r="Q25" s="164"/>
      <c r="R25" s="101" t="s">
        <v>394</v>
      </c>
      <c r="S25" s="131" t="s">
        <v>391</v>
      </c>
      <c r="AC25"/>
      <c r="AD25" s="19" t="s">
        <v>19</v>
      </c>
      <c r="AK25" s="18" t="s">
        <v>92</v>
      </c>
    </row>
    <row r="26" spans="1:37">
      <c r="A26" s="51" t="s">
        <v>369</v>
      </c>
      <c r="B26" s="173" t="s">
        <v>100</v>
      </c>
      <c r="C26" s="173"/>
      <c r="D26" s="173"/>
      <c r="E26" s="25"/>
      <c r="F26" s="199"/>
      <c r="G26" s="200"/>
      <c r="H26" s="200"/>
      <c r="I26" s="200"/>
      <c r="J26" s="201"/>
      <c r="K26" s="199"/>
      <c r="L26" s="200"/>
      <c r="M26" s="201"/>
      <c r="N26" s="165"/>
      <c r="O26" s="166"/>
      <c r="P26" s="165"/>
      <c r="Q26" s="166"/>
      <c r="R26" s="153" t="s">
        <v>393</v>
      </c>
      <c r="S26" s="154"/>
      <c r="U26" s="196" t="s">
        <v>242</v>
      </c>
      <c r="V26" s="197"/>
      <c r="W26" s="197"/>
      <c r="X26" s="197"/>
      <c r="Y26" s="197"/>
      <c r="Z26" s="197"/>
      <c r="AA26" s="197"/>
      <c r="AB26" s="198"/>
      <c r="AC26"/>
      <c r="AD26" s="18" t="s">
        <v>11</v>
      </c>
    </row>
    <row r="27" spans="1:37">
      <c r="A27" s="26"/>
      <c r="B27" s="27"/>
      <c r="C27" s="27"/>
      <c r="D27" s="27"/>
      <c r="E27" s="25"/>
      <c r="F27" s="150" t="str">
        <f>'Seed Calculator'!B6</f>
        <v>Orchardgrass</v>
      </c>
      <c r="G27" s="151"/>
      <c r="H27" s="151"/>
      <c r="I27" s="151"/>
      <c r="J27" s="152"/>
      <c r="K27" s="155" t="s">
        <v>288</v>
      </c>
      <c r="L27" s="156"/>
      <c r="M27" s="157"/>
      <c r="N27" s="158">
        <f>IF(F27=" "," ",'Seed Calculator'!F6)</f>
        <v>4.8000000000000007</v>
      </c>
      <c r="O27" s="159"/>
      <c r="P27" s="158">
        <f>IF(F27=" "," ",'Seed Calculator'!G6)</f>
        <v>6.666666666666667</v>
      </c>
      <c r="Q27" s="160"/>
      <c r="R27" s="161">
        <f t="shared" ref="R27:R32" si="0">IF(F27=" "," ",IF($R$6=" "," ",IF($S$25="PLS",$R$6*N27,$R$6*P27)))</f>
        <v>266.66666666666669</v>
      </c>
      <c r="S27" s="162"/>
      <c r="U27" s="199"/>
      <c r="V27" s="200"/>
      <c r="W27" s="200"/>
      <c r="X27" s="200"/>
      <c r="Y27" s="200"/>
      <c r="Z27" s="200"/>
      <c r="AA27" s="200"/>
      <c r="AB27" s="201"/>
      <c r="AC27" s="91"/>
      <c r="AD27" s="18" t="s">
        <v>18</v>
      </c>
      <c r="AH27" s="19" t="s">
        <v>20</v>
      </c>
    </row>
    <row r="28" spans="1:37">
      <c r="A28" s="51" t="s">
        <v>368</v>
      </c>
      <c r="B28" s="173" t="s">
        <v>4</v>
      </c>
      <c r="C28" s="173"/>
      <c r="D28" s="173"/>
      <c r="E28" s="25"/>
      <c r="F28" s="150">
        <f>'Seed Calculator'!B7</f>
        <v>0</v>
      </c>
      <c r="G28" s="151"/>
      <c r="H28" s="151"/>
      <c r="I28" s="151"/>
      <c r="J28" s="152"/>
      <c r="K28" s="155"/>
      <c r="L28" s="156"/>
      <c r="M28" s="157"/>
      <c r="N28" s="158" t="e">
        <f>IF(F28=" "," ",'Seed Calculator'!F7)</f>
        <v>#N/A</v>
      </c>
      <c r="O28" s="159"/>
      <c r="P28" s="158" t="e">
        <f>IF(F28=" "," ",'Seed Calculator'!G7)</f>
        <v>#N/A</v>
      </c>
      <c r="Q28" s="160"/>
      <c r="R28" s="161" t="e">
        <f t="shared" si="0"/>
        <v>#N/A</v>
      </c>
      <c r="S28" s="162"/>
      <c r="U28" s="81" t="s">
        <v>11</v>
      </c>
      <c r="V28" s="82" t="str">
        <f>IF($F27=" "," ",VLOOKUP($F27,'Seed  List'!$A$4:$Z$104,20))</f>
        <v>Latar</v>
      </c>
      <c r="W28" s="82" t="str">
        <f>IF($F27=" "," ",VLOOKUP($F27,'Seed  List'!$A$4:$Z$104,21))</f>
        <v>Paiute</v>
      </c>
      <c r="X28" s="82" t="str">
        <f>IF($F27=" "," ",VLOOKUP($F27,'Seed  List'!$A$4:$Z$104,22))</f>
        <v>Potomac</v>
      </c>
      <c r="Y28" s="82" t="str">
        <f>IF($F27=" "," ",VLOOKUP($F27,'Seed  List'!$A$4:$Z$104,23))</f>
        <v xml:space="preserve"> </v>
      </c>
      <c r="Z28" s="82" t="str">
        <f>IF($F27=" "," ",VLOOKUP($F27,'Seed  List'!$A$4:$Z$104,24))</f>
        <v xml:space="preserve"> </v>
      </c>
      <c r="AA28" s="82" t="str">
        <f>IF($F27=" "," ",VLOOKUP($F27,'Seed  List'!$A$4:$Z$104,25))</f>
        <v xml:space="preserve"> </v>
      </c>
      <c r="AB28" s="83" t="str">
        <f>IF($F27=" "," ",VLOOKUP($F27,'Seed  List'!$A$4:$Z$104,26))</f>
        <v xml:space="preserve"> </v>
      </c>
      <c r="AC28" s="91"/>
      <c r="AD28" s="18" t="s">
        <v>17</v>
      </c>
      <c r="AH28" s="18" t="s">
        <v>11</v>
      </c>
    </row>
    <row r="29" spans="1:37">
      <c r="A29" s="26"/>
      <c r="B29" s="27"/>
      <c r="C29" s="27"/>
      <c r="D29" s="27"/>
      <c r="E29" s="29"/>
      <c r="F29" s="150">
        <f>'Seed Calculator'!B8</f>
        <v>0</v>
      </c>
      <c r="G29" s="151"/>
      <c r="H29" s="151"/>
      <c r="I29" s="151"/>
      <c r="J29" s="152"/>
      <c r="K29" s="155"/>
      <c r="L29" s="156"/>
      <c r="M29" s="157"/>
      <c r="N29" s="158" t="e">
        <f>IF(F29=" "," ",'Seed Calculator'!F8)</f>
        <v>#N/A</v>
      </c>
      <c r="O29" s="159"/>
      <c r="P29" s="158" t="e">
        <f>IF(F29=" "," ",'Seed Calculator'!G8)</f>
        <v>#N/A</v>
      </c>
      <c r="Q29" s="160"/>
      <c r="R29" s="161" t="e">
        <f t="shared" si="0"/>
        <v>#N/A</v>
      </c>
      <c r="S29" s="162"/>
      <c r="U29" s="84"/>
      <c r="V29" s="85" t="e">
        <f>IF($F28=" "," ",VLOOKUP($F28,'Seed  List'!$A$4:$Z$104,20))</f>
        <v>#N/A</v>
      </c>
      <c r="W29" s="85" t="e">
        <f>IF($F28=" "," ",VLOOKUP($F28,'Seed  List'!$A$4:$Z$104,21))</f>
        <v>#N/A</v>
      </c>
      <c r="X29" s="85" t="e">
        <f>IF($F28=" "," ",VLOOKUP($F28,'Seed  List'!$A$4:$Z$104,22))</f>
        <v>#N/A</v>
      </c>
      <c r="Y29" s="85" t="e">
        <f>IF($F28=" "," ",VLOOKUP($F28,'Seed  List'!$A$4:$Z$104,23))</f>
        <v>#N/A</v>
      </c>
      <c r="Z29" s="85" t="e">
        <f>IF($F28=" "," ",VLOOKUP($F28,'Seed  List'!$A$4:$Z$104,24))</f>
        <v>#N/A</v>
      </c>
      <c r="AA29" s="85" t="e">
        <f>IF($F28=" "," ",VLOOKUP($F28,'Seed  List'!$A$4:$Z$104,25))</f>
        <v>#N/A</v>
      </c>
      <c r="AB29" s="86" t="e">
        <f>IF($F28=" "," ",VLOOKUP($F28,'Seed  List'!$A$4:$Z$104,26))</f>
        <v>#N/A</v>
      </c>
      <c r="AC29" s="91"/>
      <c r="AD29" s="18" t="s">
        <v>111</v>
      </c>
      <c r="AH29" s="18" t="s">
        <v>239</v>
      </c>
    </row>
    <row r="30" spans="1:37">
      <c r="A30" s="171" t="s">
        <v>106</v>
      </c>
      <c r="B30" s="172"/>
      <c r="C30" s="173" t="s">
        <v>25</v>
      </c>
      <c r="D30" s="173"/>
      <c r="E30" s="25"/>
      <c r="F30" s="150">
        <f>'Seed Calculator'!B9</f>
        <v>0</v>
      </c>
      <c r="G30" s="151"/>
      <c r="H30" s="151"/>
      <c r="I30" s="151"/>
      <c r="J30" s="152"/>
      <c r="K30" s="155"/>
      <c r="L30" s="156"/>
      <c r="M30" s="157"/>
      <c r="N30" s="158" t="e">
        <f>IF(F30=" "," ",'Seed Calculator'!F9)</f>
        <v>#N/A</v>
      </c>
      <c r="O30" s="159"/>
      <c r="P30" s="158" t="e">
        <f>IF(F30=" "," ",'Seed Calculator'!G9)</f>
        <v>#N/A</v>
      </c>
      <c r="Q30" s="160"/>
      <c r="R30" s="161" t="e">
        <f t="shared" si="0"/>
        <v>#N/A</v>
      </c>
      <c r="S30" s="162"/>
      <c r="U30" s="84"/>
      <c r="V30" s="85" t="e">
        <f>IF($F29=" "," ",VLOOKUP($F29,'Seed  List'!$A$4:$Z$104,20))</f>
        <v>#N/A</v>
      </c>
      <c r="W30" s="85" t="e">
        <f>IF($F29=" "," ",VLOOKUP($F29,'Seed  List'!$A$4:$Z$104,21))</f>
        <v>#N/A</v>
      </c>
      <c r="X30" s="85" t="e">
        <f>IF($F29=" "," ",VLOOKUP($F29,'Seed  List'!$A$4:$Z$104,22))</f>
        <v>#N/A</v>
      </c>
      <c r="Y30" s="85" t="e">
        <f>IF($F29=" "," ",VLOOKUP($F29,'Seed  List'!$A$4:$Z$104,23))</f>
        <v>#N/A</v>
      </c>
      <c r="Z30" s="85" t="e">
        <f>IF($F29=" "," ",VLOOKUP($F29,'Seed  List'!$A$4:$Z$104,24))</f>
        <v>#N/A</v>
      </c>
      <c r="AA30" s="85" t="e">
        <f>IF($F29=" "," ",VLOOKUP($F29,'Seed  List'!$A$4:$Z$104,25))</f>
        <v>#N/A</v>
      </c>
      <c r="AB30" s="86" t="e">
        <f>IF($F29=" "," ",VLOOKUP($F29,'Seed  List'!$A$4:$Z$104,26))</f>
        <v>#N/A</v>
      </c>
      <c r="AC30" s="91"/>
      <c r="AD30" s="18" t="s">
        <v>110</v>
      </c>
      <c r="AH30" s="18" t="s">
        <v>21</v>
      </c>
    </row>
    <row r="31" spans="1:37">
      <c r="A31" s="26"/>
      <c r="B31" s="27"/>
      <c r="C31" s="27"/>
      <c r="D31" s="27"/>
      <c r="E31" s="25"/>
      <c r="F31" s="150">
        <f>'Seed Calculator'!B10</f>
        <v>0</v>
      </c>
      <c r="G31" s="151"/>
      <c r="H31" s="151"/>
      <c r="I31" s="151"/>
      <c r="J31" s="152"/>
      <c r="K31" s="155"/>
      <c r="L31" s="156"/>
      <c r="M31" s="157"/>
      <c r="N31" s="158" t="e">
        <f>IF(F31=" "," ",'Seed Calculator'!F10)</f>
        <v>#N/A</v>
      </c>
      <c r="O31" s="159"/>
      <c r="P31" s="158" t="e">
        <f>IF(F31=" "," ",'Seed Calculator'!G10)</f>
        <v>#N/A</v>
      </c>
      <c r="Q31" s="160"/>
      <c r="R31" s="161" t="e">
        <f t="shared" si="0"/>
        <v>#N/A</v>
      </c>
      <c r="S31" s="162"/>
      <c r="U31" s="84"/>
      <c r="V31" s="85" t="e">
        <f>IF($F30=" "," ",VLOOKUP($F30,'Seed  List'!$A$4:$Z$104,20))</f>
        <v>#N/A</v>
      </c>
      <c r="W31" s="85" t="e">
        <f>IF($F30=" "," ",VLOOKUP($F30,'Seed  List'!$A$4:$Z$104,21))</f>
        <v>#N/A</v>
      </c>
      <c r="X31" s="85" t="e">
        <f>IF($F30=" "," ",VLOOKUP($F30,'Seed  List'!$A$4:$Z$104,22))</f>
        <v>#N/A</v>
      </c>
      <c r="Y31" s="85" t="e">
        <f>IF($F30=" "," ",VLOOKUP($F30,'Seed  List'!$A$4:$Z$104,23))</f>
        <v>#N/A</v>
      </c>
      <c r="Z31" s="85" t="e">
        <f>IF($F30=" "," ",VLOOKUP($F30,'Seed  List'!$A$4:$Z$104,24))</f>
        <v>#N/A</v>
      </c>
      <c r="AA31" s="85" t="e">
        <f>IF($F30=" "," ",VLOOKUP($F30,'Seed  List'!$A$4:$Z$104,25))</f>
        <v>#N/A</v>
      </c>
      <c r="AB31" s="86" t="e">
        <f>IF($F30=" "," ",VLOOKUP($F30,'Seed  List'!$A$4:$Z$104,26))</f>
        <v>#N/A</v>
      </c>
      <c r="AC31" s="91"/>
      <c r="AH31" s="18" t="s">
        <v>22</v>
      </c>
    </row>
    <row r="32" spans="1:37">
      <c r="A32" s="171" t="s">
        <v>107</v>
      </c>
      <c r="B32" s="172"/>
      <c r="C32" s="173" t="s">
        <v>63</v>
      </c>
      <c r="D32" s="173"/>
      <c r="E32" s="25"/>
      <c r="F32" s="150" t="str">
        <f>'Seed Calculator'!B11</f>
        <v xml:space="preserve"> </v>
      </c>
      <c r="G32" s="151"/>
      <c r="H32" s="151"/>
      <c r="I32" s="151"/>
      <c r="J32" s="152"/>
      <c r="K32" s="155"/>
      <c r="L32" s="156"/>
      <c r="M32" s="157"/>
      <c r="N32" s="158" t="str">
        <f>IF(F32=" "," ",'Seed Calculator'!F11)</f>
        <v xml:space="preserve"> </v>
      </c>
      <c r="O32" s="159"/>
      <c r="P32" s="158" t="str">
        <f>IF(F32=" "," ",'Seed Calculator'!G11)</f>
        <v xml:space="preserve"> </v>
      </c>
      <c r="Q32" s="160"/>
      <c r="R32" s="161" t="str">
        <f t="shared" si="0"/>
        <v xml:space="preserve"> </v>
      </c>
      <c r="S32" s="162"/>
      <c r="U32" s="84"/>
      <c r="V32" s="85" t="e">
        <f>IF($F31=" "," ",VLOOKUP($F31,'Seed  List'!$A$4:$Z$104,20))</f>
        <v>#N/A</v>
      </c>
      <c r="W32" s="85" t="e">
        <f>IF($F31=" "," ",VLOOKUP($F31,'Seed  List'!$A$4:$Z$104,21))</f>
        <v>#N/A</v>
      </c>
      <c r="X32" s="85" t="e">
        <f>IF($F31=" "," ",VLOOKUP($F31,'Seed  List'!$A$4:$Z$104,22))</f>
        <v>#N/A</v>
      </c>
      <c r="Y32" s="85" t="e">
        <f>IF($F31=" "," ",VLOOKUP($F31,'Seed  List'!$A$4:$Z$104,23))</f>
        <v>#N/A</v>
      </c>
      <c r="Z32" s="85" t="e">
        <f>IF($F31=" "," ",VLOOKUP($F31,'Seed  List'!$A$4:$Z$104,24))</f>
        <v>#N/A</v>
      </c>
      <c r="AA32" s="85" t="e">
        <f>IF($F31=" "," ",VLOOKUP($F31,'Seed  List'!$A$4:$Z$104,25))</f>
        <v>#N/A</v>
      </c>
      <c r="AB32" s="86" t="e">
        <f>IF($F31=" "," ",VLOOKUP($F31,'Seed  List'!$A$4:$Z$104,26))</f>
        <v>#N/A</v>
      </c>
      <c r="AC32" s="91"/>
      <c r="AH32" s="18" t="s">
        <v>112</v>
      </c>
    </row>
    <row r="33" spans="1:39">
      <c r="A33" s="51"/>
      <c r="B33" s="24"/>
      <c r="C33" s="93"/>
      <c r="D33" s="93"/>
      <c r="E33" s="93"/>
      <c r="F33" s="188" t="s">
        <v>356</v>
      </c>
      <c r="G33" s="189"/>
      <c r="H33" s="189"/>
      <c r="I33" s="189"/>
      <c r="J33" s="189"/>
      <c r="K33" s="189"/>
      <c r="L33" s="189"/>
      <c r="M33" s="190"/>
      <c r="N33" s="202" t="e">
        <f>IF(N27=" "," ",SUM(N27:O32))</f>
        <v>#N/A</v>
      </c>
      <c r="O33" s="203"/>
      <c r="P33" s="202" t="e">
        <f>IF(P27=" "," ",SUM(P27:Q32))</f>
        <v>#N/A</v>
      </c>
      <c r="Q33" s="203"/>
      <c r="R33" s="204" t="e">
        <f>IF(R6=" "," ",SUM(R27:S32))</f>
        <v>#N/A</v>
      </c>
      <c r="S33" s="205"/>
      <c r="U33" s="87"/>
      <c r="V33" s="88" t="str">
        <f>IF($F32=" "," ",VLOOKUP($F32,'Seed  List'!$A$4:$Z$104,20))</f>
        <v xml:space="preserve"> </v>
      </c>
      <c r="W33" s="88" t="str">
        <f>IF($F32=" "," ",VLOOKUP($F32,'Seed  List'!$A$4:$Z$104,21))</f>
        <v xml:space="preserve"> </v>
      </c>
      <c r="X33" s="88" t="str">
        <f>IF($F32=" "," ",VLOOKUP($F32,'Seed  List'!$A$4:$Z$104,22))</f>
        <v xml:space="preserve"> </v>
      </c>
      <c r="Y33" s="88" t="str">
        <f>IF($F32=" "," ",VLOOKUP($F32,'Seed  List'!$A$4:$Z$104,23))</f>
        <v xml:space="preserve"> </v>
      </c>
      <c r="Z33" s="88" t="str">
        <f>IF($F32=" "," ",VLOOKUP($F32,'Seed  List'!$A$4:$Z$104,24))</f>
        <v xml:space="preserve"> </v>
      </c>
      <c r="AA33" s="88" t="str">
        <f>IF($F32=" "," ",VLOOKUP($F32,'Seed  List'!$A$4:$Z$104,25))</f>
        <v xml:space="preserve"> </v>
      </c>
      <c r="AB33" s="89" t="str">
        <f>IF($F32=" "," ",VLOOKUP($F32,'Seed  List'!$A$4:$Z$104,26))</f>
        <v xml:space="preserve"> </v>
      </c>
      <c r="AC33"/>
      <c r="AD33" s="19" t="s">
        <v>108</v>
      </c>
      <c r="AH33" s="18" t="s">
        <v>113</v>
      </c>
    </row>
    <row r="34" spans="1:39">
      <c r="A34" s="134" t="s">
        <v>543</v>
      </c>
      <c r="B34" s="135"/>
      <c r="C34" s="135"/>
      <c r="D34" s="135"/>
      <c r="E34" s="135"/>
      <c r="F34" s="135"/>
      <c r="G34" s="135"/>
      <c r="H34" s="135"/>
      <c r="I34" s="135"/>
      <c r="J34" s="135"/>
      <c r="K34" s="135"/>
      <c r="L34" s="135"/>
      <c r="M34" s="135"/>
      <c r="N34" s="135"/>
      <c r="O34" s="135"/>
      <c r="P34" s="135"/>
      <c r="Q34" s="135"/>
      <c r="R34" s="135"/>
      <c r="S34" s="136"/>
      <c r="U34"/>
      <c r="V34"/>
      <c r="W34"/>
      <c r="X34"/>
      <c r="Y34"/>
      <c r="Z34"/>
      <c r="AA34"/>
      <c r="AB34"/>
      <c r="AC34"/>
      <c r="AD34" s="18" t="s">
        <v>11</v>
      </c>
    </row>
    <row r="35" spans="1:39">
      <c r="A35" s="137"/>
      <c r="B35" s="138"/>
      <c r="C35" s="138"/>
      <c r="D35" s="138"/>
      <c r="E35" s="138"/>
      <c r="F35" s="138"/>
      <c r="G35" s="138"/>
      <c r="H35" s="138"/>
      <c r="I35" s="138"/>
      <c r="J35" s="138"/>
      <c r="K35" s="138"/>
      <c r="L35" s="138"/>
      <c r="M35" s="138"/>
      <c r="N35" s="138"/>
      <c r="O35" s="138"/>
      <c r="P35" s="138"/>
      <c r="Q35" s="138"/>
      <c r="R35" s="138"/>
      <c r="S35" s="139"/>
      <c r="AD35" s="18" t="s">
        <v>397</v>
      </c>
    </row>
    <row r="36" spans="1:39">
      <c r="A36" s="140"/>
      <c r="B36" s="141" t="s">
        <v>544</v>
      </c>
      <c r="C36" s="141"/>
      <c r="D36" s="141"/>
      <c r="E36" s="141"/>
      <c r="F36" s="141"/>
      <c r="G36" s="141"/>
      <c r="H36" s="141"/>
      <c r="I36" s="141"/>
      <c r="J36" s="141"/>
      <c r="K36" s="141"/>
      <c r="L36" s="141"/>
      <c r="M36" s="141"/>
      <c r="N36" s="141"/>
      <c r="O36" s="141"/>
      <c r="P36" s="141"/>
      <c r="Q36" s="141"/>
      <c r="R36" s="141"/>
      <c r="S36" s="167"/>
      <c r="AD36" s="18" t="s">
        <v>65</v>
      </c>
      <c r="AG36" s="19" t="s">
        <v>23</v>
      </c>
      <c r="AK36" s="19" t="s">
        <v>390</v>
      </c>
    </row>
    <row r="37" spans="1:39" ht="12.75" customHeight="1">
      <c r="A37" s="140"/>
      <c r="B37" s="141"/>
      <c r="C37" s="141"/>
      <c r="D37" s="141"/>
      <c r="E37" s="141"/>
      <c r="F37" s="141"/>
      <c r="G37" s="141"/>
      <c r="H37" s="141"/>
      <c r="I37" s="141"/>
      <c r="J37" s="141"/>
      <c r="K37" s="141"/>
      <c r="L37" s="141"/>
      <c r="M37" s="141"/>
      <c r="N37" s="141"/>
      <c r="O37" s="141"/>
      <c r="P37" s="141"/>
      <c r="Q37" s="141"/>
      <c r="R37" s="141"/>
      <c r="S37" s="167"/>
      <c r="AD37" s="18" t="s">
        <v>66</v>
      </c>
      <c r="AG37" s="18" t="s">
        <v>11</v>
      </c>
      <c r="AK37" s="18" t="s">
        <v>11</v>
      </c>
    </row>
    <row r="38" spans="1:39" ht="12.75" customHeight="1">
      <c r="A38" s="140"/>
      <c r="B38" s="141"/>
      <c r="C38" s="141"/>
      <c r="D38" s="141"/>
      <c r="E38" s="141"/>
      <c r="F38" s="141"/>
      <c r="G38" s="141"/>
      <c r="H38" s="141"/>
      <c r="I38" s="141"/>
      <c r="J38" s="141"/>
      <c r="K38" s="141"/>
      <c r="L38" s="141"/>
      <c r="M38" s="141"/>
      <c r="N38" s="141"/>
      <c r="O38" s="141"/>
      <c r="P38" s="141"/>
      <c r="Q38" s="141"/>
      <c r="R38" s="141"/>
      <c r="S38" s="167"/>
      <c r="AD38" s="18" t="s">
        <v>4</v>
      </c>
      <c r="AG38" s="18" t="s">
        <v>24</v>
      </c>
      <c r="AK38" s="18" t="s">
        <v>391</v>
      </c>
    </row>
    <row r="39" spans="1:39">
      <c r="A39" s="140"/>
      <c r="B39" s="141"/>
      <c r="C39" s="141"/>
      <c r="D39" s="141"/>
      <c r="E39" s="141"/>
      <c r="F39" s="141"/>
      <c r="G39" s="141"/>
      <c r="H39" s="141"/>
      <c r="I39" s="141"/>
      <c r="J39" s="141"/>
      <c r="K39" s="141"/>
      <c r="L39" s="141"/>
      <c r="M39" s="141"/>
      <c r="N39" s="141"/>
      <c r="O39" s="141"/>
      <c r="P39" s="141"/>
      <c r="Q39" s="141"/>
      <c r="R39" s="141"/>
      <c r="S39" s="167"/>
      <c r="AD39" s="18" t="s">
        <v>105</v>
      </c>
      <c r="AG39" s="18" t="s">
        <v>17</v>
      </c>
      <c r="AK39" s="18" t="s">
        <v>392</v>
      </c>
    </row>
    <row r="40" spans="1:39">
      <c r="A40" s="168"/>
      <c r="B40" s="169"/>
      <c r="C40" s="169"/>
      <c r="D40" s="169"/>
      <c r="E40" s="169"/>
      <c r="F40" s="169"/>
      <c r="G40" s="169"/>
      <c r="H40" s="169"/>
      <c r="I40" s="169"/>
      <c r="J40" s="169"/>
      <c r="K40" s="169"/>
      <c r="L40" s="169"/>
      <c r="M40" s="169"/>
      <c r="N40" s="169"/>
      <c r="O40" s="169"/>
      <c r="P40" s="169"/>
      <c r="Q40" s="169"/>
      <c r="R40" s="169"/>
      <c r="S40" s="170"/>
      <c r="AD40" s="18" t="s">
        <v>67</v>
      </c>
      <c r="AG40" s="18" t="s">
        <v>25</v>
      </c>
    </row>
    <row r="41" spans="1:39">
      <c r="A41" s="134" t="s">
        <v>545</v>
      </c>
      <c r="B41" s="135"/>
      <c r="C41" s="135"/>
      <c r="D41" s="135"/>
      <c r="E41" s="135"/>
      <c r="F41" s="135"/>
      <c r="G41" s="135"/>
      <c r="H41" s="135"/>
      <c r="I41" s="135"/>
      <c r="J41" s="135"/>
      <c r="K41" s="135"/>
      <c r="L41" s="135"/>
      <c r="M41" s="135"/>
      <c r="N41" s="135"/>
      <c r="O41" s="135"/>
      <c r="P41" s="135"/>
      <c r="Q41" s="135"/>
      <c r="R41" s="135"/>
      <c r="S41" s="136"/>
    </row>
    <row r="42" spans="1:39">
      <c r="A42" s="142"/>
      <c r="B42" s="145"/>
      <c r="C42" s="145"/>
      <c r="D42" s="145"/>
      <c r="E42" s="145"/>
      <c r="F42" s="145"/>
      <c r="G42" s="145"/>
      <c r="H42" s="145"/>
      <c r="I42" s="145"/>
      <c r="J42" s="145"/>
      <c r="K42" s="145"/>
      <c r="L42" s="145"/>
      <c r="M42" s="145"/>
      <c r="N42" s="145"/>
      <c r="O42" s="145"/>
      <c r="P42" s="145"/>
      <c r="Q42" s="145"/>
      <c r="R42" s="145"/>
      <c r="S42" s="146"/>
    </row>
    <row r="43" spans="1:39">
      <c r="A43" s="143"/>
      <c r="B43" s="141" t="s">
        <v>546</v>
      </c>
      <c r="C43" s="141"/>
      <c r="D43" s="141"/>
      <c r="E43" s="141"/>
      <c r="F43" s="141"/>
      <c r="G43" s="141"/>
      <c r="H43" s="141"/>
      <c r="I43" s="141"/>
      <c r="J43" s="141"/>
      <c r="K43" s="141"/>
      <c r="L43" s="141"/>
      <c r="M43" s="141"/>
      <c r="N43" s="141"/>
      <c r="O43" s="141"/>
      <c r="P43" s="141"/>
      <c r="Q43" s="141"/>
      <c r="R43" s="141"/>
      <c r="S43" s="147"/>
      <c r="AD43" s="19" t="s">
        <v>40</v>
      </c>
      <c r="AG43" s="19" t="s">
        <v>109</v>
      </c>
    </row>
    <row r="44" spans="1:39">
      <c r="A44" s="143"/>
      <c r="B44" s="141"/>
      <c r="C44" s="141"/>
      <c r="D44" s="141"/>
      <c r="E44" s="141"/>
      <c r="F44" s="141"/>
      <c r="G44" s="141"/>
      <c r="H44" s="141"/>
      <c r="I44" s="141"/>
      <c r="J44" s="141"/>
      <c r="K44" s="141"/>
      <c r="L44" s="141"/>
      <c r="M44" s="141"/>
      <c r="N44" s="141"/>
      <c r="O44" s="141"/>
      <c r="P44" s="141"/>
      <c r="Q44" s="141"/>
      <c r="R44" s="141"/>
      <c r="S44" s="147"/>
      <c r="AD44" s="19" t="s">
        <v>11</v>
      </c>
      <c r="AG44" s="19" t="s">
        <v>11</v>
      </c>
    </row>
    <row r="45" spans="1:39">
      <c r="A45" s="144"/>
      <c r="B45" s="149"/>
      <c r="C45" s="149"/>
      <c r="D45" s="149"/>
      <c r="E45" s="149"/>
      <c r="F45" s="149"/>
      <c r="G45" s="149"/>
      <c r="H45" s="149"/>
      <c r="I45" s="149"/>
      <c r="J45" s="149"/>
      <c r="K45" s="149"/>
      <c r="L45" s="149"/>
      <c r="M45" s="149"/>
      <c r="N45" s="149"/>
      <c r="O45" s="149"/>
      <c r="P45" s="149"/>
      <c r="Q45" s="149"/>
      <c r="R45" s="149"/>
      <c r="S45" s="148"/>
      <c r="AD45" s="18" t="s">
        <v>5</v>
      </c>
      <c r="AG45" s="18" t="s">
        <v>60</v>
      </c>
    </row>
    <row r="46" spans="1:39">
      <c r="A46" s="134" t="s">
        <v>240</v>
      </c>
      <c r="B46" s="135"/>
      <c r="C46" s="135"/>
      <c r="D46" s="135"/>
      <c r="E46" s="135"/>
      <c r="F46" s="135"/>
      <c r="G46" s="135"/>
      <c r="H46" s="135"/>
      <c r="I46" s="135"/>
      <c r="J46" s="135"/>
      <c r="K46" s="135"/>
      <c r="L46" s="135"/>
      <c r="M46" s="135"/>
      <c r="N46" s="135"/>
      <c r="O46" s="135"/>
      <c r="P46" s="135"/>
      <c r="Q46" s="135"/>
      <c r="R46" s="135"/>
      <c r="S46" s="136"/>
      <c r="AD46" s="18" t="s">
        <v>6</v>
      </c>
      <c r="AG46" s="18" t="s">
        <v>68</v>
      </c>
    </row>
    <row r="47" spans="1:39">
      <c r="A47" s="279" t="s">
        <v>553</v>
      </c>
      <c r="B47" s="279"/>
      <c r="C47" s="279"/>
      <c r="D47" s="279"/>
      <c r="E47" s="279"/>
      <c r="F47" s="279"/>
      <c r="G47" s="279"/>
      <c r="H47" s="279"/>
      <c r="I47" s="276"/>
      <c r="J47" s="276"/>
      <c r="K47" s="276"/>
      <c r="L47" s="276"/>
      <c r="M47" s="276"/>
      <c r="N47" s="276"/>
      <c r="O47" s="276"/>
      <c r="P47" s="276"/>
      <c r="Q47" s="276"/>
      <c r="R47" s="276"/>
      <c r="S47" s="277"/>
      <c r="AD47" s="18" t="s">
        <v>7</v>
      </c>
      <c r="AG47" s="18" t="s">
        <v>61</v>
      </c>
    </row>
    <row r="48" spans="1:39">
      <c r="A48" s="280"/>
      <c r="B48" s="280"/>
      <c r="C48" s="280"/>
      <c r="D48" s="280"/>
      <c r="E48" s="280"/>
      <c r="F48" s="280"/>
      <c r="G48" s="280"/>
      <c r="H48" s="280"/>
      <c r="J48" s="27"/>
      <c r="K48" s="281" t="s">
        <v>554</v>
      </c>
      <c r="L48" s="27"/>
      <c r="M48" s="27"/>
      <c r="N48" s="27"/>
      <c r="O48" s="27"/>
      <c r="P48" s="27"/>
      <c r="Q48" s="27"/>
      <c r="R48" s="27"/>
      <c r="S48" s="22"/>
      <c r="T48" s="287"/>
      <c r="U48" s="132"/>
      <c r="V48" s="132"/>
      <c r="W48" s="132"/>
      <c r="X48" s="132"/>
      <c r="Y48" s="132"/>
      <c r="Z48" s="132"/>
      <c r="AA48" s="132"/>
      <c r="AB48" s="132"/>
      <c r="AC48" s="132"/>
      <c r="AD48" s="132"/>
      <c r="AE48" s="132"/>
      <c r="AF48" s="132"/>
      <c r="AG48" s="132"/>
      <c r="AH48" s="132"/>
      <c r="AI48" s="132"/>
      <c r="AJ48" s="132"/>
      <c r="AK48" s="132"/>
      <c r="AL48" s="132"/>
      <c r="AM48" s="133"/>
    </row>
    <row r="49" spans="1:33">
      <c r="A49" s="26"/>
      <c r="B49" s="27"/>
      <c r="C49" s="27"/>
      <c r="D49" s="27"/>
      <c r="E49" s="27"/>
      <c r="F49" s="27"/>
      <c r="G49" s="27"/>
      <c r="H49" s="27"/>
      <c r="I49" s="27"/>
      <c r="J49" s="27"/>
      <c r="K49" s="27"/>
      <c r="L49" s="27"/>
      <c r="M49" s="27"/>
      <c r="N49" s="27"/>
      <c r="O49" s="27"/>
      <c r="P49" s="27"/>
      <c r="Q49" s="27"/>
      <c r="R49" s="27"/>
      <c r="S49" s="22"/>
      <c r="AD49" s="18" t="s">
        <v>101</v>
      </c>
      <c r="AG49" s="18" t="s">
        <v>63</v>
      </c>
    </row>
    <row r="50" spans="1:33">
      <c r="A50" s="207" t="s">
        <v>2</v>
      </c>
      <c r="B50" s="208"/>
      <c r="C50" s="173"/>
      <c r="D50" s="173"/>
      <c r="E50" s="173"/>
      <c r="F50" s="173"/>
      <c r="G50" s="173"/>
      <c r="H50" s="173"/>
      <c r="I50" s="172" t="s">
        <v>137</v>
      </c>
      <c r="J50" s="172"/>
      <c r="K50" s="172"/>
      <c r="L50" s="206"/>
      <c r="M50" s="206"/>
      <c r="N50" s="206"/>
      <c r="O50" s="206"/>
      <c r="P50" s="206"/>
      <c r="Q50" s="206"/>
      <c r="R50" s="206"/>
      <c r="S50" s="130"/>
      <c r="AD50" s="18" t="s">
        <v>102</v>
      </c>
      <c r="AG50" s="18" t="s">
        <v>62</v>
      </c>
    </row>
    <row r="51" spans="1:33">
      <c r="A51" s="26"/>
      <c r="B51" s="27"/>
      <c r="C51" s="27"/>
      <c r="D51" s="27"/>
      <c r="E51" s="27"/>
      <c r="F51" s="27"/>
      <c r="G51" s="27"/>
      <c r="H51" s="27"/>
      <c r="I51" s="27"/>
      <c r="J51" s="27"/>
      <c r="K51" s="27"/>
      <c r="L51" s="27"/>
      <c r="M51" s="27"/>
      <c r="N51" s="27"/>
      <c r="O51" s="27"/>
      <c r="P51" s="27"/>
      <c r="Q51" s="27"/>
      <c r="R51" s="27"/>
      <c r="S51" s="22"/>
      <c r="AD51" s="18" t="s">
        <v>103</v>
      </c>
      <c r="AG51" s="18" t="s">
        <v>64</v>
      </c>
    </row>
    <row r="52" spans="1:33">
      <c r="A52" s="283" t="s">
        <v>555</v>
      </c>
      <c r="B52" s="278"/>
      <c r="C52" s="278"/>
      <c r="D52" s="278"/>
      <c r="E52" s="278"/>
      <c r="F52" s="278"/>
      <c r="G52" s="278"/>
      <c r="H52" s="278"/>
      <c r="I52" s="172"/>
      <c r="J52" s="172"/>
      <c r="K52" s="172"/>
      <c r="L52" s="285"/>
      <c r="M52" s="285"/>
      <c r="N52" s="285"/>
      <c r="O52" s="285"/>
      <c r="P52" s="27"/>
      <c r="Q52" s="27"/>
      <c r="R52" s="27"/>
      <c r="S52" s="35" t="s">
        <v>69</v>
      </c>
      <c r="AD52" s="18" t="s">
        <v>8</v>
      </c>
      <c r="AG52" s="18" t="s">
        <v>59</v>
      </c>
    </row>
    <row r="53" spans="1:33" ht="19.5" customHeight="1">
      <c r="A53" s="282" t="s">
        <v>556</v>
      </c>
      <c r="B53" s="36"/>
      <c r="C53" s="36"/>
      <c r="D53" s="36"/>
      <c r="E53" s="36"/>
      <c r="F53" s="36"/>
      <c r="G53" s="36"/>
      <c r="H53" s="36"/>
      <c r="I53" s="284" t="s">
        <v>71</v>
      </c>
      <c r="J53" s="284"/>
      <c r="K53" s="284"/>
      <c r="L53" s="36"/>
      <c r="M53" s="36"/>
      <c r="N53" s="36"/>
      <c r="O53" s="36"/>
      <c r="P53" s="36"/>
      <c r="Q53" s="36"/>
      <c r="R53" s="36"/>
      <c r="S53" s="286" t="s">
        <v>557</v>
      </c>
      <c r="AG53" s="18" t="s">
        <v>104</v>
      </c>
    </row>
    <row r="57" spans="1:33">
      <c r="A57"/>
      <c r="B57"/>
      <c r="C57"/>
      <c r="D57"/>
      <c r="E57"/>
      <c r="F57"/>
      <c r="G57"/>
      <c r="H57"/>
      <c r="I57"/>
      <c r="J57"/>
      <c r="K57"/>
      <c r="L57"/>
      <c r="M57"/>
      <c r="N57"/>
      <c r="O57"/>
      <c r="P57"/>
    </row>
    <row r="58" spans="1:33">
      <c r="A58"/>
      <c r="B58"/>
      <c r="C58"/>
      <c r="D58"/>
      <c r="E58"/>
      <c r="F58"/>
      <c r="G58"/>
      <c r="H58"/>
      <c r="I58"/>
      <c r="J58"/>
      <c r="K58"/>
      <c r="L58"/>
      <c r="M58"/>
      <c r="N58"/>
      <c r="O58"/>
      <c r="P58"/>
    </row>
    <row r="59" spans="1:33">
      <c r="A59"/>
      <c r="B59"/>
      <c r="C59"/>
      <c r="D59"/>
      <c r="E59"/>
      <c r="F59"/>
      <c r="G59"/>
      <c r="H59"/>
      <c r="I59"/>
      <c r="J59"/>
      <c r="K59"/>
      <c r="L59"/>
      <c r="M59"/>
      <c r="N59"/>
      <c r="O59"/>
      <c r="P59"/>
    </row>
    <row r="60" spans="1:33">
      <c r="A60"/>
      <c r="B60"/>
      <c r="C60"/>
      <c r="D60"/>
      <c r="E60"/>
      <c r="F60"/>
      <c r="G60"/>
      <c r="H60"/>
      <c r="I60"/>
      <c r="J60"/>
      <c r="K60"/>
      <c r="L60"/>
      <c r="M60"/>
      <c r="N60"/>
      <c r="O60"/>
      <c r="P60"/>
    </row>
    <row r="61" spans="1:33">
      <c r="A61"/>
      <c r="B61"/>
      <c r="C61"/>
      <c r="D61"/>
      <c r="E61"/>
      <c r="F61"/>
      <c r="G61"/>
      <c r="H61"/>
      <c r="I61"/>
      <c r="J61"/>
      <c r="K61"/>
      <c r="L61"/>
      <c r="M61"/>
      <c r="N61"/>
      <c r="O61"/>
      <c r="P61"/>
    </row>
    <row r="62" spans="1:33">
      <c r="A62"/>
      <c r="B62"/>
      <c r="C62"/>
      <c r="D62"/>
      <c r="E62"/>
      <c r="F62"/>
      <c r="G62"/>
      <c r="H62"/>
      <c r="I62"/>
      <c r="J62"/>
      <c r="K62"/>
      <c r="L62"/>
      <c r="M62"/>
      <c r="N62"/>
      <c r="O62"/>
      <c r="P62"/>
    </row>
    <row r="63" spans="1:33">
      <c r="A63"/>
      <c r="B63"/>
      <c r="C63"/>
      <c r="D63"/>
      <c r="E63"/>
      <c r="F63"/>
      <c r="G63"/>
      <c r="H63"/>
      <c r="I63"/>
      <c r="J63"/>
      <c r="K63"/>
      <c r="L63"/>
      <c r="M63"/>
      <c r="N63"/>
      <c r="O63"/>
      <c r="P63"/>
    </row>
    <row r="64" spans="1:33">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sheetData>
  <sheetProtection selectLockedCells="1"/>
  <mergeCells count="108">
    <mergeCell ref="L52:O52"/>
    <mergeCell ref="A47:H48"/>
    <mergeCell ref="A52:H52"/>
    <mergeCell ref="I53:K53"/>
    <mergeCell ref="F33:M33"/>
    <mergeCell ref="N33:O33"/>
    <mergeCell ref="P33:Q33"/>
    <mergeCell ref="R33:S33"/>
    <mergeCell ref="L50:R50"/>
    <mergeCell ref="A50:B50"/>
    <mergeCell ref="C50:H50"/>
    <mergeCell ref="I50:K50"/>
    <mergeCell ref="I52:K52"/>
    <mergeCell ref="R31:S31"/>
    <mergeCell ref="F32:J32"/>
    <mergeCell ref="K32:M32"/>
    <mergeCell ref="N32:O32"/>
    <mergeCell ref="P32:Q32"/>
    <mergeCell ref="R32:S32"/>
    <mergeCell ref="F31:J31"/>
    <mergeCell ref="N31:O31"/>
    <mergeCell ref="P31:Q31"/>
    <mergeCell ref="K31:M31"/>
    <mergeCell ref="U26:AB27"/>
    <mergeCell ref="B26:D26"/>
    <mergeCell ref="B28:D28"/>
    <mergeCell ref="A30:B30"/>
    <mergeCell ref="C30:D30"/>
    <mergeCell ref="R29:S29"/>
    <mergeCell ref="F30:J30"/>
    <mergeCell ref="K30:M30"/>
    <mergeCell ref="N30:O30"/>
    <mergeCell ref="P30:Q30"/>
    <mergeCell ref="F25:J26"/>
    <mergeCell ref="K25:M26"/>
    <mergeCell ref="R30:S30"/>
    <mergeCell ref="F29:J29"/>
    <mergeCell ref="N29:O29"/>
    <mergeCell ref="P29:Q29"/>
    <mergeCell ref="K29:M29"/>
    <mergeCell ref="A24:S24"/>
    <mergeCell ref="O18:R18"/>
    <mergeCell ref="O19:R19"/>
    <mergeCell ref="L6:O6"/>
    <mergeCell ref="D14:S14"/>
    <mergeCell ref="K18:M18"/>
    <mergeCell ref="N8:Q8"/>
    <mergeCell ref="M10:O10"/>
    <mergeCell ref="C10:L10"/>
    <mergeCell ref="B19:E19"/>
    <mergeCell ref="A10:B10"/>
    <mergeCell ref="D15:S15"/>
    <mergeCell ref="P10:S10"/>
    <mergeCell ref="C11:L11"/>
    <mergeCell ref="C12:L12"/>
    <mergeCell ref="R6:S6"/>
    <mergeCell ref="A22:E22"/>
    <mergeCell ref="F22:M22"/>
    <mergeCell ref="A17:S17"/>
    <mergeCell ref="G19:I19"/>
    <mergeCell ref="G18:I18"/>
    <mergeCell ref="G20:I20"/>
    <mergeCell ref="P4:R4"/>
    <mergeCell ref="C6:I6"/>
    <mergeCell ref="A6:B6"/>
    <mergeCell ref="N4:O4"/>
    <mergeCell ref="J6:K6"/>
    <mergeCell ref="A8:B8"/>
    <mergeCell ref="J8:M8"/>
    <mergeCell ref="K19:M19"/>
    <mergeCell ref="B18:D18"/>
    <mergeCell ref="K20:M20"/>
    <mergeCell ref="O20:R20"/>
    <mergeCell ref="B20:E20"/>
    <mergeCell ref="A1:S1"/>
    <mergeCell ref="A2:S2"/>
    <mergeCell ref="C8:F8"/>
    <mergeCell ref="B4:F4"/>
    <mergeCell ref="I4:L4"/>
    <mergeCell ref="F28:J28"/>
    <mergeCell ref="K28:M28"/>
    <mergeCell ref="N28:O28"/>
    <mergeCell ref="P28:Q28"/>
    <mergeCell ref="R28:S28"/>
    <mergeCell ref="S36:S39"/>
    <mergeCell ref="A40:S40"/>
    <mergeCell ref="A32:B32"/>
    <mergeCell ref="C32:D32"/>
    <mergeCell ref="B43:R44"/>
    <mergeCell ref="B45:R45"/>
    <mergeCell ref="F27:J27"/>
    <mergeCell ref="R26:S26"/>
    <mergeCell ref="K27:M27"/>
    <mergeCell ref="N27:O27"/>
    <mergeCell ref="P27:Q27"/>
    <mergeCell ref="R27:S27"/>
    <mergeCell ref="N25:O26"/>
    <mergeCell ref="P25:Q26"/>
    <mergeCell ref="U48:AM48"/>
    <mergeCell ref="A46:S46"/>
    <mergeCell ref="A34:S34"/>
    <mergeCell ref="A35:S35"/>
    <mergeCell ref="A36:A39"/>
    <mergeCell ref="B36:R39"/>
    <mergeCell ref="A41:S41"/>
    <mergeCell ref="A42:A45"/>
    <mergeCell ref="B42:R42"/>
    <mergeCell ref="S42:S45"/>
  </mergeCells>
  <phoneticPr fontId="17" type="noConversion"/>
  <dataValidations count="17">
    <dataValidation type="list" allowBlank="1" showInputMessage="1" showErrorMessage="1" sqref="K19:L20">
      <formula1>$AG$13:$AG$18</formula1>
    </dataValidation>
    <dataValidation type="list" allowBlank="1" showInputMessage="1" showErrorMessage="1" sqref="P10:S10">
      <formula1>$AK$3:$AK$25</formula1>
    </dataValidation>
    <dataValidation type="list" allowBlank="1" showInputMessage="1" showErrorMessage="1" sqref="B19:D20">
      <formula1>$AD$13:$AD$20</formula1>
    </dataValidation>
    <dataValidation type="list" allowBlank="1" showInputMessage="1" showErrorMessage="1" sqref="F22:M22">
      <formula1>$AD$26:$AD$30</formula1>
    </dataValidation>
    <dataValidation type="list" allowBlank="1" showInputMessage="1" showErrorMessage="1" sqref="B28:C28">
      <formula1>$AD$34:$AD$40</formula1>
    </dataValidation>
    <dataValidation type="list" allowBlank="1" showInputMessage="1" showErrorMessage="1" sqref="C30:D30">
      <formula1>$AG$37:$AG$40</formula1>
    </dataValidation>
    <dataValidation type="list" allowBlank="1" showInputMessage="1" showErrorMessage="1" sqref="C32:D32">
      <formula1>$AG$44:$AG$53</formula1>
    </dataValidation>
    <dataValidation type="list" allowBlank="1" showInputMessage="1" showErrorMessage="1" sqref="O19:R20">
      <formula1>$AH$28:$AH$33</formula1>
    </dataValidation>
    <dataValidation type="list" allowBlank="1" showInputMessage="1" showErrorMessage="1" sqref="K27:M27">
      <formula1>$U$28:$AB$28</formula1>
    </dataValidation>
    <dataValidation type="list" allowBlank="1" showInputMessage="1" showErrorMessage="1" sqref="K28:M28">
      <formula1>$U$29:$AB$29</formula1>
    </dataValidation>
    <dataValidation type="list" allowBlank="1" showInputMessage="1" showErrorMessage="1" sqref="K29:M29">
      <formula1>$U$30:$AB$30</formula1>
    </dataValidation>
    <dataValidation type="list" allowBlank="1" showInputMessage="1" showErrorMessage="1" sqref="K30:M30">
      <formula1>$U$31:$AB$31</formula1>
    </dataValidation>
    <dataValidation type="list" allowBlank="1" showInputMessage="1" showErrorMessage="1" sqref="K31:M31">
      <formula1>$U$32:$AB$32</formula1>
    </dataValidation>
    <dataValidation type="list" allowBlank="1" showInputMessage="1" showErrorMessage="1" sqref="K32:M32">
      <formula1>$U$33:$AB$33</formula1>
    </dataValidation>
    <dataValidation type="list" allowBlank="1" showInputMessage="1" showErrorMessage="1" sqref="S25">
      <formula1>$AK$37:$AK$39</formula1>
    </dataValidation>
    <dataValidation type="list" allowBlank="1" showInputMessage="1" showErrorMessage="1" sqref="B26:D26">
      <formula1>$AD$44:$AD$52</formula1>
    </dataValidation>
    <dataValidation type="list" allowBlank="1" showInputMessage="1" showErrorMessage="1" sqref="C10:L12">
      <formula1>$AD$3:$AD$10</formula1>
    </dataValidation>
  </dataValidations>
  <printOptions horizontalCentered="1"/>
  <pageMargins left="0.75" right="0.75" top="0.75" bottom="0.75" header="0.5" footer="0.5"/>
  <pageSetup orientation="portrait"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2"/>
  <dimension ref="A1:AH165"/>
  <sheetViews>
    <sheetView zoomScaleNormal="100" workbookViewId="0">
      <selection activeCell="G23" sqref="G23"/>
    </sheetView>
  </sheetViews>
  <sheetFormatPr defaultRowHeight="12.75"/>
  <cols>
    <col min="1" max="1" width="3.1640625" style="1" customWidth="1"/>
    <col min="2" max="2" width="14.33203125" style="1" customWidth="1"/>
    <col min="3" max="3" width="13.33203125" style="1" customWidth="1"/>
    <col min="4" max="4" width="7.33203125" style="1" customWidth="1"/>
    <col min="5" max="5" width="8.33203125" style="1" customWidth="1"/>
    <col min="6" max="6" width="9.83203125" style="1" customWidth="1"/>
    <col min="7" max="7" width="8.33203125" style="1" customWidth="1"/>
    <col min="8" max="8" width="8.5" style="1" customWidth="1"/>
    <col min="9" max="11" width="8.33203125" style="1" customWidth="1"/>
    <col min="12" max="16" width="8.83203125" style="1" customWidth="1"/>
    <col min="17" max="17" width="10.33203125" style="1" customWidth="1"/>
    <col min="18" max="19" width="9.33203125" style="1"/>
    <col min="20" max="20" width="10.33203125" style="1" customWidth="1"/>
    <col min="21" max="22" width="9.33203125" style="1"/>
    <col min="23" max="23" width="9.83203125" style="1" customWidth="1"/>
    <col min="24" max="25" width="9.33203125" style="1"/>
    <col min="26" max="26" width="9.83203125" style="1" customWidth="1"/>
    <col min="27" max="28" width="9.33203125" style="1"/>
    <col min="29" max="29" width="9.83203125" style="1" customWidth="1"/>
    <col min="30" max="16384" width="9.33203125" style="1"/>
  </cols>
  <sheetData>
    <row r="1" spans="1:34" ht="15.75" customHeight="1">
      <c r="A1" s="229" t="s">
        <v>229</v>
      </c>
      <c r="B1" s="230"/>
      <c r="C1" s="230"/>
      <c r="D1" s="230"/>
      <c r="E1" s="230"/>
      <c r="F1" s="230"/>
      <c r="G1" s="230"/>
      <c r="H1" s="230"/>
      <c r="I1" s="230"/>
      <c r="J1" s="230"/>
      <c r="K1" s="230"/>
      <c r="L1" s="231"/>
    </row>
    <row r="2" spans="1:34" ht="12.75" customHeight="1">
      <c r="A2" s="232"/>
      <c r="B2" s="233"/>
      <c r="C2" s="233"/>
      <c r="D2" s="233"/>
      <c r="E2" s="233"/>
      <c r="F2" s="233"/>
      <c r="G2" s="233"/>
      <c r="H2" s="233"/>
      <c r="I2" s="233"/>
      <c r="J2" s="233"/>
      <c r="K2" s="233"/>
      <c r="L2" s="234"/>
      <c r="AC2" s="45" t="s">
        <v>490</v>
      </c>
      <c r="AG2" s="45" t="s">
        <v>359</v>
      </c>
    </row>
    <row r="3" spans="1:34" ht="12.75" customHeight="1">
      <c r="A3" s="235" t="s">
        <v>36</v>
      </c>
      <c r="B3" s="238" t="s">
        <v>352</v>
      </c>
      <c r="C3" s="239"/>
      <c r="D3" s="244" t="s">
        <v>524</v>
      </c>
      <c r="E3" s="223" t="s">
        <v>37</v>
      </c>
      <c r="F3" s="211" t="s">
        <v>38</v>
      </c>
      <c r="G3" s="247" t="s">
        <v>38</v>
      </c>
      <c r="H3" s="211" t="s">
        <v>348</v>
      </c>
      <c r="I3" s="211" t="s">
        <v>39</v>
      </c>
      <c r="J3" s="211" t="s">
        <v>130</v>
      </c>
      <c r="K3" s="223" t="s">
        <v>230</v>
      </c>
      <c r="L3" s="221" t="s">
        <v>231</v>
      </c>
      <c r="AC3" s="1" t="s">
        <v>11</v>
      </c>
      <c r="AD3" s="1" t="s">
        <v>11</v>
      </c>
      <c r="AG3" s="1" t="s">
        <v>11</v>
      </c>
    </row>
    <row r="4" spans="1:34">
      <c r="A4" s="236"/>
      <c r="B4" s="240"/>
      <c r="C4" s="241"/>
      <c r="D4" s="245"/>
      <c r="E4" s="224"/>
      <c r="F4" s="212"/>
      <c r="G4" s="214"/>
      <c r="H4" s="212"/>
      <c r="I4" s="214"/>
      <c r="J4" s="214"/>
      <c r="K4" s="224"/>
      <c r="L4" s="222"/>
      <c r="AC4" s="107" t="s">
        <v>540</v>
      </c>
      <c r="AD4" s="92">
        <v>1</v>
      </c>
      <c r="AE4" s="92">
        <v>5</v>
      </c>
      <c r="AG4" s="1" t="s">
        <v>360</v>
      </c>
      <c r="AH4" s="92">
        <v>7</v>
      </c>
    </row>
    <row r="5" spans="1:34">
      <c r="A5" s="237"/>
      <c r="B5" s="242"/>
      <c r="C5" s="243"/>
      <c r="D5" s="246"/>
      <c r="E5" s="16" t="s">
        <v>41</v>
      </c>
      <c r="F5" s="69" t="s">
        <v>232</v>
      </c>
      <c r="G5" s="47" t="s">
        <v>42</v>
      </c>
      <c r="H5" s="213"/>
      <c r="I5" s="47" t="s">
        <v>41</v>
      </c>
      <c r="J5" s="47" t="s">
        <v>41</v>
      </c>
      <c r="K5" s="16" t="s">
        <v>233</v>
      </c>
      <c r="L5" s="52" t="s">
        <v>234</v>
      </c>
      <c r="AC5" s="1" t="s">
        <v>539</v>
      </c>
      <c r="AD5" s="92">
        <v>2</v>
      </c>
      <c r="AE5" s="92">
        <v>5</v>
      </c>
      <c r="AG5" s="1" t="s">
        <v>361</v>
      </c>
      <c r="AH5" s="92">
        <v>8</v>
      </c>
    </row>
    <row r="6" spans="1:34">
      <c r="A6" s="80">
        <v>1</v>
      </c>
      <c r="B6" s="215" t="s">
        <v>49</v>
      </c>
      <c r="C6" s="216"/>
      <c r="D6" s="127">
        <f>IF(B6=" "," ",VLOOKUP(B6,'Seed  List'!$A$4:$H$104,4,4))</f>
        <v>39.2102</v>
      </c>
      <c r="E6" s="17">
        <v>0.4</v>
      </c>
      <c r="F6" s="70">
        <f>IF(B6=" "," ",IF($Z$16=18,D6*E6*43560/VLOOKUP(B6,'Seed  List'!$A$4:$M$104,2),IF($Z$16=21,E6*VLOOKUP(B6,'Seed  List'!$A$4:$M$104,$W$16),IF($Z$16=23,D6*E6*43560/VLOOKUP(B6,'Seed  List'!$A$4:$M$104,2)*1.5,IF($Z$16&gt;24,E6*VLOOKUP(B6,'Seed  List'!$A$4:$M$104,$W$16)*1.25)))))</f>
        <v>4.8000000000000007</v>
      </c>
      <c r="G6" s="70">
        <f t="shared" ref="G6:G11" si="0">IF(B6=" "," ",F6/I6/J6)</f>
        <v>6.666666666666667</v>
      </c>
      <c r="H6" s="98">
        <f>IF(B6=" "," ",IF($K$12=" "," ",IF($L$13=" "," ",IF($L$13="PLS",(F6*VLOOKUP(B6,'Seed  List'!$A$4:$M$104,2)/43560)*($K$12/12),IF($L$13="Bulk",(G6*VLOOKUP(B6,'Seed  List'!$A$4:$M$104,2)/43560)*($K$12/12))))))</f>
        <v>38.121110090807065</v>
      </c>
      <c r="I6" s="48">
        <f>IF(B6=" "," ",VLOOKUP($B6,'Seed  List'!$A$4:$S$104,10)/100)</f>
        <v>0.9</v>
      </c>
      <c r="J6" s="48">
        <f>IF(B6=" "," ",VLOOKUP($B6,'Seed  List'!$A$4:$S$104,11)/100)</f>
        <v>0.8</v>
      </c>
      <c r="K6" s="71">
        <f>IF(B6=" "," ",VLOOKUP($B6,'Seed  List'!$A$4:$S$104,12))</f>
        <v>1.5</v>
      </c>
      <c r="L6" s="75">
        <f>IF(K6=" "," ",IF(VLOOKUP(B6,'Seed  List'!$A$4:$M$104,13)="P",F6*K6,IF(VLOOKUP(B6,'Seed  List'!$A$4:$M$104,13)="B",G6*K6)))</f>
        <v>10</v>
      </c>
      <c r="W6" s="1" t="s">
        <v>492</v>
      </c>
      <c r="Z6" s="1" t="s">
        <v>485</v>
      </c>
      <c r="AC6" s="107" t="s">
        <v>538</v>
      </c>
      <c r="AD6" s="92">
        <v>3</v>
      </c>
      <c r="AE6" s="92">
        <v>5</v>
      </c>
      <c r="AG6" s="1" t="s">
        <v>351</v>
      </c>
      <c r="AH6" s="92">
        <v>5</v>
      </c>
    </row>
    <row r="7" spans="1:34">
      <c r="A7" s="46">
        <v>2</v>
      </c>
      <c r="B7" s="215"/>
      <c r="C7" s="216"/>
      <c r="D7" s="127" t="e">
        <f>IF(B7=" "," ",VLOOKUP(B7,'Seed  List'!$A$4:$H$104,4,4))</f>
        <v>#N/A</v>
      </c>
      <c r="E7" s="17"/>
      <c r="F7" s="70" t="e">
        <f>IF(B7=" "," ",IF($Z$16=18,D7*E7*43560/VLOOKUP(B7,'Seed  List'!$A$4:$M$104,2),IF($Z$16=21,E7*VLOOKUP(B7,'Seed  List'!$A$4:$M$104,$W$16),IF($Z$16=23,D7*E7*43560/VLOOKUP(B7,'Seed  List'!$A$4:$M$104,2)*1.5,IF($Z$16&gt;24,E7*VLOOKUP(B7,'Seed  List'!$A$4:$M$104,$W$16)*1.25)))))</f>
        <v>#N/A</v>
      </c>
      <c r="G7" s="70" t="e">
        <f t="shared" si="0"/>
        <v>#N/A</v>
      </c>
      <c r="H7" s="98" t="e">
        <f>IF(B7=" "," ",IF($K$12=" "," ",IF($L$13=" "," ",IF($L$13="PLS",(F7*VLOOKUP(B7,'Seed  List'!$A$4:$M$104,2)/43560)*($K$12/12),IF($L$13="Bulk",(G7*VLOOKUP(B7,'Seed  List'!$A$4:$M$104,2)/43560)*($K$12/12))))))</f>
        <v>#N/A</v>
      </c>
      <c r="I7" s="48" t="e">
        <f>IF(B7=" "," ",VLOOKUP($B7,'Seed  List'!$A$4:$S$104,10)/100)</f>
        <v>#N/A</v>
      </c>
      <c r="J7" s="48" t="e">
        <f>IF(B7=" "," ",VLOOKUP($B7,'Seed  List'!$A$4:$S$104,11)/100)</f>
        <v>#N/A</v>
      </c>
      <c r="K7" s="71" t="e">
        <f>IF(B7=" "," ",VLOOKUP($B7,'Seed  List'!$A$4:$S$104,12))</f>
        <v>#N/A</v>
      </c>
      <c r="L7" s="75" t="e">
        <f>IF(K7=" "," ",IF(VLOOKUP(B7,'Seed  List'!$A$4:$M$104,13)="P",F7*K7,IF(VLOOKUP(B7,'Seed  List'!$A$4:$M$104,13)="B",G7*K7)))</f>
        <v>#N/A</v>
      </c>
      <c r="W7" s="106">
        <f>IF(C12=" ",0,10)</f>
        <v>10</v>
      </c>
      <c r="Z7" s="106">
        <f>IF(I13=" ",0,IF(I13="None",0,5))</f>
        <v>5</v>
      </c>
      <c r="AC7" s="1" t="s">
        <v>541</v>
      </c>
      <c r="AD7" s="92">
        <v>4</v>
      </c>
      <c r="AE7" s="92">
        <v>5</v>
      </c>
      <c r="AG7" s="1" t="s">
        <v>362</v>
      </c>
      <c r="AH7" s="92">
        <v>6</v>
      </c>
    </row>
    <row r="8" spans="1:34">
      <c r="A8" s="46">
        <v>3</v>
      </c>
      <c r="B8" s="215"/>
      <c r="C8" s="216"/>
      <c r="D8" s="127" t="e">
        <f>IF(B8=" "," ",VLOOKUP(B8,'Seed  List'!$A$4:$H$104,4,4))</f>
        <v>#N/A</v>
      </c>
      <c r="E8" s="17"/>
      <c r="F8" s="70" t="e">
        <f>IF(B8=" "," ",IF($Z$16=18,D8*E8*43560/VLOOKUP(B8,'Seed  List'!$A$4:$M$104,2),IF($Z$16=21,E8*VLOOKUP(B8,'Seed  List'!$A$4:$M$104,$W$16),IF($Z$16=23,D8*E8*43560/VLOOKUP(B8,'Seed  List'!$A$4:$M$104,2)*1.5,IF($Z$16&gt;24,E8*VLOOKUP(B8,'Seed  List'!$A$4:$M$104,$W$16)*1.25)))))</f>
        <v>#N/A</v>
      </c>
      <c r="G8" s="70" t="e">
        <f t="shared" si="0"/>
        <v>#N/A</v>
      </c>
      <c r="H8" s="98" t="e">
        <f>IF(B8=" "," ",IF($K$12=" "," ",IF($L$13=" "," ",IF($L$13="PLS",(F8*VLOOKUP(B8,'Seed  List'!$A$4:$M$104,2)/43560)*($K$12/12),IF($L$13="Bulk",(G8*VLOOKUP(B8,'Seed  List'!$A$4:$M$104,2)/43560)*($K$12/12))))))</f>
        <v>#N/A</v>
      </c>
      <c r="I8" s="48" t="e">
        <f>IF(B8=" "," ",VLOOKUP($B8,'Seed  List'!$A$4:$S$104,10)/100)</f>
        <v>#N/A</v>
      </c>
      <c r="J8" s="48" t="e">
        <f>IF(B8=" "," ",VLOOKUP($B8,'Seed  List'!$A$4:$S$104,11)/100)</f>
        <v>#N/A</v>
      </c>
      <c r="K8" s="71" t="e">
        <f>IF(B8=" "," ",VLOOKUP($B8,'Seed  List'!$A$4:$S$104,12))</f>
        <v>#N/A</v>
      </c>
      <c r="L8" s="75" t="e">
        <f>IF(K8=" "," ",IF(VLOOKUP(B8,'Seed  List'!$A$4:$M$104,13)="P",F8*K8,IF(VLOOKUP(B8,'Seed  List'!$A$4:$M$104,13)="B",G8*K8)))</f>
        <v>#N/A</v>
      </c>
      <c r="Z8"/>
      <c r="AC8" s="1" t="s">
        <v>11</v>
      </c>
      <c r="AD8" s="92" t="s">
        <v>11</v>
      </c>
      <c r="AE8" s="92" t="s">
        <v>11</v>
      </c>
      <c r="AG8" s="1" t="s">
        <v>363</v>
      </c>
      <c r="AH8" s="92">
        <v>8</v>
      </c>
    </row>
    <row r="9" spans="1:34">
      <c r="A9" s="46">
        <v>4</v>
      </c>
      <c r="B9" s="215"/>
      <c r="C9" s="216"/>
      <c r="D9" s="127" t="e">
        <f>IF(B9=" "," ",VLOOKUP(B9,'Seed  List'!$A$4:$H$104,4,4))</f>
        <v>#N/A</v>
      </c>
      <c r="E9" s="17"/>
      <c r="F9" s="70" t="e">
        <f>IF(B9=" "," ",IF($Z$16=18,D9*E9*43560/VLOOKUP(B9,'Seed  List'!$A$4:$M$104,2),IF($Z$16=21,E9*VLOOKUP(B9,'Seed  List'!$A$4:$M$104,$W$16),IF($Z$16=23,D9*E9*43560/VLOOKUP(B9,'Seed  List'!$A$4:$M$104,2)*1.5,IF($Z$16&gt;24,E9*VLOOKUP(B9,'Seed  List'!$A$4:$M$104,$W$16)*1.25)))))</f>
        <v>#N/A</v>
      </c>
      <c r="G9" s="70" t="e">
        <f t="shared" si="0"/>
        <v>#N/A</v>
      </c>
      <c r="H9" s="98" t="e">
        <f>IF(B9=" "," ",IF($K$12=" "," ",IF($L$13=" "," ",IF($L$13="PLS",(F9*VLOOKUP(B9,'Seed  List'!$A$4:$M$104,2)/43560)*($K$12/12),IF($L$13="Bulk",(G9*VLOOKUP(B9,'Seed  List'!$A$4:$M$104,2)/43560)*($K$12/12))))))</f>
        <v>#N/A</v>
      </c>
      <c r="I9" s="48" t="e">
        <f>IF(B9=" "," ",VLOOKUP($B9,'Seed  List'!$A$4:$S$104,10)/100)</f>
        <v>#N/A</v>
      </c>
      <c r="J9" s="48" t="e">
        <f>IF(B9=" "," ",VLOOKUP($B9,'Seed  List'!$A$4:$S$104,11)/100)</f>
        <v>#N/A</v>
      </c>
      <c r="K9" s="71" t="e">
        <f>IF(B9=" "," ",VLOOKUP($B9,'Seed  List'!$A$4:$S$104,12))</f>
        <v>#N/A</v>
      </c>
      <c r="L9" s="75" t="e">
        <f>IF(K9=" "," ",IF(VLOOKUP(B9,'Seed  List'!$A$4:$M$104,13)="P",F9*K9,IF(VLOOKUP(B9,'Seed  List'!$A$4:$M$104,13)="B",G9*K9)))</f>
        <v>#N/A</v>
      </c>
      <c r="W9" s="1" t="s">
        <v>487</v>
      </c>
      <c r="Z9" s="1" t="s">
        <v>516</v>
      </c>
      <c r="AC9" s="1" t="s">
        <v>11</v>
      </c>
      <c r="AD9" s="92" t="s">
        <v>11</v>
      </c>
      <c r="AE9" s="92" t="s">
        <v>11</v>
      </c>
      <c r="AG9" s="1" t="s">
        <v>364</v>
      </c>
      <c r="AH9" s="92">
        <v>8</v>
      </c>
    </row>
    <row r="10" spans="1:34">
      <c r="A10" s="46">
        <v>5</v>
      </c>
      <c r="B10" s="215"/>
      <c r="C10" s="216"/>
      <c r="D10" s="127" t="e">
        <f>IF(B10=" "," ",VLOOKUP(B10,'Seed  List'!$A$4:$H$104,4,4))</f>
        <v>#N/A</v>
      </c>
      <c r="E10" s="17"/>
      <c r="F10" s="70" t="e">
        <f>IF(B10=" "," ",IF($Z$16=18,D10*E10*43560/VLOOKUP(B10,'Seed  List'!$A$4:$M$104,2),IF($Z$16=21,E10*VLOOKUP(B10,'Seed  List'!$A$4:$M$104,$W$16),IF($Z$16=23,D10*E10*43560/VLOOKUP(B10,'Seed  List'!$A$4:$M$104,2)*1.5,IF($Z$16&gt;24,E10*VLOOKUP(B10,'Seed  List'!$A$4:$M$104,$W$16)*1.25)))))</f>
        <v>#N/A</v>
      </c>
      <c r="G10" s="70" t="e">
        <f t="shared" si="0"/>
        <v>#N/A</v>
      </c>
      <c r="H10" s="98" t="e">
        <f>IF(B10=" "," ",IF($K$12=" "," ",IF($L$13=" "," ",IF($L$13="PLS",(F10*VLOOKUP(B10,'Seed  List'!$A$4:$M$104,2)/43560)*($K$12/12),IF($L$13="Bulk",(G10*VLOOKUP(B10,'Seed  List'!$A$4:$M$104,2)/43560)*($K$12/12))))))</f>
        <v>#N/A</v>
      </c>
      <c r="I10" s="48" t="e">
        <f>IF(B10=" "," ",VLOOKUP($B10,'Seed  List'!$A$4:$S$104,10)/100)</f>
        <v>#N/A</v>
      </c>
      <c r="J10" s="48" t="e">
        <f>IF(B10=" "," ",VLOOKUP($B10,'Seed  List'!$A$4:$S$104,11)/100)</f>
        <v>#N/A</v>
      </c>
      <c r="K10" s="71" t="e">
        <f>IF(B10=" "," ",VLOOKUP($B10,'Seed  List'!$A$4:$S$104,12))</f>
        <v>#N/A</v>
      </c>
      <c r="L10" s="75" t="e">
        <f>IF(K10=" "," ",IF(VLOOKUP(B10,'Seed  List'!$A$4:$M$104,13)="P",F10*K10,IF(VLOOKUP(B10,'Seed  List'!$A$4:$M$104,13)="B",G10*K10)))</f>
        <v>#N/A</v>
      </c>
      <c r="W10" s="106">
        <f>IF(C13="Y", 5,0)</f>
        <v>0</v>
      </c>
      <c r="Z10" s="106" t="b">
        <f>AND(C13="Y",Z7&gt;0)</f>
        <v>0</v>
      </c>
      <c r="AC10" s="1" t="s">
        <v>11</v>
      </c>
      <c r="AD10" s="92" t="s">
        <v>11</v>
      </c>
      <c r="AE10" s="92" t="s">
        <v>11</v>
      </c>
      <c r="AG10" s="1" t="s">
        <v>365</v>
      </c>
      <c r="AH10" s="92">
        <v>9</v>
      </c>
    </row>
    <row r="11" spans="1:34">
      <c r="A11" s="46">
        <v>6</v>
      </c>
      <c r="B11" s="215" t="s">
        <v>11</v>
      </c>
      <c r="C11" s="216"/>
      <c r="D11" s="127" t="str">
        <f>IF(B11=" "," ",VLOOKUP(B11,'Seed  List'!$A$4:$H$104,4,4))</f>
        <v xml:space="preserve"> </v>
      </c>
      <c r="E11" s="17"/>
      <c r="F11" s="70" t="str">
        <f>IF(B11=" "," ",IF($Z$16=18,D11*E11*43560/VLOOKUP(B11,'Seed  List'!$A$4:$M$104,2),IF($Z$16=21,E11*VLOOKUP(B11,'Seed  List'!$A$4:$M$104,$W$16),IF($Z$16=23,D11*E11*43560/VLOOKUP(B11,'Seed  List'!$A$4:$M$104,2)*1.5,IF($Z$16&gt;24,E11*VLOOKUP(B11,'Seed  List'!$A$4:$M$104,$W$16)*1.25)))))</f>
        <v xml:space="preserve"> </v>
      </c>
      <c r="G11" s="70" t="str">
        <f t="shared" si="0"/>
        <v xml:space="preserve"> </v>
      </c>
      <c r="H11" s="98" t="str">
        <f>IF(B11=" "," ",IF($K$12=" "," ",IF($L$13=" "," ",IF($L$13="PLS",(F11*VLOOKUP(B11,'Seed  List'!$A$4:$M$104,2)/43560)*($K$12/12),IF($L$13="Bulk",(G11*VLOOKUP(B11,'Seed  List'!$A$4:$M$104,2)/43560)*($K$12/12))))))</f>
        <v xml:space="preserve"> </v>
      </c>
      <c r="I11" s="48" t="str">
        <f>IF(B11=" "," ",VLOOKUP($B11,'Seed  List'!$A$4:$S$104,10)/100)</f>
        <v xml:space="preserve"> </v>
      </c>
      <c r="J11" s="48" t="str">
        <f>IF(B11=" "," ",VLOOKUP($B11,'Seed  List'!$A$4:$S$104,11)/100)</f>
        <v xml:space="preserve"> </v>
      </c>
      <c r="K11" s="71" t="str">
        <f>IF(B11=" "," ",VLOOKUP($B11,'Seed  List'!$A$4:$S$104,12))</f>
        <v xml:space="preserve"> </v>
      </c>
      <c r="L11" s="75" t="str">
        <f>IF(K11=" "," ",IF(VLOOKUP(B11,'Seed  List'!$A$4:$M$104,13)="P",F11*K11,IF(VLOOKUP(B11,'Seed  List'!$A$4:$M$104,13)="B",G11*K11)))</f>
        <v xml:space="preserve"> </v>
      </c>
      <c r="AC11" s="1" t="s">
        <v>11</v>
      </c>
      <c r="AD11" s="92" t="s">
        <v>11</v>
      </c>
      <c r="AE11" s="92" t="s">
        <v>11</v>
      </c>
    </row>
    <row r="12" spans="1:34">
      <c r="A12" s="219" t="s">
        <v>535</v>
      </c>
      <c r="B12" s="220"/>
      <c r="C12" s="73" t="s">
        <v>541</v>
      </c>
      <c r="D12" s="44" t="s">
        <v>235</v>
      </c>
      <c r="E12" s="49">
        <f>SUM(E4:E11)</f>
        <v>0.4</v>
      </c>
      <c r="F12" s="50" t="e">
        <f>IF(B4=" "," ",SUM(F4:F11))</f>
        <v>#N/A</v>
      </c>
      <c r="G12" s="50" t="e">
        <f>IF(B4=" "," ",SUM(G4:G11))</f>
        <v>#N/A</v>
      </c>
      <c r="H12" s="72" t="e">
        <f>IF(B6=" "," ",IF($K$12=" "," ",IF($L$13=" "," ",SUM(H4:H11))))</f>
        <v>#N/A</v>
      </c>
      <c r="I12" s="225" t="s">
        <v>236</v>
      </c>
      <c r="J12" s="226"/>
      <c r="K12" s="73">
        <v>7</v>
      </c>
      <c r="L12" s="74" t="e">
        <f>SUM(L4:L11)</f>
        <v>#N/A</v>
      </c>
      <c r="W12" s="1" t="s">
        <v>484</v>
      </c>
      <c r="Z12" t="s">
        <v>517</v>
      </c>
      <c r="AC12" s="1" t="s">
        <v>11</v>
      </c>
      <c r="AD12" s="92" t="s">
        <v>11</v>
      </c>
      <c r="AE12" s="92" t="s">
        <v>11</v>
      </c>
      <c r="AG12" s="45" t="s">
        <v>357</v>
      </c>
    </row>
    <row r="13" spans="1:34">
      <c r="A13" s="217" t="s">
        <v>349</v>
      </c>
      <c r="B13" s="218"/>
      <c r="C13" s="129" t="s">
        <v>31</v>
      </c>
      <c r="D13" s="217" t="s">
        <v>522</v>
      </c>
      <c r="E13" s="218"/>
      <c r="F13" s="129" t="s">
        <v>366</v>
      </c>
      <c r="G13" s="217" t="s">
        <v>350</v>
      </c>
      <c r="H13" s="218"/>
      <c r="I13" s="227" t="s">
        <v>361</v>
      </c>
      <c r="J13" s="228"/>
      <c r="K13" s="128" t="s">
        <v>525</v>
      </c>
      <c r="L13" s="129" t="s">
        <v>391</v>
      </c>
      <c r="W13" s="106">
        <f>IF(F13="Irrigated",5,IF(F13="Dry",2))</f>
        <v>5</v>
      </c>
      <c r="Z13" s="106">
        <f>IF(Z10,5,6)</f>
        <v>6</v>
      </c>
      <c r="AC13" s="1" t="s">
        <v>11</v>
      </c>
      <c r="AD13" s="92" t="s">
        <v>11</v>
      </c>
      <c r="AE13" s="92" t="s">
        <v>11</v>
      </c>
    </row>
    <row r="14" spans="1:34" ht="14.25">
      <c r="A14" s="210" t="s">
        <v>489</v>
      </c>
      <c r="B14" s="210"/>
      <c r="C14" s="210"/>
      <c r="D14" s="210"/>
      <c r="E14" s="210"/>
      <c r="F14" s="210"/>
      <c r="G14" s="210"/>
      <c r="H14" s="210"/>
      <c r="I14" s="210"/>
      <c r="J14" s="210"/>
      <c r="K14" s="210"/>
      <c r="L14" s="210"/>
      <c r="AC14" s="1" t="s">
        <v>11</v>
      </c>
      <c r="AD14" s="92" t="s">
        <v>11</v>
      </c>
      <c r="AE14" s="92" t="s">
        <v>11</v>
      </c>
      <c r="AG14" s="92" t="s">
        <v>358</v>
      </c>
    </row>
    <row r="15" spans="1:34" ht="12.75" customHeight="1">
      <c r="A15" s="209" t="s">
        <v>488</v>
      </c>
      <c r="B15" s="209"/>
      <c r="C15" s="209"/>
      <c r="D15" s="209"/>
      <c r="E15" s="209"/>
      <c r="F15" s="209"/>
      <c r="G15" s="209"/>
      <c r="H15" s="209"/>
      <c r="I15" s="209"/>
      <c r="J15" s="209"/>
      <c r="K15" s="209"/>
      <c r="L15" s="209"/>
      <c r="M15"/>
      <c r="W15" s="1" t="s">
        <v>518</v>
      </c>
      <c r="Z15" s="1" t="s">
        <v>486</v>
      </c>
      <c r="AG15" s="92" t="s">
        <v>31</v>
      </c>
    </row>
    <row r="16" spans="1:34">
      <c r="A16" s="209" t="s">
        <v>237</v>
      </c>
      <c r="B16" s="209"/>
      <c r="C16" s="209"/>
      <c r="D16" s="209"/>
      <c r="E16" s="209"/>
      <c r="F16" s="209"/>
      <c r="G16" s="209"/>
      <c r="H16" s="209"/>
      <c r="I16" s="209"/>
      <c r="J16" s="209"/>
      <c r="K16" s="209"/>
      <c r="L16" s="209"/>
      <c r="M16"/>
      <c r="W16" s="106">
        <f>IF(F13="Irrigated",VLOOKUP($I$13,AG3:AH10,2),0)</f>
        <v>8</v>
      </c>
      <c r="Z16" s="106">
        <f>IF(W7+W10+W13+Z13=22,W7+W10+W13+Z13+1,W7+W10+W13+Z13)</f>
        <v>21</v>
      </c>
      <c r="AC16" s="45" t="s">
        <v>520</v>
      </c>
    </row>
    <row r="17" spans="1:34">
      <c r="A17"/>
      <c r="B17"/>
      <c r="C17"/>
      <c r="D17"/>
      <c r="E17"/>
      <c r="F17"/>
      <c r="G17"/>
      <c r="H17"/>
      <c r="I17"/>
      <c r="J17"/>
      <c r="K17"/>
      <c r="L17"/>
      <c r="AG17" s="45" t="s">
        <v>141</v>
      </c>
    </row>
    <row r="18" spans="1:34" ht="12.75" customHeight="1">
      <c r="W18" s="1" t="s">
        <v>491</v>
      </c>
      <c r="AC18" s="1" t="s">
        <v>521</v>
      </c>
      <c r="AG18" s="1" t="s">
        <v>11</v>
      </c>
    </row>
    <row r="19" spans="1:34" ht="12.75" customHeight="1">
      <c r="W19" s="106">
        <f>VLOOKUP($C$12,$AC$3:$AE$7,2)</f>
        <v>4</v>
      </c>
      <c r="AC19" s="1" t="s">
        <v>366</v>
      </c>
      <c r="AG19" s="1" t="s">
        <v>391</v>
      </c>
    </row>
    <row r="20" spans="1:34">
      <c r="AG20" s="1" t="s">
        <v>392</v>
      </c>
    </row>
    <row r="21" spans="1:34">
      <c r="AE21"/>
      <c r="AF21"/>
      <c r="AG21"/>
      <c r="AH21"/>
    </row>
    <row r="22" spans="1:34">
      <c r="AE22"/>
      <c r="AF22"/>
      <c r="AG22"/>
      <c r="AH22"/>
    </row>
    <row r="23" spans="1:34">
      <c r="AE23"/>
      <c r="AF23"/>
      <c r="AG23"/>
      <c r="AH23"/>
    </row>
    <row r="24" spans="1:34">
      <c r="AE24"/>
      <c r="AF24"/>
      <c r="AG24"/>
      <c r="AH24"/>
    </row>
    <row r="25" spans="1:34">
      <c r="AE25"/>
      <c r="AF25"/>
      <c r="AG25"/>
      <c r="AH25"/>
    </row>
    <row r="26" spans="1:34">
      <c r="AE26"/>
      <c r="AF26"/>
      <c r="AG26"/>
      <c r="AH26"/>
    </row>
    <row r="27" spans="1:34">
      <c r="AE27"/>
      <c r="AF27"/>
      <c r="AG27"/>
      <c r="AH27"/>
    </row>
    <row r="28" spans="1:34">
      <c r="AE28"/>
      <c r="AF28"/>
      <c r="AG28"/>
      <c r="AH28"/>
    </row>
    <row r="29" spans="1:34">
      <c r="AE29"/>
      <c r="AF29"/>
      <c r="AG29"/>
      <c r="AH29"/>
    </row>
    <row r="30" spans="1:34">
      <c r="AE30"/>
      <c r="AF30"/>
      <c r="AG30"/>
      <c r="AH30"/>
    </row>
    <row r="31" spans="1:34">
      <c r="AE31"/>
      <c r="AF31"/>
      <c r="AG31"/>
      <c r="AH31"/>
    </row>
    <row r="32" spans="1:34">
      <c r="AE32"/>
      <c r="AF32"/>
      <c r="AG32"/>
      <c r="AH32"/>
    </row>
    <row r="33" spans="1:34">
      <c r="AE33"/>
      <c r="AF33"/>
      <c r="AG33"/>
      <c r="AH33"/>
    </row>
    <row r="34" spans="1:34">
      <c r="AE34"/>
      <c r="AF34"/>
      <c r="AG34"/>
      <c r="AH34"/>
    </row>
    <row r="35" spans="1:34">
      <c r="A35"/>
      <c r="B35" s="45" t="s">
        <v>540</v>
      </c>
      <c r="C35"/>
      <c r="D35" s="45" t="s">
        <v>539</v>
      </c>
      <c r="E35"/>
      <c r="F35"/>
      <c r="G35" s="45" t="s">
        <v>538</v>
      </c>
      <c r="H35"/>
      <c r="I35"/>
      <c r="K35" s="45" t="s">
        <v>541</v>
      </c>
      <c r="T35" s="68"/>
      <c r="U35" s="68"/>
      <c r="AE35"/>
      <c r="AF35"/>
      <c r="AG35"/>
      <c r="AH35"/>
    </row>
    <row r="36" spans="1:34">
      <c r="A36"/>
      <c r="B36" t="s">
        <v>11</v>
      </c>
      <c r="C36"/>
      <c r="D36" t="s">
        <v>11</v>
      </c>
      <c r="E36"/>
      <c r="F36"/>
      <c r="G36" t="s">
        <v>11</v>
      </c>
      <c r="H36"/>
      <c r="I36"/>
      <c r="T36" s="1" t="s">
        <v>11</v>
      </c>
      <c r="U36" s="1" t="s">
        <v>11</v>
      </c>
      <c r="AE36"/>
      <c r="AF36"/>
      <c r="AG36"/>
      <c r="AH36"/>
    </row>
    <row r="37" spans="1:34">
      <c r="A37"/>
      <c r="B37" s="1" t="s">
        <v>471</v>
      </c>
      <c r="C37"/>
      <c r="D37" s="9" t="s">
        <v>160</v>
      </c>
      <c r="E37"/>
      <c r="F37"/>
      <c r="G37" t="s">
        <v>30</v>
      </c>
      <c r="H37"/>
      <c r="I37"/>
      <c r="K37" t="s">
        <v>30</v>
      </c>
      <c r="AE37"/>
      <c r="AF37"/>
      <c r="AG37"/>
      <c r="AH37"/>
    </row>
    <row r="38" spans="1:34">
      <c r="A38"/>
      <c r="B38" s="1" t="s">
        <v>409</v>
      </c>
      <c r="C38"/>
      <c r="D38" s="9" t="s">
        <v>162</v>
      </c>
      <c r="E38"/>
      <c r="F38"/>
      <c r="G38" t="s">
        <v>32</v>
      </c>
      <c r="H38"/>
      <c r="I38"/>
      <c r="K38" s="1" t="s">
        <v>471</v>
      </c>
      <c r="AE38"/>
      <c r="AF38"/>
      <c r="AG38"/>
      <c r="AH38"/>
    </row>
    <row r="39" spans="1:34">
      <c r="A39"/>
      <c r="B39" t="s">
        <v>536</v>
      </c>
      <c r="C39"/>
      <c r="D39" s="9" t="s">
        <v>165</v>
      </c>
      <c r="E39"/>
      <c r="F39"/>
      <c r="G39" t="s">
        <v>33</v>
      </c>
      <c r="H39"/>
      <c r="I39"/>
      <c r="K39" s="1" t="s">
        <v>409</v>
      </c>
      <c r="AE39"/>
      <c r="AF39"/>
      <c r="AG39"/>
      <c r="AH39"/>
    </row>
    <row r="40" spans="1:34">
      <c r="A40"/>
      <c r="B40" s="1" t="s">
        <v>375</v>
      </c>
      <c r="C40"/>
      <c r="D40" s="9" t="s">
        <v>167</v>
      </c>
      <c r="E40"/>
      <c r="F40"/>
      <c r="G40" t="s">
        <v>177</v>
      </c>
      <c r="H40"/>
      <c r="I40"/>
      <c r="K40" t="s">
        <v>536</v>
      </c>
      <c r="AE40"/>
      <c r="AF40"/>
      <c r="AG40"/>
      <c r="AH40"/>
    </row>
    <row r="41" spans="1:34">
      <c r="A41"/>
      <c r="B41" s="1" t="s">
        <v>537</v>
      </c>
      <c r="C41"/>
      <c r="D41" s="1" t="s">
        <v>190</v>
      </c>
      <c r="E41"/>
      <c r="F41"/>
      <c r="G41" t="s">
        <v>395</v>
      </c>
      <c r="H41"/>
      <c r="I41"/>
      <c r="K41" s="9" t="s">
        <v>157</v>
      </c>
      <c r="AE41"/>
      <c r="AF41"/>
      <c r="AG41"/>
      <c r="AH41"/>
    </row>
    <row r="42" spans="1:34">
      <c r="A42"/>
      <c r="B42" s="1" t="s">
        <v>376</v>
      </c>
      <c r="C42"/>
      <c r="D42" s="1" t="s">
        <v>455</v>
      </c>
      <c r="E42"/>
      <c r="F42"/>
      <c r="G42" t="s">
        <v>180</v>
      </c>
      <c r="H42"/>
      <c r="I42"/>
      <c r="K42" t="s">
        <v>32</v>
      </c>
      <c r="AE42"/>
      <c r="AF42"/>
      <c r="AG42"/>
      <c r="AH42"/>
    </row>
    <row r="43" spans="1:34">
      <c r="A43"/>
      <c r="B43" s="1" t="s">
        <v>481</v>
      </c>
      <c r="C43"/>
      <c r="D43" s="1" t="s">
        <v>191</v>
      </c>
      <c r="E43"/>
      <c r="F43"/>
      <c r="G43" t="s">
        <v>182</v>
      </c>
      <c r="H43"/>
      <c r="I43"/>
      <c r="K43" s="9" t="s">
        <v>160</v>
      </c>
      <c r="AE43"/>
      <c r="AF43"/>
      <c r="AG43"/>
      <c r="AH43"/>
    </row>
    <row r="44" spans="1:34">
      <c r="A44"/>
      <c r="B44" s="1" t="s">
        <v>373</v>
      </c>
      <c r="C44"/>
      <c r="D44" s="1" t="s">
        <v>192</v>
      </c>
      <c r="E44"/>
      <c r="F44"/>
      <c r="G44" s="1" t="s">
        <v>184</v>
      </c>
      <c r="H44"/>
      <c r="I44"/>
      <c r="K44" s="9" t="s">
        <v>162</v>
      </c>
      <c r="AE44"/>
      <c r="AF44"/>
      <c r="AG44"/>
      <c r="AH44"/>
    </row>
    <row r="45" spans="1:34">
      <c r="A45"/>
      <c r="B45" s="1" t="s">
        <v>374</v>
      </c>
      <c r="C45"/>
      <c r="D45" t="s">
        <v>193</v>
      </c>
      <c r="E45"/>
      <c r="F45"/>
      <c r="G45" t="s">
        <v>125</v>
      </c>
      <c r="H45"/>
      <c r="I45"/>
      <c r="K45" s="9" t="s">
        <v>165</v>
      </c>
      <c r="AE45"/>
      <c r="AF45"/>
      <c r="AG45"/>
      <c r="AH45"/>
    </row>
    <row r="46" spans="1:34">
      <c r="A46"/>
      <c r="B46" s="1" t="s">
        <v>11</v>
      </c>
      <c r="C46"/>
      <c r="D46" s="9" t="s">
        <v>48</v>
      </c>
      <c r="E46"/>
      <c r="F46"/>
      <c r="G46" t="s">
        <v>45</v>
      </c>
      <c r="H46"/>
      <c r="I46"/>
      <c r="K46" s="9" t="s">
        <v>167</v>
      </c>
      <c r="AE46"/>
      <c r="AF46"/>
      <c r="AG46"/>
      <c r="AH46"/>
    </row>
    <row r="47" spans="1:34">
      <c r="A47"/>
      <c r="B47" t="s">
        <v>11</v>
      </c>
      <c r="C47"/>
      <c r="D47" t="s">
        <v>49</v>
      </c>
      <c r="E47"/>
      <c r="F47"/>
      <c r="G47" s="1" t="s">
        <v>47</v>
      </c>
      <c r="H47"/>
      <c r="I47"/>
      <c r="K47" t="s">
        <v>33</v>
      </c>
      <c r="AE47"/>
      <c r="AF47"/>
      <c r="AG47"/>
      <c r="AH47"/>
    </row>
    <row r="48" spans="1:34">
      <c r="A48"/>
      <c r="B48" t="s">
        <v>11</v>
      </c>
      <c r="C48"/>
      <c r="D48" t="s">
        <v>203</v>
      </c>
      <c r="E48"/>
      <c r="F48"/>
      <c r="G48" s="1" t="s">
        <v>212</v>
      </c>
      <c r="H48"/>
      <c r="I48"/>
      <c r="K48" t="s">
        <v>177</v>
      </c>
      <c r="AE48"/>
      <c r="AF48"/>
      <c r="AG48"/>
      <c r="AH48"/>
    </row>
    <row r="49" spans="1:34">
      <c r="A49"/>
      <c r="B49" t="s">
        <v>11</v>
      </c>
      <c r="C49"/>
      <c r="D49" s="1" t="s">
        <v>205</v>
      </c>
      <c r="E49"/>
      <c r="F49"/>
      <c r="G49" s="1" t="s">
        <v>44</v>
      </c>
      <c r="H49"/>
      <c r="I49"/>
      <c r="K49" t="s">
        <v>395</v>
      </c>
      <c r="AE49"/>
      <c r="AF49"/>
      <c r="AG49"/>
      <c r="AH49"/>
    </row>
    <row r="50" spans="1:34">
      <c r="A50"/>
      <c r="B50" s="1" t="s">
        <v>11</v>
      </c>
      <c r="C50"/>
      <c r="D50" t="s">
        <v>50</v>
      </c>
      <c r="E50"/>
      <c r="F50"/>
      <c r="H50"/>
      <c r="I50"/>
      <c r="K50" t="s">
        <v>180</v>
      </c>
      <c r="AE50"/>
      <c r="AF50"/>
      <c r="AG50"/>
      <c r="AH50"/>
    </row>
    <row r="51" spans="1:34">
      <c r="A51"/>
      <c r="B51" s="1" t="s">
        <v>11</v>
      </c>
      <c r="C51"/>
      <c r="D51" t="s">
        <v>483</v>
      </c>
      <c r="E51"/>
      <c r="F51"/>
      <c r="G51" t="s">
        <v>11</v>
      </c>
      <c r="H51"/>
      <c r="I51"/>
      <c r="K51" t="s">
        <v>182</v>
      </c>
      <c r="AE51"/>
      <c r="AF51"/>
      <c r="AG51"/>
      <c r="AH51"/>
    </row>
    <row r="52" spans="1:34">
      <c r="A52"/>
      <c r="C52"/>
      <c r="D52" s="1" t="s">
        <v>213</v>
      </c>
      <c r="E52"/>
      <c r="F52"/>
      <c r="G52" s="1" t="s">
        <v>11</v>
      </c>
      <c r="H52"/>
      <c r="I52"/>
      <c r="K52" s="1" t="s">
        <v>184</v>
      </c>
      <c r="AE52"/>
      <c r="AF52"/>
      <c r="AG52"/>
      <c r="AH52"/>
    </row>
    <row r="53" spans="1:34">
      <c r="D53" s="9" t="s">
        <v>214</v>
      </c>
      <c r="K53" t="s">
        <v>125</v>
      </c>
      <c r="AE53"/>
      <c r="AF53"/>
      <c r="AG53"/>
      <c r="AH53"/>
    </row>
    <row r="54" spans="1:34">
      <c r="D54" s="9" t="s">
        <v>551</v>
      </c>
      <c r="K54" s="1" t="s">
        <v>190</v>
      </c>
      <c r="AE54"/>
      <c r="AF54"/>
      <c r="AG54"/>
      <c r="AH54"/>
    </row>
    <row r="55" spans="1:34">
      <c r="D55" s="9" t="s">
        <v>552</v>
      </c>
      <c r="K55" s="1" t="s">
        <v>455</v>
      </c>
      <c r="AE55"/>
      <c r="AF55"/>
      <c r="AG55"/>
      <c r="AH55"/>
    </row>
    <row r="56" spans="1:34">
      <c r="D56" s="1" t="s">
        <v>215</v>
      </c>
      <c r="K56" s="1" t="s">
        <v>191</v>
      </c>
      <c r="AE56"/>
      <c r="AF56"/>
      <c r="AG56"/>
      <c r="AH56"/>
    </row>
    <row r="57" spans="1:34">
      <c r="D57" t="s">
        <v>216</v>
      </c>
      <c r="K57" s="1" t="s">
        <v>192</v>
      </c>
      <c r="AE57"/>
      <c r="AF57"/>
      <c r="AG57"/>
      <c r="AH57"/>
    </row>
    <row r="58" spans="1:34">
      <c r="D58" t="s">
        <v>217</v>
      </c>
      <c r="K58" t="s">
        <v>193</v>
      </c>
      <c r="AE58"/>
      <c r="AF58"/>
      <c r="AG58"/>
      <c r="AH58"/>
    </row>
    <row r="59" spans="1:34">
      <c r="D59" s="9" t="s">
        <v>320</v>
      </c>
      <c r="K59" s="9" t="s">
        <v>43</v>
      </c>
      <c r="AE59"/>
      <c r="AF59"/>
      <c r="AG59"/>
      <c r="AH59"/>
    </row>
    <row r="60" spans="1:34">
      <c r="D60" s="1" t="s">
        <v>219</v>
      </c>
      <c r="K60" s="9" t="s">
        <v>128</v>
      </c>
      <c r="AE60"/>
      <c r="AF60"/>
      <c r="AG60"/>
      <c r="AH60"/>
    </row>
    <row r="61" spans="1:34">
      <c r="D61" s="9" t="s">
        <v>220</v>
      </c>
      <c r="K61" s="9" t="s">
        <v>48</v>
      </c>
      <c r="AE61"/>
      <c r="AF61"/>
      <c r="AG61"/>
      <c r="AH61"/>
    </row>
    <row r="62" spans="1:34">
      <c r="D62" t="s">
        <v>221</v>
      </c>
      <c r="K62" s="9" t="s">
        <v>46</v>
      </c>
      <c r="AE62"/>
      <c r="AF62"/>
      <c r="AG62"/>
      <c r="AH62"/>
    </row>
    <row r="63" spans="1:34">
      <c r="D63" s="9" t="s">
        <v>222</v>
      </c>
      <c r="K63" s="9" t="s">
        <v>51</v>
      </c>
      <c r="AE63"/>
      <c r="AF63"/>
      <c r="AG63"/>
      <c r="AH63"/>
    </row>
    <row r="64" spans="1:34">
      <c r="D64" s="1" t="s">
        <v>223</v>
      </c>
      <c r="K64" s="1" t="s">
        <v>375</v>
      </c>
      <c r="AE64"/>
      <c r="AF64"/>
      <c r="AG64"/>
      <c r="AH64"/>
    </row>
    <row r="65" spans="2:34">
      <c r="D65" t="s">
        <v>224</v>
      </c>
      <c r="K65" t="s">
        <v>49</v>
      </c>
      <c r="AE65"/>
      <c r="AF65"/>
      <c r="AG65"/>
      <c r="AH65"/>
    </row>
    <row r="66" spans="2:34">
      <c r="D66" t="s">
        <v>225</v>
      </c>
      <c r="K66" t="s">
        <v>203</v>
      </c>
      <c r="AE66"/>
      <c r="AF66"/>
      <c r="AG66"/>
      <c r="AH66"/>
    </row>
    <row r="67" spans="2:34">
      <c r="D67" s="1" t="s">
        <v>226</v>
      </c>
      <c r="K67" s="1" t="s">
        <v>537</v>
      </c>
      <c r="AE67"/>
      <c r="AF67"/>
      <c r="AG67"/>
      <c r="AH67"/>
    </row>
    <row r="68" spans="2:34">
      <c r="K68" s="1" t="s">
        <v>205</v>
      </c>
      <c r="AE68"/>
      <c r="AF68"/>
      <c r="AG68"/>
      <c r="AH68"/>
    </row>
    <row r="69" spans="2:34">
      <c r="K69" t="s">
        <v>45</v>
      </c>
      <c r="AE69"/>
      <c r="AF69"/>
      <c r="AG69"/>
      <c r="AH69"/>
    </row>
    <row r="70" spans="2:34">
      <c r="K70" s="1" t="s">
        <v>47</v>
      </c>
      <c r="AE70"/>
      <c r="AF70"/>
      <c r="AG70"/>
      <c r="AH70"/>
    </row>
    <row r="71" spans="2:34">
      <c r="K71" s="1" t="s">
        <v>376</v>
      </c>
      <c r="AE71"/>
      <c r="AF71"/>
      <c r="AG71"/>
      <c r="AH71"/>
    </row>
    <row r="72" spans="2:34">
      <c r="K72" s="1" t="s">
        <v>212</v>
      </c>
      <c r="AE72"/>
      <c r="AF72"/>
      <c r="AG72"/>
      <c r="AH72"/>
    </row>
    <row r="73" spans="2:34">
      <c r="K73" t="s">
        <v>50</v>
      </c>
      <c r="AE73"/>
      <c r="AF73"/>
      <c r="AG73"/>
      <c r="AH73"/>
    </row>
    <row r="74" spans="2:34">
      <c r="K74" s="1" t="s">
        <v>481</v>
      </c>
      <c r="AE74"/>
      <c r="AF74"/>
      <c r="AG74"/>
      <c r="AH74"/>
    </row>
    <row r="75" spans="2:34">
      <c r="B75" s="45"/>
      <c r="C75"/>
      <c r="E75" s="45"/>
      <c r="I75" s="68"/>
      <c r="K75" s="9" t="s">
        <v>53</v>
      </c>
      <c r="AE75"/>
      <c r="AF75"/>
      <c r="AG75"/>
      <c r="AH75"/>
    </row>
    <row r="76" spans="2:34">
      <c r="B76"/>
      <c r="C76"/>
      <c r="I76" s="9"/>
      <c r="K76" s="1" t="s">
        <v>373</v>
      </c>
      <c r="AE76"/>
      <c r="AF76"/>
      <c r="AG76"/>
      <c r="AH76"/>
    </row>
    <row r="77" spans="2:34">
      <c r="B77"/>
      <c r="C77"/>
      <c r="I77" s="9"/>
      <c r="K77" s="1" t="s">
        <v>374</v>
      </c>
      <c r="AE77"/>
      <c r="AF77"/>
      <c r="AG77"/>
      <c r="AH77"/>
    </row>
    <row r="78" spans="2:34">
      <c r="C78"/>
      <c r="I78" s="9"/>
      <c r="K78" t="s">
        <v>483</v>
      </c>
      <c r="AE78"/>
      <c r="AF78"/>
      <c r="AG78"/>
      <c r="AH78"/>
    </row>
    <row r="79" spans="2:34">
      <c r="B79"/>
      <c r="C79"/>
      <c r="I79" s="9"/>
      <c r="K79" s="1" t="s">
        <v>213</v>
      </c>
      <c r="AE79"/>
      <c r="AF79"/>
      <c r="AG79"/>
      <c r="AH79"/>
    </row>
    <row r="80" spans="2:34">
      <c r="B80"/>
      <c r="C80"/>
      <c r="I80" s="9"/>
      <c r="K80" s="9" t="s">
        <v>214</v>
      </c>
      <c r="AE80"/>
      <c r="AF80"/>
      <c r="AG80"/>
      <c r="AH80"/>
    </row>
    <row r="81" spans="2:11">
      <c r="B81"/>
      <c r="C81"/>
      <c r="I81" s="9"/>
      <c r="K81" s="9" t="s">
        <v>551</v>
      </c>
    </row>
    <row r="82" spans="2:11">
      <c r="B82"/>
      <c r="C82"/>
      <c r="I82" s="9"/>
      <c r="K82" s="9" t="s">
        <v>552</v>
      </c>
    </row>
    <row r="83" spans="2:11">
      <c r="B83"/>
      <c r="C83"/>
      <c r="I83" s="9"/>
      <c r="K83" s="1" t="s">
        <v>215</v>
      </c>
    </row>
    <row r="84" spans="2:11">
      <c r="B84"/>
      <c r="C84"/>
      <c r="I84" s="9"/>
      <c r="K84" t="s">
        <v>216</v>
      </c>
    </row>
    <row r="85" spans="2:11">
      <c r="B85"/>
      <c r="C85"/>
      <c r="I85" s="9"/>
      <c r="K85" t="s">
        <v>217</v>
      </c>
    </row>
    <row r="86" spans="2:11">
      <c r="B86"/>
      <c r="C86"/>
      <c r="I86" s="9"/>
      <c r="K86" s="9" t="s">
        <v>320</v>
      </c>
    </row>
    <row r="87" spans="2:11">
      <c r="B87"/>
      <c r="C87"/>
      <c r="I87" s="9"/>
      <c r="K87" s="1" t="s">
        <v>219</v>
      </c>
    </row>
    <row r="88" spans="2:11">
      <c r="C88"/>
      <c r="I88" s="9"/>
      <c r="K88" s="9" t="s">
        <v>220</v>
      </c>
    </row>
    <row r="89" spans="2:11">
      <c r="C89"/>
      <c r="I89" s="9"/>
      <c r="K89" t="s">
        <v>221</v>
      </c>
    </row>
    <row r="90" spans="2:11">
      <c r="C90"/>
      <c r="I90" s="9"/>
      <c r="K90" s="9" t="s">
        <v>222</v>
      </c>
    </row>
    <row r="91" spans="2:11">
      <c r="C91"/>
      <c r="I91" s="9"/>
      <c r="K91" s="1" t="s">
        <v>223</v>
      </c>
    </row>
    <row r="92" spans="2:11">
      <c r="B92"/>
      <c r="C92"/>
      <c r="I92" s="9"/>
      <c r="K92" t="s">
        <v>224</v>
      </c>
    </row>
    <row r="93" spans="2:11">
      <c r="I93" s="9"/>
      <c r="K93" t="s">
        <v>225</v>
      </c>
    </row>
    <row r="94" spans="2:11">
      <c r="B94" s="9"/>
      <c r="I94" s="9"/>
      <c r="K94" s="1" t="s">
        <v>226</v>
      </c>
    </row>
    <row r="95" spans="2:11">
      <c r="B95" s="9"/>
      <c r="I95" s="9"/>
      <c r="K95" s="1" t="s">
        <v>44</v>
      </c>
    </row>
    <row r="96" spans="2:11">
      <c r="B96" s="9"/>
      <c r="I96" s="9"/>
    </row>
    <row r="97" spans="2:9">
      <c r="B97"/>
      <c r="I97" s="9"/>
    </row>
    <row r="98" spans="2:9">
      <c r="B98"/>
    </row>
    <row r="99" spans="2:9">
      <c r="B99"/>
    </row>
    <row r="100" spans="2:9">
      <c r="B100"/>
    </row>
    <row r="106" spans="2:9">
      <c r="B106" s="68"/>
      <c r="C106" s="68"/>
      <c r="D106" s="68" t="s">
        <v>11</v>
      </c>
      <c r="E106" s="68"/>
      <c r="F106" s="68"/>
      <c r="G106" s="68"/>
    </row>
    <row r="107" spans="2:9">
      <c r="C107" s="1" t="s">
        <v>11</v>
      </c>
      <c r="D107" s="1" t="s">
        <v>11</v>
      </c>
      <c r="E107" s="1" t="s">
        <v>11</v>
      </c>
      <c r="F107" s="1" t="s">
        <v>11</v>
      </c>
      <c r="G107" s="1" t="s">
        <v>11</v>
      </c>
    </row>
    <row r="108" spans="2:9">
      <c r="B108" s="9"/>
    </row>
    <row r="109" spans="2:9">
      <c r="B109" s="9"/>
    </row>
    <row r="110" spans="2:9">
      <c r="B110" s="9"/>
    </row>
    <row r="111" spans="2:9">
      <c r="B111" s="9"/>
    </row>
    <row r="112" spans="2:9">
      <c r="B112" s="9"/>
    </row>
    <row r="113" spans="2:2">
      <c r="B113" s="9"/>
    </row>
    <row r="114" spans="2:2">
      <c r="B114" s="9"/>
    </row>
    <row r="115" spans="2:2">
      <c r="B115" s="9"/>
    </row>
    <row r="116" spans="2:2">
      <c r="B116" s="9"/>
    </row>
    <row r="117" spans="2:2">
      <c r="B117" s="9"/>
    </row>
    <row r="118" spans="2:2">
      <c r="B118" s="9"/>
    </row>
    <row r="119" spans="2:2">
      <c r="B119" s="9"/>
    </row>
    <row r="120" spans="2:2">
      <c r="B120" s="9"/>
    </row>
    <row r="121" spans="2:2">
      <c r="B121" s="9"/>
    </row>
    <row r="122" spans="2:2">
      <c r="B122" s="9"/>
    </row>
    <row r="123" spans="2:2">
      <c r="B123" s="9"/>
    </row>
    <row r="124" spans="2:2">
      <c r="B124" s="9"/>
    </row>
    <row r="125" spans="2:2">
      <c r="B125" s="9"/>
    </row>
    <row r="126" spans="2:2">
      <c r="B126" s="9"/>
    </row>
    <row r="127" spans="2:2">
      <c r="B127" s="9"/>
    </row>
    <row r="128" spans="2:2">
      <c r="B128" s="9"/>
    </row>
    <row r="129" spans="2:2">
      <c r="B129" s="9"/>
    </row>
    <row r="130" spans="2:2">
      <c r="B130" s="9"/>
    </row>
    <row r="131" spans="2:2">
      <c r="B131" s="9"/>
    </row>
    <row r="132" spans="2:2">
      <c r="B132" s="9"/>
    </row>
    <row r="133" spans="2:2">
      <c r="B133" s="9"/>
    </row>
    <row r="134" spans="2:2">
      <c r="B134" s="9"/>
    </row>
    <row r="135" spans="2:2">
      <c r="B135" s="9"/>
    </row>
    <row r="136" spans="2:2">
      <c r="B136" s="9"/>
    </row>
    <row r="137" spans="2:2">
      <c r="B137" s="9"/>
    </row>
    <row r="138" spans="2:2">
      <c r="B138" s="9"/>
    </row>
    <row r="139" spans="2:2">
      <c r="B139" s="9"/>
    </row>
    <row r="140" spans="2:2">
      <c r="B140" s="9"/>
    </row>
    <row r="141" spans="2:2">
      <c r="B141" s="9"/>
    </row>
    <row r="142" spans="2:2">
      <c r="B142" s="9"/>
    </row>
    <row r="143" spans="2:2">
      <c r="B143" s="9"/>
    </row>
    <row r="144" spans="2:2">
      <c r="B144" s="9"/>
    </row>
    <row r="145" spans="2:2">
      <c r="B145" s="9"/>
    </row>
    <row r="146" spans="2:2">
      <c r="B146" s="9"/>
    </row>
    <row r="147" spans="2:2">
      <c r="B147" s="9"/>
    </row>
    <row r="148" spans="2:2">
      <c r="B148" s="9"/>
    </row>
    <row r="149" spans="2:2">
      <c r="B149" s="9"/>
    </row>
    <row r="150" spans="2:2">
      <c r="B150" s="9"/>
    </row>
    <row r="151" spans="2:2">
      <c r="B151" s="9"/>
    </row>
    <row r="152" spans="2:2">
      <c r="B152" s="9"/>
    </row>
    <row r="153" spans="2:2">
      <c r="B153" s="9"/>
    </row>
    <row r="154" spans="2:2">
      <c r="B154" s="9"/>
    </row>
    <row r="155" spans="2:2">
      <c r="B155" s="9"/>
    </row>
    <row r="156" spans="2:2">
      <c r="B156" s="9"/>
    </row>
    <row r="157" spans="2:2">
      <c r="B157" s="9"/>
    </row>
    <row r="158" spans="2:2">
      <c r="B158" s="9"/>
    </row>
    <row r="159" spans="2:2">
      <c r="B159" s="9"/>
    </row>
    <row r="160" spans="2:2">
      <c r="B160" s="9"/>
    </row>
    <row r="161" spans="2:2">
      <c r="B161" s="9"/>
    </row>
    <row r="162" spans="2:2">
      <c r="B162" s="9"/>
    </row>
    <row r="163" spans="2:2">
      <c r="B163" s="9"/>
    </row>
    <row r="164" spans="2:2">
      <c r="B164" s="9"/>
    </row>
    <row r="165" spans="2:2">
      <c r="B165" s="9"/>
    </row>
  </sheetData>
  <sheetProtection password="E96A" sheet="1" objects="1" scenarios="1"/>
  <mergeCells count="27">
    <mergeCell ref="A1:L2"/>
    <mergeCell ref="A3:A5"/>
    <mergeCell ref="B3:C5"/>
    <mergeCell ref="D3:D5"/>
    <mergeCell ref="E3:E4"/>
    <mergeCell ref="F3:F4"/>
    <mergeCell ref="G3:G4"/>
    <mergeCell ref="A16:L16"/>
    <mergeCell ref="L3:L4"/>
    <mergeCell ref="B6:C6"/>
    <mergeCell ref="K3:K4"/>
    <mergeCell ref="I12:J12"/>
    <mergeCell ref="B7:C7"/>
    <mergeCell ref="B11:C11"/>
    <mergeCell ref="D13:E13"/>
    <mergeCell ref="G13:H13"/>
    <mergeCell ref="I13:J13"/>
    <mergeCell ref="A15:L15"/>
    <mergeCell ref="A14:L14"/>
    <mergeCell ref="H3:H5"/>
    <mergeCell ref="I3:I4"/>
    <mergeCell ref="J3:J4"/>
    <mergeCell ref="B8:C8"/>
    <mergeCell ref="B9:C9"/>
    <mergeCell ref="B10:C10"/>
    <mergeCell ref="A13:B13"/>
    <mergeCell ref="A12:B12"/>
  </mergeCells>
  <phoneticPr fontId="17" type="noConversion"/>
  <conditionalFormatting sqref="E12">
    <cfRule type="cellIs" dxfId="0" priority="1" stopIfTrue="1" operator="greaterThan">
      <formula>1</formula>
    </cfRule>
  </conditionalFormatting>
  <dataValidations count="6">
    <dataValidation type="list" allowBlank="1" showInputMessage="1" showErrorMessage="1" sqref="C12">
      <formula1>$AC$3:$AC$7</formula1>
    </dataValidation>
    <dataValidation type="list" allowBlank="1" showInputMessage="1" showErrorMessage="1" sqref="F13">
      <formula1>$AC$18:$AC$19</formula1>
    </dataValidation>
    <dataValidation type="list" allowBlank="1" showInputMessage="1" showErrorMessage="1" sqref="I13:J13">
      <formula1>$AG$3:$AG$10</formula1>
    </dataValidation>
    <dataValidation type="list" allowBlank="1" showInputMessage="1" showErrorMessage="1" sqref="C13">
      <formula1>$AG$14:$AG$15</formula1>
    </dataValidation>
    <dataValidation type="list" allowBlank="1" showInputMessage="1" showErrorMessage="1" sqref="L13">
      <formula1>$AG$18:$AG$20</formula1>
    </dataValidation>
    <dataValidation type="list" allowBlank="1" showInputMessage="1" showErrorMessage="1" sqref="B6:C11">
      <formula1>IF($W$19=1,$B$36:$B$50,IF($W$19=2,$D$36:$D$72,IF($W$19=3,$G$36:$G$55,IF($W$19=4,$K$36:$K$100))))</formula1>
    </dataValidation>
  </dataValidations>
  <printOptions horizontalCentered="1"/>
  <pageMargins left="0.65" right="0.65" top="1.5" bottom="1.5" header="0.5" footer="0.5"/>
  <pageSetup scale="95" orientation="portrait" r:id="rId1"/>
  <headerFooter alignWithMargins="0">
    <oddFooter>&amp;RNRC S, UT
June 2002</oddFooter>
  </headerFooter>
  <rowBreaks count="4" manualBreakCount="4">
    <brk id="34" max="11" man="1"/>
    <brk id="74" max="11" man="1"/>
    <brk id="105" max="11" man="1"/>
    <brk id="147" max="11" man="1"/>
  </rowBreaks>
  <legacyDrawing r:id="rId2"/>
</worksheet>
</file>

<file path=xl/worksheets/sheet3.xml><?xml version="1.0" encoding="utf-8"?>
<worksheet xmlns="http://schemas.openxmlformats.org/spreadsheetml/2006/main" xmlns:r="http://schemas.openxmlformats.org/officeDocument/2006/relationships">
  <sheetPr codeName="Sheet3"/>
  <dimension ref="A1:AB110"/>
  <sheetViews>
    <sheetView zoomScale="90" zoomScaleNormal="90" workbookViewId="0">
      <selection activeCell="J107" sqref="J107"/>
    </sheetView>
  </sheetViews>
  <sheetFormatPr defaultRowHeight="12.75"/>
  <cols>
    <col min="1" max="1" width="24.83203125" style="1" customWidth="1"/>
    <col min="2" max="2" width="12.33203125" style="1" customWidth="1"/>
    <col min="3" max="4" width="9.6640625" style="1" bestFit="1" customWidth="1"/>
    <col min="5" max="11" width="8.83203125" style="1" customWidth="1"/>
    <col min="12" max="12" width="8.33203125" style="1" customWidth="1"/>
    <col min="13" max="13" width="6.1640625" style="1" customWidth="1"/>
    <col min="14" max="15" width="7.83203125" style="1" customWidth="1"/>
    <col min="16" max="16" width="9.83203125" style="1" customWidth="1"/>
    <col min="17" max="17" width="7.83203125" style="1" customWidth="1"/>
    <col min="18" max="18" width="10.6640625" style="1" customWidth="1"/>
    <col min="19" max="19" width="8.33203125" style="1" customWidth="1"/>
    <col min="20" max="23" width="10.83203125" style="1" customWidth="1"/>
    <col min="24" max="16384" width="9.33203125" style="1"/>
  </cols>
  <sheetData>
    <row r="1" spans="1:28">
      <c r="A1" s="248" t="s">
        <v>241</v>
      </c>
      <c r="B1" s="249"/>
      <c r="C1" s="249"/>
      <c r="D1" s="249"/>
      <c r="E1" s="249"/>
      <c r="F1" s="249"/>
      <c r="G1" s="249"/>
      <c r="H1" s="249"/>
      <c r="I1" s="249"/>
      <c r="J1" s="249"/>
      <c r="K1" s="249"/>
      <c r="L1" s="249"/>
      <c r="M1" s="249"/>
      <c r="N1" s="250"/>
      <c r="O1" s="251" t="s">
        <v>241</v>
      </c>
      <c r="P1" s="251"/>
      <c r="Q1" s="251"/>
      <c r="R1" s="251"/>
      <c r="S1" s="251"/>
      <c r="T1" s="251"/>
      <c r="U1" s="251"/>
      <c r="V1" s="251"/>
      <c r="W1" s="251"/>
      <c r="X1" s="251"/>
      <c r="Y1" s="251"/>
      <c r="Z1" s="252"/>
    </row>
    <row r="2" spans="1:28">
      <c r="A2" s="264" t="s">
        <v>29</v>
      </c>
      <c r="B2" s="268" t="s">
        <v>117</v>
      </c>
      <c r="C2" s="264" t="s">
        <v>138</v>
      </c>
      <c r="D2" s="264" t="s">
        <v>139</v>
      </c>
      <c r="E2" s="262" t="s">
        <v>472</v>
      </c>
      <c r="F2" s="262" t="s">
        <v>398</v>
      </c>
      <c r="G2" s="262" t="s">
        <v>399</v>
      </c>
      <c r="H2" s="262" t="s">
        <v>400</v>
      </c>
      <c r="I2" s="262" t="s">
        <v>519</v>
      </c>
      <c r="J2" s="264" t="s">
        <v>39</v>
      </c>
      <c r="K2" s="264" t="s">
        <v>130</v>
      </c>
      <c r="L2" s="266" t="s">
        <v>140</v>
      </c>
      <c r="M2" s="266" t="s">
        <v>141</v>
      </c>
      <c r="N2" s="269" t="s">
        <v>142</v>
      </c>
      <c r="O2" s="266" t="s">
        <v>143</v>
      </c>
      <c r="P2" s="266" t="s">
        <v>144</v>
      </c>
      <c r="Q2" s="266" t="s">
        <v>145</v>
      </c>
      <c r="R2" s="265" t="s">
        <v>146</v>
      </c>
      <c r="S2" s="269" t="s">
        <v>147</v>
      </c>
      <c r="T2" s="270" t="s">
        <v>242</v>
      </c>
      <c r="U2" s="271"/>
      <c r="V2" s="271"/>
      <c r="W2" s="271"/>
      <c r="X2" s="271"/>
      <c r="Y2" s="271"/>
      <c r="Z2" s="272"/>
    </row>
    <row r="3" spans="1:28">
      <c r="A3" s="264"/>
      <c r="B3" s="268"/>
      <c r="C3" s="264"/>
      <c r="D3" s="264"/>
      <c r="E3" s="263"/>
      <c r="F3" s="263"/>
      <c r="G3" s="263"/>
      <c r="H3" s="263"/>
      <c r="I3" s="263"/>
      <c r="J3" s="264"/>
      <c r="K3" s="264"/>
      <c r="L3" s="267"/>
      <c r="M3" s="267"/>
      <c r="N3" s="269"/>
      <c r="O3" s="267"/>
      <c r="P3" s="267"/>
      <c r="Q3" s="267"/>
      <c r="R3" s="265"/>
      <c r="S3" s="269"/>
      <c r="T3" s="273"/>
      <c r="U3" s="274"/>
      <c r="V3" s="274"/>
      <c r="W3" s="274"/>
      <c r="X3" s="274"/>
      <c r="Y3" s="274"/>
      <c r="Z3" s="275"/>
    </row>
    <row r="4" spans="1:28">
      <c r="A4" s="2" t="s">
        <v>11</v>
      </c>
      <c r="B4" s="3" t="s">
        <v>11</v>
      </c>
      <c r="C4" s="4" t="s">
        <v>11</v>
      </c>
      <c r="D4" s="4"/>
      <c r="E4" s="4"/>
      <c r="F4" s="4"/>
      <c r="G4" s="4"/>
      <c r="H4" s="4"/>
      <c r="I4" s="4"/>
      <c r="J4" s="4" t="s">
        <v>11</v>
      </c>
      <c r="K4" s="4" t="s">
        <v>11</v>
      </c>
      <c r="L4" s="38"/>
      <c r="M4" s="4" t="s">
        <v>11</v>
      </c>
      <c r="N4" s="116"/>
      <c r="O4" s="110"/>
      <c r="P4" s="4"/>
      <c r="Q4" s="4"/>
      <c r="R4" s="39" t="s">
        <v>11</v>
      </c>
      <c r="S4" s="108" t="s">
        <v>11</v>
      </c>
      <c r="T4" s="39" t="s">
        <v>11</v>
      </c>
      <c r="U4" s="39" t="s">
        <v>11</v>
      </c>
      <c r="V4" s="39" t="s">
        <v>11</v>
      </c>
      <c r="W4" s="39" t="s">
        <v>11</v>
      </c>
      <c r="X4" s="39" t="s">
        <v>11</v>
      </c>
      <c r="Y4" s="39" t="s">
        <v>11</v>
      </c>
      <c r="Z4" s="40" t="s">
        <v>11</v>
      </c>
    </row>
    <row r="5" spans="1:28">
      <c r="A5" s="57" t="s">
        <v>30</v>
      </c>
      <c r="B5" s="58">
        <v>225000</v>
      </c>
      <c r="C5" s="103">
        <f>B5/43560</f>
        <v>5.1652892561983474</v>
      </c>
      <c r="D5" s="103">
        <v>25.83</v>
      </c>
      <c r="E5" s="103">
        <v>12</v>
      </c>
      <c r="F5" s="103">
        <v>12</v>
      </c>
      <c r="G5" s="103">
        <v>12</v>
      </c>
      <c r="H5" s="103">
        <v>12</v>
      </c>
      <c r="I5" s="103"/>
      <c r="J5" s="59">
        <v>98</v>
      </c>
      <c r="K5" s="59">
        <v>85</v>
      </c>
      <c r="L5" s="60">
        <v>2.25</v>
      </c>
      <c r="M5" s="117" t="s">
        <v>148</v>
      </c>
      <c r="N5" s="63"/>
      <c r="O5" s="111" t="s">
        <v>149</v>
      </c>
      <c r="P5" s="61" t="s">
        <v>150</v>
      </c>
      <c r="Q5" s="62" t="s">
        <v>151</v>
      </c>
      <c r="R5" s="61" t="s">
        <v>118</v>
      </c>
      <c r="S5" s="53" t="s">
        <v>119</v>
      </c>
      <c r="T5" s="94" t="s">
        <v>243</v>
      </c>
      <c r="U5" s="94" t="s">
        <v>244</v>
      </c>
      <c r="V5" s="94" t="s">
        <v>245</v>
      </c>
      <c r="W5" s="94" t="s">
        <v>246</v>
      </c>
      <c r="X5" s="94" t="s">
        <v>247</v>
      </c>
      <c r="Y5" s="94" t="s">
        <v>92</v>
      </c>
      <c r="Z5" s="95" t="s">
        <v>248</v>
      </c>
      <c r="AA5" s="1" t="s">
        <v>11</v>
      </c>
      <c r="AB5" s="1" t="s">
        <v>11</v>
      </c>
    </row>
    <row r="6" spans="1:28">
      <c r="A6" s="57" t="s">
        <v>480</v>
      </c>
      <c r="B6" s="58">
        <v>2108000</v>
      </c>
      <c r="C6" s="103">
        <f>B6/43560</f>
        <v>48.393021120293845</v>
      </c>
      <c r="D6" s="103">
        <v>48.393000000000001</v>
      </c>
      <c r="E6" s="103">
        <v>4</v>
      </c>
      <c r="F6" s="103">
        <v>4</v>
      </c>
      <c r="G6" s="103">
        <v>4</v>
      </c>
      <c r="H6" s="103">
        <v>4</v>
      </c>
      <c r="I6" s="103">
        <v>4</v>
      </c>
      <c r="J6" s="96">
        <v>98</v>
      </c>
      <c r="K6" s="96">
        <v>90</v>
      </c>
      <c r="L6" s="97">
        <v>3</v>
      </c>
      <c r="M6" s="96" t="s">
        <v>148</v>
      </c>
      <c r="N6" s="63" t="s">
        <v>31</v>
      </c>
      <c r="O6" s="112"/>
      <c r="P6" s="61"/>
      <c r="Q6" s="61"/>
      <c r="R6" s="61" t="s">
        <v>120</v>
      </c>
      <c r="S6" s="53" t="s">
        <v>121</v>
      </c>
      <c r="T6" s="94" t="s">
        <v>479</v>
      </c>
      <c r="U6" s="94" t="s">
        <v>11</v>
      </c>
      <c r="V6" s="94" t="s">
        <v>11</v>
      </c>
      <c r="W6" s="94" t="s">
        <v>11</v>
      </c>
      <c r="X6" s="94" t="s">
        <v>11</v>
      </c>
      <c r="Y6" s="94" t="s">
        <v>11</v>
      </c>
      <c r="Z6" s="95" t="s">
        <v>11</v>
      </c>
    </row>
    <row r="7" spans="1:28">
      <c r="A7" s="57" t="s">
        <v>54</v>
      </c>
      <c r="B7" s="58">
        <v>21000</v>
      </c>
      <c r="C7" s="103">
        <f t="shared" ref="C7:C71" si="0">B7/43560</f>
        <v>0.48209366391184572</v>
      </c>
      <c r="D7" s="103">
        <v>10.124000000000001</v>
      </c>
      <c r="E7" s="103" t="s">
        <v>11</v>
      </c>
      <c r="F7" s="103"/>
      <c r="G7" s="103"/>
      <c r="H7" s="103"/>
      <c r="I7" s="103"/>
      <c r="J7" s="59">
        <v>98</v>
      </c>
      <c r="K7" s="59">
        <v>90</v>
      </c>
      <c r="L7" s="60">
        <v>26</v>
      </c>
      <c r="M7" s="117" t="s">
        <v>152</v>
      </c>
      <c r="N7" s="63" t="s">
        <v>31</v>
      </c>
      <c r="O7" s="111" t="s">
        <v>153</v>
      </c>
      <c r="P7" s="61" t="s">
        <v>154</v>
      </c>
      <c r="Q7" s="62" t="s">
        <v>155</v>
      </c>
      <c r="R7" s="61" t="s">
        <v>123</v>
      </c>
      <c r="S7" s="53" t="s">
        <v>121</v>
      </c>
      <c r="T7" s="94" t="s">
        <v>249</v>
      </c>
      <c r="U7" s="94" t="s">
        <v>250</v>
      </c>
      <c r="V7" s="94" t="s">
        <v>251</v>
      </c>
      <c r="W7" s="94" t="s">
        <v>11</v>
      </c>
      <c r="X7" s="94" t="s">
        <v>11</v>
      </c>
      <c r="Y7" s="94" t="s">
        <v>11</v>
      </c>
      <c r="Z7" s="95" t="s">
        <v>11</v>
      </c>
    </row>
    <row r="8" spans="1:28">
      <c r="A8" s="57" t="s">
        <v>471</v>
      </c>
      <c r="B8" s="58">
        <v>15000</v>
      </c>
      <c r="C8" s="103">
        <f t="shared" si="0"/>
        <v>0.34435261707988979</v>
      </c>
      <c r="D8" s="103">
        <v>7.5757575757575752</v>
      </c>
      <c r="E8" s="103">
        <v>22</v>
      </c>
      <c r="F8" s="103">
        <v>22</v>
      </c>
      <c r="G8" s="103">
        <v>22</v>
      </c>
      <c r="H8" s="103">
        <v>30</v>
      </c>
      <c r="I8" s="103"/>
      <c r="J8" s="59">
        <v>95</v>
      </c>
      <c r="K8" s="59">
        <v>90</v>
      </c>
      <c r="L8" s="60">
        <v>0.39</v>
      </c>
      <c r="M8" s="117" t="s">
        <v>148</v>
      </c>
      <c r="N8" s="63"/>
      <c r="O8" s="111" t="s">
        <v>523</v>
      </c>
      <c r="P8" s="61"/>
      <c r="Q8" s="62"/>
      <c r="R8" s="61" t="s">
        <v>401</v>
      </c>
      <c r="S8" s="53" t="s">
        <v>122</v>
      </c>
      <c r="T8" s="94" t="s">
        <v>11</v>
      </c>
      <c r="U8" s="94" t="s">
        <v>11</v>
      </c>
      <c r="V8" s="94" t="s">
        <v>11</v>
      </c>
      <c r="W8" s="94" t="s">
        <v>11</v>
      </c>
      <c r="X8" s="94" t="s">
        <v>11</v>
      </c>
      <c r="Y8" s="94" t="s">
        <v>11</v>
      </c>
      <c r="Z8" s="95" t="s">
        <v>11</v>
      </c>
    </row>
    <row r="9" spans="1:28">
      <c r="A9" s="57" t="s">
        <v>156</v>
      </c>
      <c r="B9" s="58">
        <v>55000</v>
      </c>
      <c r="C9" s="103">
        <f t="shared" si="0"/>
        <v>1.2626262626262625</v>
      </c>
      <c r="D9" s="103">
        <v>10.101000000000001</v>
      </c>
      <c r="E9" s="103">
        <v>20</v>
      </c>
      <c r="F9" s="103">
        <v>20</v>
      </c>
      <c r="G9" s="103">
        <v>20</v>
      </c>
      <c r="H9" s="103">
        <v>20</v>
      </c>
      <c r="I9" s="103"/>
      <c r="J9" s="59">
        <v>95</v>
      </c>
      <c r="K9" s="59">
        <v>90</v>
      </c>
      <c r="L9" s="60">
        <v>36</v>
      </c>
      <c r="M9" s="117" t="s">
        <v>152</v>
      </c>
      <c r="N9" s="63" t="s">
        <v>31</v>
      </c>
      <c r="O9" s="111" t="s">
        <v>153</v>
      </c>
      <c r="P9" s="61" t="s">
        <v>150</v>
      </c>
      <c r="Q9" s="62" t="s">
        <v>155</v>
      </c>
      <c r="R9" s="61" t="s">
        <v>118</v>
      </c>
      <c r="S9" s="53" t="s">
        <v>121</v>
      </c>
      <c r="T9" s="94" t="s">
        <v>11</v>
      </c>
      <c r="U9" s="94" t="s">
        <v>11</v>
      </c>
      <c r="V9" s="94" t="s">
        <v>11</v>
      </c>
      <c r="W9" s="94" t="s">
        <v>11</v>
      </c>
      <c r="X9" s="94" t="s">
        <v>11</v>
      </c>
      <c r="Y9" s="94" t="s">
        <v>11</v>
      </c>
      <c r="Z9" s="95" t="s">
        <v>11</v>
      </c>
    </row>
    <row r="10" spans="1:28">
      <c r="A10" s="57" t="s">
        <v>409</v>
      </c>
      <c r="B10" s="58">
        <v>13000</v>
      </c>
      <c r="C10" s="103">
        <f t="shared" si="0"/>
        <v>0.29843893480257117</v>
      </c>
      <c r="D10" s="103">
        <v>13.429752066115707</v>
      </c>
      <c r="E10" s="103">
        <v>45</v>
      </c>
      <c r="F10" s="103">
        <v>45</v>
      </c>
      <c r="G10" s="103">
        <v>45</v>
      </c>
      <c r="H10" s="103">
        <v>45</v>
      </c>
      <c r="I10" s="103">
        <v>45</v>
      </c>
      <c r="J10" s="59">
        <v>98</v>
      </c>
      <c r="K10" s="59">
        <v>95</v>
      </c>
      <c r="L10" s="60">
        <v>0.14000000000000001</v>
      </c>
      <c r="M10" s="117" t="s">
        <v>148</v>
      </c>
      <c r="N10" s="63"/>
      <c r="O10" s="111" t="s">
        <v>163</v>
      </c>
      <c r="P10" s="61" t="s">
        <v>159</v>
      </c>
      <c r="Q10" s="62" t="s">
        <v>408</v>
      </c>
      <c r="R10" s="61" t="s">
        <v>120</v>
      </c>
      <c r="S10" s="53" t="s">
        <v>401</v>
      </c>
      <c r="T10" s="94" t="s">
        <v>372</v>
      </c>
      <c r="U10" s="94" t="s">
        <v>410</v>
      </c>
      <c r="V10" s="94" t="s">
        <v>411</v>
      </c>
      <c r="W10" s="94" t="s">
        <v>412</v>
      </c>
      <c r="X10" s="94" t="s">
        <v>413</v>
      </c>
      <c r="Y10" s="94" t="s">
        <v>414</v>
      </c>
      <c r="Z10" s="95" t="s">
        <v>415</v>
      </c>
    </row>
    <row r="11" spans="1:28">
      <c r="A11" s="57" t="s">
        <v>252</v>
      </c>
      <c r="B11" s="58">
        <v>65900</v>
      </c>
      <c r="C11" s="103">
        <f t="shared" si="0"/>
        <v>1.5128558310376492</v>
      </c>
      <c r="D11" s="103">
        <v>9.8336000000000006</v>
      </c>
      <c r="E11" s="103">
        <v>10</v>
      </c>
      <c r="F11" s="103">
        <v>10</v>
      </c>
      <c r="G11" s="103">
        <v>10</v>
      </c>
      <c r="H11" s="103">
        <v>10</v>
      </c>
      <c r="I11" s="103"/>
      <c r="J11" s="59">
        <v>95</v>
      </c>
      <c r="K11" s="59">
        <v>85</v>
      </c>
      <c r="L11" s="60">
        <v>30</v>
      </c>
      <c r="M11" s="117" t="s">
        <v>152</v>
      </c>
      <c r="N11" s="63" t="s">
        <v>31</v>
      </c>
      <c r="O11" s="111" t="s">
        <v>153</v>
      </c>
      <c r="P11" s="61" t="s">
        <v>189</v>
      </c>
      <c r="Q11" s="62" t="s">
        <v>155</v>
      </c>
      <c r="R11" s="61" t="s">
        <v>118</v>
      </c>
      <c r="S11" s="53" t="s">
        <v>119</v>
      </c>
      <c r="T11" s="94" t="s">
        <v>11</v>
      </c>
      <c r="U11" s="94" t="s">
        <v>11</v>
      </c>
      <c r="V11" s="94" t="s">
        <v>11</v>
      </c>
      <c r="W11" s="94" t="s">
        <v>11</v>
      </c>
      <c r="X11" s="94" t="s">
        <v>11</v>
      </c>
      <c r="Y11" s="94" t="s">
        <v>11</v>
      </c>
      <c r="Z11" s="95" t="s">
        <v>11</v>
      </c>
    </row>
    <row r="12" spans="1:28">
      <c r="A12" s="57" t="s">
        <v>473</v>
      </c>
      <c r="B12" s="58">
        <v>6500000</v>
      </c>
      <c r="C12" s="103">
        <f t="shared" si="0"/>
        <v>149.21946740128558</v>
      </c>
      <c r="D12" s="103">
        <v>67.148700000000005</v>
      </c>
      <c r="E12" s="103">
        <v>2</v>
      </c>
      <c r="F12" s="103">
        <v>2</v>
      </c>
      <c r="G12" s="103">
        <v>2</v>
      </c>
      <c r="H12" s="103">
        <v>2</v>
      </c>
      <c r="I12" s="103">
        <v>1</v>
      </c>
      <c r="J12" s="96">
        <v>98</v>
      </c>
      <c r="K12" s="96">
        <v>90</v>
      </c>
      <c r="L12" s="97">
        <v>7</v>
      </c>
      <c r="M12" s="96" t="s">
        <v>152</v>
      </c>
      <c r="N12" s="63"/>
      <c r="O12" s="112" t="s">
        <v>158</v>
      </c>
      <c r="P12" s="61" t="s">
        <v>178</v>
      </c>
      <c r="Q12" s="61" t="s">
        <v>195</v>
      </c>
      <c r="R12" s="61" t="s">
        <v>124</v>
      </c>
      <c r="S12" s="53" t="s">
        <v>121</v>
      </c>
      <c r="T12" s="94" t="s">
        <v>474</v>
      </c>
      <c r="U12" s="94" t="s">
        <v>475</v>
      </c>
      <c r="V12" s="94" t="s">
        <v>476</v>
      </c>
      <c r="W12" s="94" t="s">
        <v>11</v>
      </c>
      <c r="X12" s="94" t="s">
        <v>11</v>
      </c>
      <c r="Y12" s="94" t="s">
        <v>11</v>
      </c>
      <c r="Z12" s="95" t="s">
        <v>11</v>
      </c>
    </row>
    <row r="13" spans="1:28">
      <c r="A13" s="57" t="s">
        <v>32</v>
      </c>
      <c r="B13" s="58">
        <v>470000</v>
      </c>
      <c r="C13" s="103">
        <f t="shared" si="0"/>
        <v>10.78971533516988</v>
      </c>
      <c r="D13" s="103">
        <v>32.369100000000003</v>
      </c>
      <c r="E13" s="103">
        <v>4</v>
      </c>
      <c r="F13" s="103">
        <v>5</v>
      </c>
      <c r="G13" s="103">
        <v>5</v>
      </c>
      <c r="H13" s="103">
        <v>5</v>
      </c>
      <c r="I13" s="103">
        <v>5</v>
      </c>
      <c r="J13" s="59">
        <v>98</v>
      </c>
      <c r="K13" s="59">
        <v>85</v>
      </c>
      <c r="L13" s="60">
        <v>1.8</v>
      </c>
      <c r="M13" s="117" t="s">
        <v>148</v>
      </c>
      <c r="N13" s="63"/>
      <c r="O13" s="111" t="s">
        <v>158</v>
      </c>
      <c r="P13" s="61" t="s">
        <v>159</v>
      </c>
      <c r="Q13" s="62" t="s">
        <v>155</v>
      </c>
      <c r="R13" s="61" t="s">
        <v>118</v>
      </c>
      <c r="S13" s="53" t="s">
        <v>121</v>
      </c>
      <c r="T13" s="94" t="s">
        <v>253</v>
      </c>
      <c r="U13" s="94" t="s">
        <v>11</v>
      </c>
      <c r="V13" s="94" t="s">
        <v>11</v>
      </c>
      <c r="W13" s="94" t="s">
        <v>11</v>
      </c>
      <c r="X13" s="94" t="s">
        <v>11</v>
      </c>
      <c r="Y13" s="94" t="s">
        <v>11</v>
      </c>
      <c r="Z13" s="95" t="s">
        <v>11</v>
      </c>
    </row>
    <row r="14" spans="1:28">
      <c r="A14" s="57" t="s">
        <v>160</v>
      </c>
      <c r="B14" s="58">
        <v>917000</v>
      </c>
      <c r="C14" s="103">
        <f t="shared" si="0"/>
        <v>21.051423324150598</v>
      </c>
      <c r="D14" s="103">
        <v>42.1</v>
      </c>
      <c r="E14" s="103">
        <v>3</v>
      </c>
      <c r="F14" s="103">
        <v>3</v>
      </c>
      <c r="G14" s="103">
        <v>3</v>
      </c>
      <c r="H14" s="103">
        <v>3</v>
      </c>
      <c r="I14" s="103"/>
      <c r="J14" s="59">
        <v>98</v>
      </c>
      <c r="K14" s="59">
        <v>90</v>
      </c>
      <c r="L14" s="60">
        <v>3</v>
      </c>
      <c r="M14" s="117" t="s">
        <v>148</v>
      </c>
      <c r="N14" s="63" t="s">
        <v>31</v>
      </c>
      <c r="O14" s="111" t="s">
        <v>161</v>
      </c>
      <c r="P14" s="61" t="s">
        <v>154</v>
      </c>
      <c r="Q14" s="62" t="s">
        <v>155</v>
      </c>
      <c r="R14" s="61" t="s">
        <v>120</v>
      </c>
      <c r="S14" s="53" t="s">
        <v>119</v>
      </c>
      <c r="T14" s="94" t="s">
        <v>254</v>
      </c>
      <c r="U14" s="94" t="s">
        <v>11</v>
      </c>
      <c r="V14" s="94" t="s">
        <v>11</v>
      </c>
      <c r="W14" s="94" t="s">
        <v>11</v>
      </c>
      <c r="X14" s="94" t="s">
        <v>11</v>
      </c>
      <c r="Y14" s="94" t="s">
        <v>11</v>
      </c>
      <c r="Z14" s="95" t="s">
        <v>11</v>
      </c>
    </row>
    <row r="15" spans="1:28">
      <c r="A15" s="57" t="s">
        <v>162</v>
      </c>
      <c r="B15" s="58">
        <v>80000</v>
      </c>
      <c r="C15" s="103">
        <f t="shared" si="0"/>
        <v>1.8365472910927456</v>
      </c>
      <c r="D15" s="103">
        <v>20.202000000000002</v>
      </c>
      <c r="E15" s="103">
        <v>12</v>
      </c>
      <c r="F15" s="103">
        <v>12</v>
      </c>
      <c r="G15" s="103">
        <v>12</v>
      </c>
      <c r="H15" s="103">
        <v>12</v>
      </c>
      <c r="I15" s="103">
        <v>12</v>
      </c>
      <c r="J15" s="59">
        <v>95</v>
      </c>
      <c r="K15" s="59">
        <v>85</v>
      </c>
      <c r="L15" s="60">
        <v>1.8</v>
      </c>
      <c r="M15" s="117" t="s">
        <v>148</v>
      </c>
      <c r="N15" s="63"/>
      <c r="O15" s="111" t="s">
        <v>163</v>
      </c>
      <c r="P15" s="61" t="s">
        <v>164</v>
      </c>
      <c r="Q15" s="62" t="s">
        <v>155</v>
      </c>
      <c r="R15" s="61" t="s">
        <v>120</v>
      </c>
      <c r="S15" s="53" t="s">
        <v>121</v>
      </c>
      <c r="T15" s="94" t="s">
        <v>255</v>
      </c>
      <c r="U15" s="94" t="s">
        <v>256</v>
      </c>
      <c r="V15" s="94" t="s">
        <v>257</v>
      </c>
      <c r="W15" s="94" t="s">
        <v>11</v>
      </c>
      <c r="X15" s="94" t="s">
        <v>11</v>
      </c>
      <c r="Y15" s="94" t="s">
        <v>11</v>
      </c>
      <c r="Z15" s="95" t="s">
        <v>11</v>
      </c>
    </row>
    <row r="16" spans="1:28">
      <c r="A16" s="57" t="s">
        <v>165</v>
      </c>
      <c r="B16" s="58">
        <v>64000</v>
      </c>
      <c r="C16" s="103">
        <f t="shared" si="0"/>
        <v>1.4692378328741964</v>
      </c>
      <c r="D16" s="103">
        <v>10.284700000000001</v>
      </c>
      <c r="E16" s="103">
        <v>12</v>
      </c>
      <c r="F16" s="103">
        <v>12</v>
      </c>
      <c r="G16" s="103">
        <v>12</v>
      </c>
      <c r="H16" s="103">
        <v>12</v>
      </c>
      <c r="I16" s="103">
        <v>12</v>
      </c>
      <c r="J16" s="59">
        <v>90</v>
      </c>
      <c r="K16" s="59">
        <v>85</v>
      </c>
      <c r="L16" s="60">
        <v>3</v>
      </c>
      <c r="M16" s="117" t="s">
        <v>148</v>
      </c>
      <c r="N16" s="63" t="s">
        <v>31</v>
      </c>
      <c r="O16" s="111" t="s">
        <v>166</v>
      </c>
      <c r="P16" s="61" t="s">
        <v>164</v>
      </c>
      <c r="Q16" s="62" t="s">
        <v>155</v>
      </c>
      <c r="R16" s="61" t="s">
        <v>120</v>
      </c>
      <c r="S16" s="53" t="s">
        <v>122</v>
      </c>
      <c r="T16" s="94" t="s">
        <v>258</v>
      </c>
      <c r="U16" s="94" t="s">
        <v>441</v>
      </c>
      <c r="V16" s="94" t="s">
        <v>11</v>
      </c>
      <c r="W16" s="94" t="s">
        <v>11</v>
      </c>
      <c r="X16" s="94" t="s">
        <v>11</v>
      </c>
      <c r="Y16" s="94" t="s">
        <v>11</v>
      </c>
      <c r="Z16" s="95" t="s">
        <v>11</v>
      </c>
    </row>
    <row r="17" spans="1:26">
      <c r="A17" s="57" t="s">
        <v>167</v>
      </c>
      <c r="B17" s="58">
        <v>145000</v>
      </c>
      <c r="C17" s="103">
        <f>B17/43560</f>
        <v>3.3287419651056016</v>
      </c>
      <c r="D17" s="103">
        <v>19.9725</v>
      </c>
      <c r="E17" s="103">
        <v>10</v>
      </c>
      <c r="F17" s="103">
        <v>15</v>
      </c>
      <c r="G17" s="103">
        <v>15</v>
      </c>
      <c r="H17" s="103">
        <v>15</v>
      </c>
      <c r="I17" s="103">
        <v>15</v>
      </c>
      <c r="J17" s="59">
        <v>92</v>
      </c>
      <c r="K17" s="59">
        <v>85</v>
      </c>
      <c r="L17" s="60">
        <v>0.85</v>
      </c>
      <c r="M17" s="117" t="s">
        <v>148</v>
      </c>
      <c r="N17" s="63"/>
      <c r="O17" s="111" t="s">
        <v>163</v>
      </c>
      <c r="P17" s="61" t="s">
        <v>154</v>
      </c>
      <c r="Q17" s="62" t="s">
        <v>155</v>
      </c>
      <c r="R17" s="61" t="s">
        <v>124</v>
      </c>
      <c r="S17" s="53" t="s">
        <v>121</v>
      </c>
      <c r="T17" s="94" t="s">
        <v>259</v>
      </c>
      <c r="U17" s="94" t="s">
        <v>260</v>
      </c>
      <c r="V17" s="94" t="s">
        <v>11</v>
      </c>
      <c r="W17" s="94" t="s">
        <v>11</v>
      </c>
      <c r="X17" s="94" t="s">
        <v>11</v>
      </c>
      <c r="Y17" s="94" t="s">
        <v>11</v>
      </c>
      <c r="Z17" s="95" t="s">
        <v>11</v>
      </c>
    </row>
    <row r="18" spans="1:26">
      <c r="A18" s="57" t="s">
        <v>168</v>
      </c>
      <c r="B18" s="58">
        <v>61000</v>
      </c>
      <c r="C18" s="103">
        <f t="shared" si="0"/>
        <v>1.4003673094582185</v>
      </c>
      <c r="D18" s="103">
        <v>9.8030000000000008</v>
      </c>
      <c r="E18" s="103" t="s">
        <v>467</v>
      </c>
      <c r="F18" s="103"/>
      <c r="G18" s="103"/>
      <c r="H18" s="103"/>
      <c r="I18" s="103"/>
      <c r="J18" s="59">
        <v>95</v>
      </c>
      <c r="K18" s="59">
        <v>80</v>
      </c>
      <c r="L18" s="60">
        <v>130</v>
      </c>
      <c r="M18" s="117" t="s">
        <v>152</v>
      </c>
      <c r="N18" s="63" t="s">
        <v>31</v>
      </c>
      <c r="O18" s="111" t="s">
        <v>169</v>
      </c>
      <c r="P18" s="61" t="s">
        <v>159</v>
      </c>
      <c r="Q18" s="62" t="s">
        <v>170</v>
      </c>
      <c r="R18" s="61" t="s">
        <v>123</v>
      </c>
      <c r="S18" s="53" t="s">
        <v>121</v>
      </c>
      <c r="T18" s="94" t="s">
        <v>261</v>
      </c>
      <c r="U18" s="94" t="s">
        <v>11</v>
      </c>
      <c r="V18" s="94" t="s">
        <v>11</v>
      </c>
      <c r="W18" s="94" t="s">
        <v>11</v>
      </c>
      <c r="X18" s="94" t="s">
        <v>11</v>
      </c>
      <c r="Y18" s="94" t="s">
        <v>11</v>
      </c>
      <c r="Z18" s="95" t="s">
        <v>11</v>
      </c>
    </row>
    <row r="19" spans="1:26">
      <c r="A19" s="57" t="s">
        <v>381</v>
      </c>
      <c r="B19" s="58">
        <v>160000</v>
      </c>
      <c r="C19" s="103">
        <f t="shared" si="0"/>
        <v>3.6730945821854912</v>
      </c>
      <c r="D19" s="103">
        <v>20.201000000000001</v>
      </c>
      <c r="E19" s="103"/>
      <c r="F19" s="103"/>
      <c r="G19" s="103"/>
      <c r="H19" s="103"/>
      <c r="I19" s="103">
        <v>8</v>
      </c>
      <c r="J19" s="96">
        <v>98</v>
      </c>
      <c r="K19" s="96">
        <v>80</v>
      </c>
      <c r="L19" s="97">
        <v>5.75</v>
      </c>
      <c r="M19" s="96" t="s">
        <v>152</v>
      </c>
      <c r="N19" s="63" t="s">
        <v>31</v>
      </c>
      <c r="O19" s="112"/>
      <c r="P19" s="61" t="s">
        <v>178</v>
      </c>
      <c r="Q19" s="61"/>
      <c r="R19" s="61" t="s">
        <v>124</v>
      </c>
      <c r="S19" s="53" t="s">
        <v>121</v>
      </c>
      <c r="T19" s="94" t="s">
        <v>383</v>
      </c>
      <c r="U19" s="94" t="s">
        <v>384</v>
      </c>
      <c r="V19" s="94" t="s">
        <v>385</v>
      </c>
      <c r="W19" s="94" t="s">
        <v>386</v>
      </c>
      <c r="X19" s="94" t="s">
        <v>11</v>
      </c>
      <c r="Y19" s="94" t="s">
        <v>11</v>
      </c>
      <c r="Z19" s="95" t="s">
        <v>11</v>
      </c>
    </row>
    <row r="20" spans="1:26">
      <c r="A20" s="5" t="s">
        <v>382</v>
      </c>
      <c r="B20" s="6">
        <v>375000</v>
      </c>
      <c r="C20" s="103">
        <f t="shared" si="0"/>
        <v>8.6088154269972446</v>
      </c>
      <c r="D20" s="104">
        <v>25.8264</v>
      </c>
      <c r="E20" s="104"/>
      <c r="F20" s="104"/>
      <c r="G20" s="104"/>
      <c r="H20" s="104"/>
      <c r="I20" s="104">
        <v>4</v>
      </c>
      <c r="J20" s="99">
        <v>95</v>
      </c>
      <c r="K20" s="99">
        <v>90</v>
      </c>
      <c r="L20" s="100">
        <v>30</v>
      </c>
      <c r="M20" s="99" t="s">
        <v>152</v>
      </c>
      <c r="N20" s="8" t="s">
        <v>31</v>
      </c>
      <c r="O20" s="113"/>
      <c r="P20" s="7" t="s">
        <v>178</v>
      </c>
      <c r="Q20" s="7"/>
      <c r="R20" s="7" t="s">
        <v>124</v>
      </c>
      <c r="S20" s="41" t="s">
        <v>121</v>
      </c>
      <c r="T20" s="76" t="s">
        <v>387</v>
      </c>
      <c r="U20" s="76" t="s">
        <v>385</v>
      </c>
      <c r="V20" s="76" t="s">
        <v>388</v>
      </c>
      <c r="W20" s="76" t="s">
        <v>389</v>
      </c>
      <c r="X20" s="76" t="s">
        <v>11</v>
      </c>
      <c r="Y20" s="76" t="s">
        <v>11</v>
      </c>
      <c r="Z20" s="77" t="s">
        <v>11</v>
      </c>
    </row>
    <row r="21" spans="1:26">
      <c r="A21" s="5" t="s">
        <v>171</v>
      </c>
      <c r="B21" s="6">
        <v>538000</v>
      </c>
      <c r="C21" s="104">
        <f t="shared" si="0"/>
        <v>12.350780532598714</v>
      </c>
      <c r="D21" s="104">
        <v>33.964599999999997</v>
      </c>
      <c r="E21" s="104">
        <v>5</v>
      </c>
      <c r="F21" s="104">
        <v>5</v>
      </c>
      <c r="G21" s="104"/>
      <c r="H21" s="104"/>
      <c r="I21" s="104">
        <v>6</v>
      </c>
      <c r="J21" s="54">
        <v>98</v>
      </c>
      <c r="K21" s="54">
        <v>70</v>
      </c>
      <c r="L21" s="55">
        <v>4</v>
      </c>
      <c r="M21" s="118" t="s">
        <v>148</v>
      </c>
      <c r="N21" s="8" t="s">
        <v>31</v>
      </c>
      <c r="O21" s="114" t="s">
        <v>158</v>
      </c>
      <c r="P21" s="7" t="s">
        <v>164</v>
      </c>
      <c r="Q21" s="56" t="s">
        <v>155</v>
      </c>
      <c r="R21" s="7" t="s">
        <v>124</v>
      </c>
      <c r="S21" s="41" t="s">
        <v>121</v>
      </c>
      <c r="T21" s="76" t="s">
        <v>264</v>
      </c>
      <c r="U21" s="76" t="s">
        <v>262</v>
      </c>
      <c r="V21" s="76" t="s">
        <v>263</v>
      </c>
      <c r="W21" s="76" t="s">
        <v>11</v>
      </c>
      <c r="X21" s="76" t="s">
        <v>11</v>
      </c>
      <c r="Y21" s="76" t="s">
        <v>11</v>
      </c>
      <c r="Z21" s="77" t="s">
        <v>11</v>
      </c>
    </row>
    <row r="22" spans="1:26">
      <c r="A22" s="5" t="s">
        <v>377</v>
      </c>
      <c r="B22" s="6">
        <v>10000000</v>
      </c>
      <c r="C22" s="104">
        <f t="shared" si="0"/>
        <v>229.5684113865932</v>
      </c>
      <c r="D22" s="104">
        <v>68.870500000000007</v>
      </c>
      <c r="E22" s="104"/>
      <c r="F22" s="104"/>
      <c r="G22" s="104"/>
      <c r="H22" s="104"/>
      <c r="I22" s="104">
        <v>0.5</v>
      </c>
      <c r="J22" s="99">
        <v>85</v>
      </c>
      <c r="K22" s="99">
        <v>80</v>
      </c>
      <c r="L22" s="100">
        <v>25</v>
      </c>
      <c r="M22" s="99" t="s">
        <v>152</v>
      </c>
      <c r="N22" s="8" t="s">
        <v>31</v>
      </c>
      <c r="O22" s="113"/>
      <c r="P22" s="7" t="s">
        <v>178</v>
      </c>
      <c r="Q22" s="7"/>
      <c r="R22" s="7" t="s">
        <v>118</v>
      </c>
      <c r="S22" s="41" t="s">
        <v>121</v>
      </c>
      <c r="T22" s="76" t="s">
        <v>11</v>
      </c>
      <c r="U22" s="76" t="s">
        <v>11</v>
      </c>
      <c r="V22" s="76" t="s">
        <v>11</v>
      </c>
      <c r="W22" s="76" t="s">
        <v>11</v>
      </c>
      <c r="X22" s="76" t="s">
        <v>11</v>
      </c>
      <c r="Y22" s="76" t="s">
        <v>11</v>
      </c>
      <c r="Z22" s="77" t="s">
        <v>11</v>
      </c>
    </row>
    <row r="23" spans="1:26">
      <c r="A23" s="5" t="s">
        <v>52</v>
      </c>
      <c r="B23" s="6">
        <v>4000</v>
      </c>
      <c r="C23" s="104">
        <f t="shared" si="0"/>
        <v>9.1827364554637275E-2</v>
      </c>
      <c r="D23" s="104">
        <v>5.51</v>
      </c>
      <c r="E23" s="104" t="s">
        <v>11</v>
      </c>
      <c r="F23" s="104"/>
      <c r="G23" s="104"/>
      <c r="H23" s="104"/>
      <c r="I23" s="104"/>
      <c r="J23" s="54">
        <v>98</v>
      </c>
      <c r="K23" s="54">
        <v>50</v>
      </c>
      <c r="L23" s="55">
        <v>14</v>
      </c>
      <c r="M23" s="118" t="s">
        <v>152</v>
      </c>
      <c r="N23" s="8" t="s">
        <v>31</v>
      </c>
      <c r="O23" s="114" t="s">
        <v>172</v>
      </c>
      <c r="P23" s="7" t="s">
        <v>173</v>
      </c>
      <c r="Q23" s="56" t="s">
        <v>155</v>
      </c>
      <c r="R23" s="7" t="s">
        <v>123</v>
      </c>
      <c r="S23" s="41" t="s">
        <v>121</v>
      </c>
      <c r="T23" s="76" t="s">
        <v>493</v>
      </c>
      <c r="U23" s="76" t="s">
        <v>11</v>
      </c>
      <c r="V23" s="76" t="s">
        <v>11</v>
      </c>
      <c r="W23" s="76" t="s">
        <v>11</v>
      </c>
      <c r="X23" s="76" t="s">
        <v>11</v>
      </c>
      <c r="Y23" s="76" t="s">
        <v>11</v>
      </c>
      <c r="Z23" s="77" t="s">
        <v>11</v>
      </c>
    </row>
    <row r="24" spans="1:26">
      <c r="A24" s="5" t="s">
        <v>33</v>
      </c>
      <c r="B24" s="6">
        <v>145000</v>
      </c>
      <c r="C24" s="104">
        <f t="shared" si="0"/>
        <v>3.3287419651056016</v>
      </c>
      <c r="D24" s="104">
        <v>19.9725</v>
      </c>
      <c r="E24" s="104">
        <v>8</v>
      </c>
      <c r="F24" s="104">
        <v>8</v>
      </c>
      <c r="G24" s="104">
        <v>8</v>
      </c>
      <c r="H24" s="104">
        <v>8</v>
      </c>
      <c r="I24" s="104"/>
      <c r="J24" s="54">
        <v>95</v>
      </c>
      <c r="K24" s="54">
        <v>90</v>
      </c>
      <c r="L24" s="55">
        <v>3.25</v>
      </c>
      <c r="M24" s="118" t="s">
        <v>148</v>
      </c>
      <c r="N24" s="8"/>
      <c r="O24" s="114" t="s">
        <v>174</v>
      </c>
      <c r="P24" s="7" t="s">
        <v>175</v>
      </c>
      <c r="Q24" s="56" t="s">
        <v>176</v>
      </c>
      <c r="R24" s="7" t="s">
        <v>118</v>
      </c>
      <c r="S24" s="41" t="s">
        <v>121</v>
      </c>
      <c r="T24" s="76" t="s">
        <v>265</v>
      </c>
      <c r="U24" s="76" t="s">
        <v>266</v>
      </c>
      <c r="V24" s="76" t="s">
        <v>450</v>
      </c>
      <c r="W24" s="76" t="s">
        <v>11</v>
      </c>
      <c r="X24" s="76" t="s">
        <v>11</v>
      </c>
      <c r="Y24" s="76" t="s">
        <v>11</v>
      </c>
      <c r="Z24" s="77" t="s">
        <v>11</v>
      </c>
    </row>
    <row r="25" spans="1:26">
      <c r="A25" s="5" t="s">
        <v>177</v>
      </c>
      <c r="B25" s="6">
        <v>664000</v>
      </c>
      <c r="C25" s="104">
        <f t="shared" si="0"/>
        <v>15.243342516069788</v>
      </c>
      <c r="D25" s="104">
        <v>34.297499999999999</v>
      </c>
      <c r="E25" s="104">
        <v>4</v>
      </c>
      <c r="F25" s="104">
        <v>5</v>
      </c>
      <c r="G25" s="104">
        <v>5</v>
      </c>
      <c r="H25" s="104">
        <v>5</v>
      </c>
      <c r="I25" s="104">
        <v>5</v>
      </c>
      <c r="J25" s="54">
        <v>98</v>
      </c>
      <c r="K25" s="54">
        <v>90</v>
      </c>
      <c r="L25" s="55">
        <v>0.9</v>
      </c>
      <c r="M25" s="118" t="s">
        <v>148</v>
      </c>
      <c r="N25" s="8"/>
      <c r="O25" s="114" t="s">
        <v>158</v>
      </c>
      <c r="P25" s="7" t="s">
        <v>178</v>
      </c>
      <c r="Q25" s="56" t="s">
        <v>179</v>
      </c>
      <c r="R25" s="7" t="s">
        <v>118</v>
      </c>
      <c r="S25" s="41" t="s">
        <v>122</v>
      </c>
      <c r="T25" s="76" t="s">
        <v>464</v>
      </c>
      <c r="U25" s="76" t="s">
        <v>11</v>
      </c>
      <c r="V25" s="76" t="s">
        <v>11</v>
      </c>
      <c r="W25" s="76" t="s">
        <v>11</v>
      </c>
      <c r="X25" s="76" t="s">
        <v>11</v>
      </c>
      <c r="Y25" s="76" t="s">
        <v>11</v>
      </c>
      <c r="Z25" s="77" t="s">
        <v>11</v>
      </c>
    </row>
    <row r="26" spans="1:26">
      <c r="A26" s="5" t="s">
        <v>180</v>
      </c>
      <c r="B26" s="6">
        <v>270000</v>
      </c>
      <c r="C26" s="104">
        <f t="shared" si="0"/>
        <v>6.1983471074380168</v>
      </c>
      <c r="D26" s="104">
        <v>24.793399999999998</v>
      </c>
      <c r="E26" s="104">
        <v>6</v>
      </c>
      <c r="F26" s="104">
        <v>6</v>
      </c>
      <c r="G26" s="104">
        <v>6</v>
      </c>
      <c r="H26" s="104">
        <v>6</v>
      </c>
      <c r="I26" s="104"/>
      <c r="J26" s="54">
        <v>96</v>
      </c>
      <c r="K26" s="54">
        <v>90</v>
      </c>
      <c r="L26" s="55">
        <v>1.1499999999999999</v>
      </c>
      <c r="M26" s="118" t="s">
        <v>148</v>
      </c>
      <c r="N26" s="8"/>
      <c r="O26" s="114" t="s">
        <v>158</v>
      </c>
      <c r="P26" s="7" t="s">
        <v>150</v>
      </c>
      <c r="Q26" s="56" t="s">
        <v>181</v>
      </c>
      <c r="R26" s="7" t="s">
        <v>118</v>
      </c>
      <c r="S26" s="41" t="s">
        <v>122</v>
      </c>
      <c r="T26" s="76" t="s">
        <v>267</v>
      </c>
      <c r="U26" s="76" t="s">
        <v>268</v>
      </c>
      <c r="V26" s="76" t="s">
        <v>269</v>
      </c>
      <c r="W26" s="76" t="s">
        <v>270</v>
      </c>
      <c r="X26" s="76" t="s">
        <v>11</v>
      </c>
      <c r="Y26" s="76" t="s">
        <v>11</v>
      </c>
      <c r="Z26" s="77" t="s">
        <v>11</v>
      </c>
    </row>
    <row r="27" spans="1:26">
      <c r="A27" s="5" t="s">
        <v>182</v>
      </c>
      <c r="B27" s="6">
        <v>288000</v>
      </c>
      <c r="C27" s="104">
        <f>B27/43560</f>
        <v>6.6115702479338845</v>
      </c>
      <c r="D27" s="104">
        <v>26.446300000000001</v>
      </c>
      <c r="E27" s="104">
        <v>8</v>
      </c>
      <c r="F27" s="104">
        <v>8</v>
      </c>
      <c r="G27" s="104">
        <v>8</v>
      </c>
      <c r="H27" s="104">
        <v>8</v>
      </c>
      <c r="I27" s="104">
        <v>8</v>
      </c>
      <c r="J27" s="54">
        <v>95</v>
      </c>
      <c r="K27" s="54">
        <v>90</v>
      </c>
      <c r="L27" s="55">
        <v>4.5</v>
      </c>
      <c r="M27" s="118" t="s">
        <v>148</v>
      </c>
      <c r="N27" s="8"/>
      <c r="O27" s="114" t="s">
        <v>158</v>
      </c>
      <c r="P27" s="7" t="s">
        <v>183</v>
      </c>
      <c r="Q27" s="56" t="s">
        <v>179</v>
      </c>
      <c r="R27" s="7" t="s">
        <v>126</v>
      </c>
      <c r="S27" s="41" t="s">
        <v>122</v>
      </c>
      <c r="T27" s="76" t="s">
        <v>271</v>
      </c>
      <c r="U27" s="76" t="s">
        <v>11</v>
      </c>
      <c r="V27" s="76" t="s">
        <v>11</v>
      </c>
      <c r="W27" s="76" t="s">
        <v>11</v>
      </c>
      <c r="X27" s="76" t="s">
        <v>11</v>
      </c>
      <c r="Y27" s="76" t="s">
        <v>11</v>
      </c>
      <c r="Z27" s="77" t="s">
        <v>11</v>
      </c>
    </row>
    <row r="28" spans="1:26">
      <c r="A28" s="5" t="s">
        <v>184</v>
      </c>
      <c r="B28" s="6">
        <v>710000</v>
      </c>
      <c r="C28" s="104">
        <f t="shared" si="0"/>
        <v>16.299357208448118</v>
      </c>
      <c r="D28" s="104">
        <v>36.6736</v>
      </c>
      <c r="E28" s="104">
        <v>4</v>
      </c>
      <c r="F28" s="104">
        <v>4</v>
      </c>
      <c r="G28" s="104">
        <v>4</v>
      </c>
      <c r="H28" s="104">
        <v>4</v>
      </c>
      <c r="I28" s="104"/>
      <c r="J28" s="54">
        <v>99</v>
      </c>
      <c r="K28" s="54">
        <v>85</v>
      </c>
      <c r="L28" s="55">
        <v>1.8</v>
      </c>
      <c r="M28" s="118" t="s">
        <v>148</v>
      </c>
      <c r="N28" s="8"/>
      <c r="O28" s="114" t="s">
        <v>158</v>
      </c>
      <c r="P28" s="7" t="s">
        <v>185</v>
      </c>
      <c r="Q28" s="56" t="s">
        <v>179</v>
      </c>
      <c r="R28" s="7" t="s">
        <v>118</v>
      </c>
      <c r="S28" s="41" t="s">
        <v>119</v>
      </c>
      <c r="T28" s="76" t="s">
        <v>272</v>
      </c>
      <c r="U28" s="76" t="s">
        <v>273</v>
      </c>
      <c r="V28" s="76" t="s">
        <v>274</v>
      </c>
      <c r="W28" s="76" t="s">
        <v>494</v>
      </c>
      <c r="X28" s="76" t="s">
        <v>11</v>
      </c>
      <c r="Y28" s="76" t="s">
        <v>11</v>
      </c>
      <c r="Z28" s="77" t="s">
        <v>11</v>
      </c>
    </row>
    <row r="29" spans="1:26">
      <c r="A29" s="5" t="s">
        <v>125</v>
      </c>
      <c r="B29" s="6">
        <v>110000</v>
      </c>
      <c r="C29" s="104">
        <f t="shared" si="0"/>
        <v>2.5252525252525251</v>
      </c>
      <c r="D29" s="104">
        <v>20.201000000000001</v>
      </c>
      <c r="E29" s="104">
        <v>8</v>
      </c>
      <c r="F29" s="104">
        <v>8</v>
      </c>
      <c r="G29" s="104">
        <v>8</v>
      </c>
      <c r="H29" s="104">
        <v>8</v>
      </c>
      <c r="I29" s="104"/>
      <c r="J29" s="54">
        <v>95</v>
      </c>
      <c r="K29" s="54">
        <v>90</v>
      </c>
      <c r="L29" s="55">
        <v>14</v>
      </c>
      <c r="M29" s="118" t="s">
        <v>148</v>
      </c>
      <c r="N29" s="8"/>
      <c r="O29" s="114" t="s">
        <v>186</v>
      </c>
      <c r="P29" s="7" t="s">
        <v>150</v>
      </c>
      <c r="Q29" s="56" t="s">
        <v>155</v>
      </c>
      <c r="R29" s="7" t="s">
        <v>126</v>
      </c>
      <c r="S29" s="41" t="s">
        <v>121</v>
      </c>
      <c r="T29" s="76" t="s">
        <v>495</v>
      </c>
      <c r="U29" s="76" t="s">
        <v>496</v>
      </c>
      <c r="V29" s="76" t="s">
        <v>497</v>
      </c>
      <c r="W29" s="76" t="s">
        <v>11</v>
      </c>
      <c r="X29" s="76" t="s">
        <v>11</v>
      </c>
      <c r="Y29" s="76" t="s">
        <v>11</v>
      </c>
      <c r="Z29" s="77" t="s">
        <v>11</v>
      </c>
    </row>
    <row r="30" spans="1:26">
      <c r="A30" s="5" t="s">
        <v>468</v>
      </c>
      <c r="B30" s="6">
        <v>18500</v>
      </c>
      <c r="C30" s="104">
        <f t="shared" si="0"/>
        <v>0.42470156106519741</v>
      </c>
      <c r="D30" s="104">
        <v>9.9803999999999995</v>
      </c>
      <c r="E30" s="104" t="s">
        <v>11</v>
      </c>
      <c r="F30" s="104"/>
      <c r="G30" s="104"/>
      <c r="H30" s="104"/>
      <c r="I30" s="104"/>
      <c r="J30" s="54">
        <v>98</v>
      </c>
      <c r="K30" s="54">
        <v>75</v>
      </c>
      <c r="L30" s="55">
        <v>55</v>
      </c>
      <c r="M30" s="118" t="s">
        <v>152</v>
      </c>
      <c r="N30" s="8" t="s">
        <v>31</v>
      </c>
      <c r="O30" s="114" t="s">
        <v>166</v>
      </c>
      <c r="P30" s="7" t="s">
        <v>469</v>
      </c>
      <c r="Q30" s="56" t="s">
        <v>170</v>
      </c>
      <c r="R30" s="7" t="s">
        <v>123</v>
      </c>
      <c r="S30" s="41" t="s">
        <v>121</v>
      </c>
      <c r="T30" s="76" t="s">
        <v>11</v>
      </c>
      <c r="U30" s="76" t="s">
        <v>11</v>
      </c>
      <c r="V30" s="76" t="s">
        <v>11</v>
      </c>
      <c r="W30" s="76" t="s">
        <v>11</v>
      </c>
      <c r="X30" s="76" t="s">
        <v>11</v>
      </c>
      <c r="Y30" s="76" t="s">
        <v>11</v>
      </c>
      <c r="Z30" s="77" t="s">
        <v>11</v>
      </c>
    </row>
    <row r="31" spans="1:26">
      <c r="A31" s="5" t="s">
        <v>187</v>
      </c>
      <c r="B31" s="6">
        <v>5600000</v>
      </c>
      <c r="C31" s="104">
        <f t="shared" si="0"/>
        <v>128.55831037649219</v>
      </c>
      <c r="D31" s="104">
        <v>64.279200000000003</v>
      </c>
      <c r="E31" s="104">
        <v>1</v>
      </c>
      <c r="F31" s="104">
        <v>1</v>
      </c>
      <c r="G31" s="104">
        <v>0.5</v>
      </c>
      <c r="H31" s="104">
        <v>0.5</v>
      </c>
      <c r="I31" s="104"/>
      <c r="J31" s="54">
        <v>95</v>
      </c>
      <c r="K31" s="54">
        <v>90</v>
      </c>
      <c r="L31" s="55">
        <v>6</v>
      </c>
      <c r="M31" s="118" t="s">
        <v>148</v>
      </c>
      <c r="N31" s="8" t="s">
        <v>31</v>
      </c>
      <c r="O31" s="114" t="s">
        <v>188</v>
      </c>
      <c r="P31" s="7" t="s">
        <v>514</v>
      </c>
      <c r="Q31" s="56" t="s">
        <v>195</v>
      </c>
      <c r="R31" s="7" t="s">
        <v>120</v>
      </c>
      <c r="S31" s="41" t="s">
        <v>121</v>
      </c>
      <c r="T31" s="76" t="s">
        <v>11</v>
      </c>
      <c r="U31" s="76" t="s">
        <v>11</v>
      </c>
      <c r="V31" s="76" t="s">
        <v>11</v>
      </c>
      <c r="W31" s="76" t="s">
        <v>11</v>
      </c>
      <c r="X31" s="76" t="s">
        <v>11</v>
      </c>
      <c r="Y31" s="76" t="s">
        <v>11</v>
      </c>
      <c r="Z31" s="77" t="s">
        <v>11</v>
      </c>
    </row>
    <row r="32" spans="1:26">
      <c r="A32" s="5" t="s">
        <v>190</v>
      </c>
      <c r="B32" s="6">
        <v>592000</v>
      </c>
      <c r="C32" s="104">
        <f t="shared" si="0"/>
        <v>13.590449954086317</v>
      </c>
      <c r="D32" s="104">
        <v>33.976100000000002</v>
      </c>
      <c r="E32" s="104">
        <v>10</v>
      </c>
      <c r="F32" s="104">
        <v>10</v>
      </c>
      <c r="G32" s="104">
        <v>10</v>
      </c>
      <c r="H32" s="104">
        <v>10</v>
      </c>
      <c r="I32" s="104"/>
      <c r="J32" s="54">
        <v>95</v>
      </c>
      <c r="K32" s="54">
        <v>85</v>
      </c>
      <c r="L32" s="55">
        <v>2</v>
      </c>
      <c r="M32" s="118" t="s">
        <v>148</v>
      </c>
      <c r="N32" s="8"/>
      <c r="O32" s="114" t="s">
        <v>163</v>
      </c>
      <c r="P32" s="7" t="s">
        <v>164</v>
      </c>
      <c r="Q32" s="56" t="s">
        <v>155</v>
      </c>
      <c r="R32" s="7" t="s">
        <v>120</v>
      </c>
      <c r="S32" s="41" t="s">
        <v>121</v>
      </c>
      <c r="T32" s="76" t="s">
        <v>278</v>
      </c>
      <c r="U32" s="76" t="s">
        <v>11</v>
      </c>
      <c r="V32" s="76" t="s">
        <v>11</v>
      </c>
      <c r="W32" s="76" t="s">
        <v>11</v>
      </c>
      <c r="X32" s="76" t="s">
        <v>11</v>
      </c>
      <c r="Y32" s="76" t="s">
        <v>11</v>
      </c>
      <c r="Z32" s="77" t="s">
        <v>11</v>
      </c>
    </row>
    <row r="33" spans="1:26">
      <c r="A33" s="5" t="s">
        <v>455</v>
      </c>
      <c r="B33" s="6">
        <v>450000</v>
      </c>
      <c r="C33" s="104">
        <f>B33/43560</f>
        <v>10.330578512396695</v>
      </c>
      <c r="D33" s="104">
        <v>30.991700000000002</v>
      </c>
      <c r="E33" s="104">
        <v>8</v>
      </c>
      <c r="F33" s="104">
        <v>8</v>
      </c>
      <c r="G33" s="104">
        <v>8</v>
      </c>
      <c r="H33" s="104">
        <v>8</v>
      </c>
      <c r="I33" s="104"/>
      <c r="J33" s="54">
        <v>80</v>
      </c>
      <c r="K33" s="54">
        <v>80</v>
      </c>
      <c r="L33" s="55">
        <v>12</v>
      </c>
      <c r="M33" s="118" t="s">
        <v>148</v>
      </c>
      <c r="N33" s="8"/>
      <c r="O33" s="114" t="s">
        <v>163</v>
      </c>
      <c r="P33" s="7" t="s">
        <v>164</v>
      </c>
      <c r="Q33" s="56" t="s">
        <v>155</v>
      </c>
      <c r="R33" s="7" t="s">
        <v>120</v>
      </c>
      <c r="S33" s="41" t="s">
        <v>121</v>
      </c>
      <c r="T33" s="76" t="s">
        <v>456</v>
      </c>
      <c r="U33" s="76" t="s">
        <v>457</v>
      </c>
      <c r="V33" s="76" t="s">
        <v>11</v>
      </c>
      <c r="W33" s="76" t="s">
        <v>11</v>
      </c>
      <c r="X33" s="76" t="s">
        <v>11</v>
      </c>
      <c r="Y33" s="76" t="s">
        <v>11</v>
      </c>
      <c r="Z33" s="77" t="s">
        <v>11</v>
      </c>
    </row>
    <row r="34" spans="1:26">
      <c r="A34" s="5" t="s">
        <v>191</v>
      </c>
      <c r="B34" s="6">
        <v>615000</v>
      </c>
      <c r="C34" s="104">
        <f t="shared" si="0"/>
        <v>14.118457300275482</v>
      </c>
      <c r="D34" s="104">
        <v>35.296100000000003</v>
      </c>
      <c r="E34" s="104">
        <v>10</v>
      </c>
      <c r="F34" s="104">
        <v>10</v>
      </c>
      <c r="G34" s="104">
        <v>10</v>
      </c>
      <c r="H34" s="104">
        <v>10</v>
      </c>
      <c r="I34" s="104"/>
      <c r="J34" s="54">
        <v>98</v>
      </c>
      <c r="K34" s="54">
        <v>80</v>
      </c>
      <c r="L34" s="55">
        <v>1.5</v>
      </c>
      <c r="M34" s="118" t="s">
        <v>148</v>
      </c>
      <c r="N34" s="8"/>
      <c r="O34" s="114" t="s">
        <v>158</v>
      </c>
      <c r="P34" s="7" t="s">
        <v>164</v>
      </c>
      <c r="Q34" s="56" t="s">
        <v>155</v>
      </c>
      <c r="R34" s="7" t="s">
        <v>124</v>
      </c>
      <c r="S34" s="41" t="s">
        <v>121</v>
      </c>
      <c r="T34" s="76" t="s">
        <v>275</v>
      </c>
      <c r="U34" s="76" t="s">
        <v>276</v>
      </c>
      <c r="V34" s="76" t="s">
        <v>11</v>
      </c>
      <c r="W34" s="76" t="s">
        <v>11</v>
      </c>
      <c r="X34" s="76" t="s">
        <v>11</v>
      </c>
      <c r="Y34" s="76" t="s">
        <v>11</v>
      </c>
      <c r="Z34" s="77" t="s">
        <v>11</v>
      </c>
    </row>
    <row r="35" spans="1:26">
      <c r="A35" s="5" t="s">
        <v>192</v>
      </c>
      <c r="B35" s="6">
        <v>530000</v>
      </c>
      <c r="C35" s="104">
        <f t="shared" si="0"/>
        <v>12.167125803489441</v>
      </c>
      <c r="D35" s="104">
        <v>36.501399999999997</v>
      </c>
      <c r="E35" s="104">
        <v>10</v>
      </c>
      <c r="F35" s="104">
        <v>10</v>
      </c>
      <c r="G35" s="104">
        <v>10</v>
      </c>
      <c r="H35" s="104">
        <v>10</v>
      </c>
      <c r="I35" s="104"/>
      <c r="J35" s="54">
        <v>80</v>
      </c>
      <c r="K35" s="54">
        <v>80</v>
      </c>
      <c r="L35" s="55">
        <v>2.6</v>
      </c>
      <c r="M35" s="118" t="s">
        <v>148</v>
      </c>
      <c r="N35" s="8"/>
      <c r="O35" s="114" t="s">
        <v>153</v>
      </c>
      <c r="P35" s="7" t="s">
        <v>164</v>
      </c>
      <c r="Q35" s="56" t="s">
        <v>155</v>
      </c>
      <c r="R35" s="7" t="s">
        <v>120</v>
      </c>
      <c r="S35" s="41" t="s">
        <v>121</v>
      </c>
      <c r="T35" s="76" t="s">
        <v>277</v>
      </c>
      <c r="U35" s="76" t="s">
        <v>303</v>
      </c>
      <c r="V35" s="76" t="s">
        <v>11</v>
      </c>
      <c r="W35" s="76" t="s">
        <v>11</v>
      </c>
      <c r="X35" s="76" t="s">
        <v>11</v>
      </c>
      <c r="Y35" s="76" t="s">
        <v>11</v>
      </c>
      <c r="Z35" s="77" t="s">
        <v>11</v>
      </c>
    </row>
    <row r="36" spans="1:26">
      <c r="A36" s="5" t="s">
        <v>193</v>
      </c>
      <c r="B36" s="6">
        <v>206000</v>
      </c>
      <c r="C36" s="104">
        <f t="shared" si="0"/>
        <v>4.7291092745638199</v>
      </c>
      <c r="D36" s="104">
        <v>26.010100000000001</v>
      </c>
      <c r="E36" s="104">
        <v>10</v>
      </c>
      <c r="F36" s="104">
        <v>14</v>
      </c>
      <c r="G36" s="104">
        <v>14</v>
      </c>
      <c r="H36" s="104">
        <v>14</v>
      </c>
      <c r="I36" s="104">
        <v>14</v>
      </c>
      <c r="J36" s="54">
        <v>98</v>
      </c>
      <c r="K36" s="54">
        <v>95</v>
      </c>
      <c r="L36" s="55">
        <v>1.4</v>
      </c>
      <c r="M36" s="118" t="s">
        <v>148</v>
      </c>
      <c r="N36" s="8"/>
      <c r="O36" s="114" t="s">
        <v>163</v>
      </c>
      <c r="P36" s="7" t="s">
        <v>194</v>
      </c>
      <c r="Q36" s="56" t="s">
        <v>155</v>
      </c>
      <c r="R36" s="7" t="s">
        <v>120</v>
      </c>
      <c r="S36" s="41" t="s">
        <v>121</v>
      </c>
      <c r="T36" s="76" t="s">
        <v>279</v>
      </c>
      <c r="U36" s="76" t="s">
        <v>280</v>
      </c>
      <c r="V36" s="76" t="s">
        <v>281</v>
      </c>
      <c r="W36" s="76" t="s">
        <v>282</v>
      </c>
      <c r="X36" s="76" t="s">
        <v>11</v>
      </c>
      <c r="Y36" s="76" t="s">
        <v>11</v>
      </c>
      <c r="Z36" s="77" t="s">
        <v>11</v>
      </c>
    </row>
    <row r="37" spans="1:26">
      <c r="A37" s="5" t="s">
        <v>43</v>
      </c>
      <c r="B37" s="6">
        <v>520000</v>
      </c>
      <c r="C37" s="104">
        <f t="shared" si="0"/>
        <v>11.937557392102846</v>
      </c>
      <c r="D37" s="104">
        <v>35.8127</v>
      </c>
      <c r="E37" s="104">
        <v>3</v>
      </c>
      <c r="F37" s="104">
        <v>3</v>
      </c>
      <c r="G37" s="104">
        <v>3</v>
      </c>
      <c r="H37" s="104">
        <v>3</v>
      </c>
      <c r="I37" s="104"/>
      <c r="J37" s="54">
        <v>95</v>
      </c>
      <c r="K37" s="54">
        <v>60</v>
      </c>
      <c r="L37" s="55">
        <v>25</v>
      </c>
      <c r="M37" s="118" t="s">
        <v>152</v>
      </c>
      <c r="N37" s="8"/>
      <c r="O37" s="114" t="s">
        <v>149</v>
      </c>
      <c r="P37" s="7" t="s">
        <v>154</v>
      </c>
      <c r="Q37" s="56" t="s">
        <v>195</v>
      </c>
      <c r="R37" s="7" t="s">
        <v>127</v>
      </c>
      <c r="S37" s="41" t="s">
        <v>121</v>
      </c>
      <c r="T37" s="76" t="s">
        <v>283</v>
      </c>
      <c r="U37" s="76" t="s">
        <v>11</v>
      </c>
      <c r="V37" s="76" t="s">
        <v>11</v>
      </c>
      <c r="W37" s="76" t="s">
        <v>11</v>
      </c>
      <c r="X37" s="76" t="s">
        <v>11</v>
      </c>
      <c r="Y37" s="76" t="s">
        <v>11</v>
      </c>
      <c r="Z37" s="77" t="s">
        <v>11</v>
      </c>
    </row>
    <row r="38" spans="1:26">
      <c r="A38" s="5" t="s">
        <v>34</v>
      </c>
      <c r="B38" s="6">
        <v>55000</v>
      </c>
      <c r="C38" s="104">
        <f t="shared" si="0"/>
        <v>1.2626262626262625</v>
      </c>
      <c r="D38" s="104">
        <v>10.101000000000001</v>
      </c>
      <c r="E38" s="104">
        <v>9</v>
      </c>
      <c r="F38" s="104">
        <v>9</v>
      </c>
      <c r="G38" s="104">
        <v>9</v>
      </c>
      <c r="H38" s="104">
        <v>9</v>
      </c>
      <c r="I38" s="104"/>
      <c r="J38" s="54">
        <v>95</v>
      </c>
      <c r="K38" s="54">
        <v>50</v>
      </c>
      <c r="L38" s="55">
        <v>13</v>
      </c>
      <c r="M38" s="118" t="s">
        <v>152</v>
      </c>
      <c r="N38" s="8" t="s">
        <v>31</v>
      </c>
      <c r="O38" s="114" t="s">
        <v>196</v>
      </c>
      <c r="P38" s="7" t="s">
        <v>189</v>
      </c>
      <c r="Q38" s="56" t="s">
        <v>151</v>
      </c>
      <c r="R38" s="7" t="s">
        <v>123</v>
      </c>
      <c r="S38" s="41" t="s">
        <v>121</v>
      </c>
      <c r="T38" s="76" t="s">
        <v>284</v>
      </c>
      <c r="U38" s="76" t="s">
        <v>498</v>
      </c>
      <c r="V38" s="76" t="s">
        <v>11</v>
      </c>
      <c r="W38" s="76" t="s">
        <v>11</v>
      </c>
      <c r="X38" s="76" t="s">
        <v>11</v>
      </c>
      <c r="Y38" s="76" t="s">
        <v>11</v>
      </c>
      <c r="Z38" s="77" t="s">
        <v>11</v>
      </c>
    </row>
    <row r="39" spans="1:26">
      <c r="A39" s="12" t="s">
        <v>443</v>
      </c>
      <c r="B39" s="13">
        <v>900000</v>
      </c>
      <c r="C39" s="105">
        <f t="shared" si="0"/>
        <v>20.66115702479339</v>
      </c>
      <c r="D39" s="105">
        <v>41.322299999999998</v>
      </c>
      <c r="E39" s="105">
        <v>3</v>
      </c>
      <c r="F39" s="105">
        <v>4</v>
      </c>
      <c r="G39" s="105"/>
      <c r="H39" s="105"/>
      <c r="I39" s="105">
        <v>4</v>
      </c>
      <c r="J39" s="65">
        <v>90</v>
      </c>
      <c r="K39" s="65">
        <v>90</v>
      </c>
      <c r="L39" s="66">
        <v>4.7</v>
      </c>
      <c r="M39" s="119" t="s">
        <v>148</v>
      </c>
      <c r="N39" s="15"/>
      <c r="O39" s="115" t="s">
        <v>158</v>
      </c>
      <c r="P39" s="14" t="s">
        <v>175</v>
      </c>
      <c r="Q39" s="67" t="s">
        <v>155</v>
      </c>
      <c r="R39" s="14" t="s">
        <v>124</v>
      </c>
      <c r="S39" s="43" t="s">
        <v>121</v>
      </c>
      <c r="T39" s="78" t="s">
        <v>442</v>
      </c>
      <c r="U39" s="78" t="s">
        <v>499</v>
      </c>
      <c r="V39" s="78" t="s">
        <v>500</v>
      </c>
      <c r="W39" s="78" t="s">
        <v>11</v>
      </c>
      <c r="X39" s="78" t="s">
        <v>11</v>
      </c>
      <c r="Y39" s="78" t="s">
        <v>11</v>
      </c>
      <c r="Z39" s="79" t="s">
        <v>11</v>
      </c>
    </row>
    <row r="40" spans="1:26">
      <c r="A40" s="57" t="s">
        <v>444</v>
      </c>
      <c r="B40" s="58">
        <v>159000</v>
      </c>
      <c r="C40" s="103">
        <f t="shared" si="0"/>
        <v>3.6501377410468319</v>
      </c>
      <c r="D40" s="103">
        <v>20.075800000000001</v>
      </c>
      <c r="E40" s="103">
        <v>6</v>
      </c>
      <c r="F40" s="103">
        <v>6</v>
      </c>
      <c r="G40" s="103">
        <v>6</v>
      </c>
      <c r="H40" s="103">
        <v>6</v>
      </c>
      <c r="I40" s="103"/>
      <c r="J40" s="59">
        <v>90</v>
      </c>
      <c r="K40" s="59">
        <v>50</v>
      </c>
      <c r="L40" s="60">
        <v>13.5</v>
      </c>
      <c r="M40" s="117" t="s">
        <v>148</v>
      </c>
      <c r="N40" s="63" t="s">
        <v>31</v>
      </c>
      <c r="O40" s="111" t="s">
        <v>188</v>
      </c>
      <c r="P40" s="61"/>
      <c r="Q40" s="62" t="s">
        <v>179</v>
      </c>
      <c r="R40" s="61" t="s">
        <v>120</v>
      </c>
      <c r="S40" s="53" t="s">
        <v>119</v>
      </c>
      <c r="T40" s="94" t="s">
        <v>445</v>
      </c>
      <c r="U40" s="94" t="s">
        <v>11</v>
      </c>
      <c r="V40" s="94" t="s">
        <v>11</v>
      </c>
      <c r="W40" s="94" t="s">
        <v>11</v>
      </c>
      <c r="X40" s="94" t="s">
        <v>11</v>
      </c>
      <c r="Y40" s="94" t="s">
        <v>11</v>
      </c>
      <c r="Z40" s="95" t="s">
        <v>11</v>
      </c>
    </row>
    <row r="41" spans="1:26">
      <c r="A41" s="5" t="s">
        <v>128</v>
      </c>
      <c r="B41" s="6">
        <v>500000</v>
      </c>
      <c r="C41" s="104">
        <f t="shared" si="0"/>
        <v>11.478420569329661</v>
      </c>
      <c r="D41" s="104">
        <v>34.435299999999998</v>
      </c>
      <c r="E41" s="104">
        <v>4</v>
      </c>
      <c r="F41" s="104">
        <v>4</v>
      </c>
      <c r="G41" s="104">
        <v>4</v>
      </c>
      <c r="H41" s="104">
        <v>4</v>
      </c>
      <c r="I41" s="104"/>
      <c r="J41" s="54">
        <v>98</v>
      </c>
      <c r="K41" s="54">
        <v>93</v>
      </c>
      <c r="L41" s="55">
        <v>105</v>
      </c>
      <c r="M41" s="118" t="s">
        <v>152</v>
      </c>
      <c r="N41" s="8" t="s">
        <v>31</v>
      </c>
      <c r="O41" s="114" t="s">
        <v>149</v>
      </c>
      <c r="P41" s="7" t="s">
        <v>194</v>
      </c>
      <c r="Q41" s="56" t="s">
        <v>155</v>
      </c>
      <c r="R41" s="7" t="s">
        <v>118</v>
      </c>
      <c r="S41" s="41" t="s">
        <v>121</v>
      </c>
      <c r="T41" s="76" t="s">
        <v>285</v>
      </c>
      <c r="U41" s="76" t="s">
        <v>286</v>
      </c>
      <c r="V41" s="76" t="s">
        <v>11</v>
      </c>
      <c r="W41" s="76" t="s">
        <v>11</v>
      </c>
      <c r="X41" s="76" t="s">
        <v>11</v>
      </c>
      <c r="Y41" s="76" t="s">
        <v>11</v>
      </c>
      <c r="Z41" s="77" t="s">
        <v>11</v>
      </c>
    </row>
    <row r="42" spans="1:26">
      <c r="A42" s="5" t="s">
        <v>129</v>
      </c>
      <c r="B42" s="6">
        <v>356000</v>
      </c>
      <c r="C42" s="104">
        <f t="shared" si="0"/>
        <v>8.1726354453627188</v>
      </c>
      <c r="D42" s="104">
        <v>24.518000000000001</v>
      </c>
      <c r="E42" s="104">
        <v>3</v>
      </c>
      <c r="F42" s="104">
        <v>3</v>
      </c>
      <c r="G42" s="104">
        <v>3</v>
      </c>
      <c r="H42" s="104">
        <v>3</v>
      </c>
      <c r="I42" s="104"/>
      <c r="J42" s="54">
        <v>95</v>
      </c>
      <c r="K42" s="54">
        <v>80</v>
      </c>
      <c r="L42" s="55">
        <v>30</v>
      </c>
      <c r="M42" s="118" t="s">
        <v>152</v>
      </c>
      <c r="N42" s="8" t="s">
        <v>31</v>
      </c>
      <c r="O42" s="114" t="s">
        <v>172</v>
      </c>
      <c r="P42" s="7" t="s">
        <v>150</v>
      </c>
      <c r="Q42" s="56" t="s">
        <v>155</v>
      </c>
      <c r="R42" s="7" t="s">
        <v>123</v>
      </c>
      <c r="S42" s="41" t="s">
        <v>121</v>
      </c>
      <c r="T42" s="76" t="s">
        <v>11</v>
      </c>
      <c r="U42" s="76" t="s">
        <v>11</v>
      </c>
      <c r="V42" s="76" t="s">
        <v>11</v>
      </c>
      <c r="W42" s="76" t="s">
        <v>11</v>
      </c>
      <c r="X42" s="76" t="s">
        <v>11</v>
      </c>
      <c r="Y42" s="76" t="s">
        <v>11</v>
      </c>
      <c r="Z42" s="77" t="s">
        <v>11</v>
      </c>
    </row>
    <row r="43" spans="1:26">
      <c r="A43" s="5" t="s">
        <v>378</v>
      </c>
      <c r="B43" s="6">
        <v>2500000</v>
      </c>
      <c r="C43" s="104">
        <f t="shared" si="0"/>
        <v>57.392102846648299</v>
      </c>
      <c r="D43" s="104">
        <v>57.392099999999999</v>
      </c>
      <c r="E43" s="104">
        <v>1</v>
      </c>
      <c r="F43" s="104">
        <v>1</v>
      </c>
      <c r="G43" s="104">
        <v>1</v>
      </c>
      <c r="H43" s="104">
        <v>1</v>
      </c>
      <c r="I43" s="104">
        <v>1</v>
      </c>
      <c r="J43" s="99">
        <v>80</v>
      </c>
      <c r="K43" s="99">
        <v>80</v>
      </c>
      <c r="L43" s="100">
        <v>11</v>
      </c>
      <c r="M43" s="99" t="s">
        <v>148</v>
      </c>
      <c r="N43" s="8" t="s">
        <v>31</v>
      </c>
      <c r="O43" s="113" t="s">
        <v>482</v>
      </c>
      <c r="P43" s="7" t="s">
        <v>164</v>
      </c>
      <c r="Q43" s="7" t="s">
        <v>195</v>
      </c>
      <c r="R43" s="7" t="s">
        <v>120</v>
      </c>
      <c r="S43" s="41" t="s">
        <v>121</v>
      </c>
      <c r="T43" s="76" t="s">
        <v>446</v>
      </c>
      <c r="U43" s="76" t="s">
        <v>11</v>
      </c>
      <c r="V43" s="76" t="s">
        <v>11</v>
      </c>
      <c r="W43" s="76" t="s">
        <v>11</v>
      </c>
      <c r="X43" s="76" t="s">
        <v>11</v>
      </c>
      <c r="Y43" s="76" t="s">
        <v>11</v>
      </c>
      <c r="Z43" s="77" t="s">
        <v>11</v>
      </c>
    </row>
    <row r="44" spans="1:26">
      <c r="A44" s="5" t="s">
        <v>48</v>
      </c>
      <c r="B44" s="6">
        <v>1390000</v>
      </c>
      <c r="C44" s="104">
        <f t="shared" si="0"/>
        <v>31.910009182736456</v>
      </c>
      <c r="D44" s="104">
        <v>47.865000000000002</v>
      </c>
      <c r="E44" s="104">
        <v>10</v>
      </c>
      <c r="F44" s="104">
        <v>10</v>
      </c>
      <c r="G44" s="104">
        <v>10</v>
      </c>
      <c r="H44" s="104">
        <v>10</v>
      </c>
      <c r="I44" s="104"/>
      <c r="J44" s="54">
        <v>95</v>
      </c>
      <c r="K44" s="54">
        <v>85</v>
      </c>
      <c r="L44" s="55">
        <v>1.5</v>
      </c>
      <c r="M44" s="118" t="s">
        <v>148</v>
      </c>
      <c r="N44" s="8"/>
      <c r="O44" s="114" t="s">
        <v>158</v>
      </c>
      <c r="P44" s="7" t="s">
        <v>154</v>
      </c>
      <c r="Q44" s="56" t="s">
        <v>195</v>
      </c>
      <c r="R44" s="7" t="s">
        <v>124</v>
      </c>
      <c r="S44" s="41" t="s">
        <v>121</v>
      </c>
      <c r="T44" s="76" t="s">
        <v>440</v>
      </c>
      <c r="U44" s="76" t="s">
        <v>11</v>
      </c>
      <c r="V44" s="76" t="s">
        <v>11</v>
      </c>
      <c r="W44" s="76" t="s">
        <v>11</v>
      </c>
      <c r="X44" s="76" t="s">
        <v>11</v>
      </c>
      <c r="Y44" s="76" t="s">
        <v>11</v>
      </c>
      <c r="Z44" s="77" t="s">
        <v>11</v>
      </c>
    </row>
    <row r="45" spans="1:26">
      <c r="A45" s="5" t="s">
        <v>46</v>
      </c>
      <c r="B45" s="6">
        <v>286000</v>
      </c>
      <c r="C45" s="104">
        <f t="shared" si="0"/>
        <v>6.5656565656565657</v>
      </c>
      <c r="D45" s="104">
        <v>26.262599999999999</v>
      </c>
      <c r="E45" s="104">
        <v>5</v>
      </c>
      <c r="F45" s="104">
        <v>5</v>
      </c>
      <c r="G45" s="104">
        <v>5</v>
      </c>
      <c r="H45" s="104">
        <v>5</v>
      </c>
      <c r="I45" s="104"/>
      <c r="J45" s="54">
        <v>95</v>
      </c>
      <c r="K45" s="54">
        <v>85</v>
      </c>
      <c r="L45" s="55">
        <v>6</v>
      </c>
      <c r="M45" s="118" t="s">
        <v>152</v>
      </c>
      <c r="N45" s="8" t="s">
        <v>31</v>
      </c>
      <c r="O45" s="114" t="s">
        <v>153</v>
      </c>
      <c r="P45" s="7" t="s">
        <v>150</v>
      </c>
      <c r="Q45" s="56" t="s">
        <v>197</v>
      </c>
      <c r="R45" s="7" t="s">
        <v>118</v>
      </c>
      <c r="S45" s="41" t="s">
        <v>122</v>
      </c>
      <c r="T45" s="76" t="s">
        <v>452</v>
      </c>
      <c r="U45" s="76" t="s">
        <v>11</v>
      </c>
      <c r="V45" s="76" t="s">
        <v>11</v>
      </c>
      <c r="W45" s="76" t="s">
        <v>11</v>
      </c>
      <c r="X45" s="76" t="s">
        <v>11</v>
      </c>
      <c r="Y45" s="76" t="s">
        <v>11</v>
      </c>
      <c r="Z45" s="77" t="s">
        <v>11</v>
      </c>
    </row>
    <row r="46" spans="1:26">
      <c r="A46" s="5" t="s">
        <v>478</v>
      </c>
      <c r="B46" s="6">
        <v>200000</v>
      </c>
      <c r="C46" s="104">
        <f t="shared" si="0"/>
        <v>4.5913682277318637</v>
      </c>
      <c r="D46" s="104">
        <v>22.956800000000001</v>
      </c>
      <c r="E46" s="104">
        <v>6</v>
      </c>
      <c r="F46" s="104">
        <v>6</v>
      </c>
      <c r="G46" s="104">
        <v>6</v>
      </c>
      <c r="H46" s="104">
        <v>6</v>
      </c>
      <c r="I46" s="104"/>
      <c r="J46" s="99">
        <v>98</v>
      </c>
      <c r="K46" s="99">
        <v>75</v>
      </c>
      <c r="L46" s="100">
        <v>55</v>
      </c>
      <c r="M46" s="99" t="s">
        <v>152</v>
      </c>
      <c r="N46" s="8" t="s">
        <v>31</v>
      </c>
      <c r="O46" s="113" t="s">
        <v>158</v>
      </c>
      <c r="P46" s="7"/>
      <c r="Q46" s="7"/>
      <c r="R46" s="7" t="s">
        <v>124</v>
      </c>
      <c r="S46" s="41"/>
      <c r="T46" s="76" t="s">
        <v>11</v>
      </c>
      <c r="U46" s="76" t="s">
        <v>11</v>
      </c>
      <c r="V46" s="76" t="s">
        <v>11</v>
      </c>
      <c r="W46" s="76" t="s">
        <v>11</v>
      </c>
      <c r="X46" s="76" t="s">
        <v>11</v>
      </c>
      <c r="Y46" s="76" t="s">
        <v>11</v>
      </c>
      <c r="Z46" s="77" t="s">
        <v>11</v>
      </c>
    </row>
    <row r="47" spans="1:26">
      <c r="A47" s="5" t="s">
        <v>51</v>
      </c>
      <c r="B47" s="6">
        <v>12000</v>
      </c>
      <c r="C47" s="104">
        <f t="shared" si="0"/>
        <v>0.27548209366391185</v>
      </c>
      <c r="D47" s="104">
        <v>9.9174000000000007</v>
      </c>
      <c r="E47" s="104" t="s">
        <v>11</v>
      </c>
      <c r="F47" s="104"/>
      <c r="G47" s="104"/>
      <c r="H47" s="104"/>
      <c r="I47" s="104"/>
      <c r="J47" s="54">
        <v>98</v>
      </c>
      <c r="K47" s="54">
        <v>90</v>
      </c>
      <c r="L47" s="55">
        <v>75</v>
      </c>
      <c r="M47" s="118" t="s">
        <v>152</v>
      </c>
      <c r="N47" s="8" t="s">
        <v>31</v>
      </c>
      <c r="O47" s="114" t="s">
        <v>166</v>
      </c>
      <c r="P47" s="7"/>
      <c r="Q47" s="56"/>
      <c r="R47" s="7" t="s">
        <v>118</v>
      </c>
      <c r="S47" s="41" t="s">
        <v>122</v>
      </c>
      <c r="T47" s="76" t="s">
        <v>11</v>
      </c>
      <c r="U47" s="76" t="s">
        <v>11</v>
      </c>
      <c r="V47" s="76" t="s">
        <v>11</v>
      </c>
      <c r="W47" s="76" t="s">
        <v>11</v>
      </c>
      <c r="X47" s="76" t="s">
        <v>11</v>
      </c>
      <c r="Y47" s="76" t="s">
        <v>11</v>
      </c>
      <c r="Z47" s="77" t="s">
        <v>11</v>
      </c>
    </row>
    <row r="48" spans="1:26">
      <c r="A48" s="5" t="s">
        <v>470</v>
      </c>
      <c r="B48" s="6">
        <v>52000</v>
      </c>
      <c r="C48" s="104">
        <f t="shared" si="0"/>
        <v>1.1937557392102847</v>
      </c>
      <c r="D48" s="104">
        <v>10.147</v>
      </c>
      <c r="E48" s="104" t="s">
        <v>11</v>
      </c>
      <c r="F48" s="104"/>
      <c r="G48" s="104"/>
      <c r="H48" s="104"/>
      <c r="I48" s="104"/>
      <c r="J48" s="54">
        <v>95</v>
      </c>
      <c r="K48" s="54">
        <v>85</v>
      </c>
      <c r="L48" s="55">
        <v>60</v>
      </c>
      <c r="M48" s="118" t="s">
        <v>152</v>
      </c>
      <c r="N48" s="8" t="s">
        <v>31</v>
      </c>
      <c r="O48" s="114" t="s">
        <v>163</v>
      </c>
      <c r="P48" s="7" t="s">
        <v>198</v>
      </c>
      <c r="Q48" s="56" t="s">
        <v>155</v>
      </c>
      <c r="R48" s="7" t="s">
        <v>123</v>
      </c>
      <c r="S48" s="41" t="s">
        <v>121</v>
      </c>
      <c r="T48" s="76" t="s">
        <v>287</v>
      </c>
      <c r="U48" s="76" t="s">
        <v>11</v>
      </c>
      <c r="V48" s="76" t="s">
        <v>11</v>
      </c>
      <c r="W48" s="76" t="s">
        <v>11</v>
      </c>
      <c r="X48" s="76" t="s">
        <v>11</v>
      </c>
      <c r="Y48" s="76" t="s">
        <v>11</v>
      </c>
      <c r="Z48" s="77" t="s">
        <v>11</v>
      </c>
    </row>
    <row r="49" spans="1:26">
      <c r="A49" s="5" t="s">
        <v>439</v>
      </c>
      <c r="B49" s="6">
        <v>150000</v>
      </c>
      <c r="C49" s="104">
        <f t="shared" si="0"/>
        <v>3.443526170798898</v>
      </c>
      <c r="D49" s="104">
        <v>20.661200000000001</v>
      </c>
      <c r="E49" s="104">
        <v>7</v>
      </c>
      <c r="F49" s="104">
        <v>7</v>
      </c>
      <c r="G49" s="104">
        <v>7</v>
      </c>
      <c r="H49" s="104">
        <v>7</v>
      </c>
      <c r="I49" s="104"/>
      <c r="J49" s="54">
        <v>90</v>
      </c>
      <c r="K49" s="54">
        <v>85</v>
      </c>
      <c r="L49" s="55">
        <v>45</v>
      </c>
      <c r="M49" s="118" t="s">
        <v>148</v>
      </c>
      <c r="N49" s="8" t="s">
        <v>31</v>
      </c>
      <c r="O49" s="114" t="s">
        <v>199</v>
      </c>
      <c r="P49" s="7" t="s">
        <v>154</v>
      </c>
      <c r="Q49" s="56" t="s">
        <v>155</v>
      </c>
      <c r="R49" s="7" t="s">
        <v>120</v>
      </c>
      <c r="S49" s="41" t="s">
        <v>122</v>
      </c>
      <c r="T49" s="76" t="s">
        <v>11</v>
      </c>
      <c r="U49" s="76" t="s">
        <v>11</v>
      </c>
      <c r="V49" s="76" t="s">
        <v>11</v>
      </c>
      <c r="W49" s="76" t="s">
        <v>11</v>
      </c>
      <c r="X49" s="76" t="s">
        <v>11</v>
      </c>
      <c r="Y49" s="76" t="s">
        <v>11</v>
      </c>
      <c r="Z49" s="77" t="s">
        <v>11</v>
      </c>
    </row>
    <row r="50" spans="1:26">
      <c r="A50" s="5" t="s">
        <v>375</v>
      </c>
      <c r="B50" s="6">
        <v>13000</v>
      </c>
      <c r="C50" s="104">
        <f t="shared" si="0"/>
        <v>0.29843893480257117</v>
      </c>
      <c r="D50" s="104">
        <v>11.937557392102846</v>
      </c>
      <c r="E50" s="104">
        <v>40</v>
      </c>
      <c r="F50" s="104">
        <v>40</v>
      </c>
      <c r="G50" s="104">
        <v>40</v>
      </c>
      <c r="H50" s="104">
        <v>40</v>
      </c>
      <c r="I50" s="104"/>
      <c r="J50" s="54">
        <v>95</v>
      </c>
      <c r="K50" s="54">
        <v>90</v>
      </c>
      <c r="L50" s="55">
        <v>0.2</v>
      </c>
      <c r="M50" s="118" t="s">
        <v>148</v>
      </c>
      <c r="N50" s="8"/>
      <c r="O50" s="114" t="s">
        <v>172</v>
      </c>
      <c r="P50" s="7" t="s">
        <v>159</v>
      </c>
      <c r="Q50" s="56" t="s">
        <v>408</v>
      </c>
      <c r="R50" s="7" t="s">
        <v>120</v>
      </c>
      <c r="S50" s="41" t="s">
        <v>401</v>
      </c>
      <c r="T50" s="76" t="s">
        <v>416</v>
      </c>
      <c r="U50" s="76" t="s">
        <v>417</v>
      </c>
      <c r="V50" s="76" t="s">
        <v>418</v>
      </c>
      <c r="W50" s="76" t="s">
        <v>11</v>
      </c>
      <c r="X50" s="76" t="s">
        <v>11</v>
      </c>
      <c r="Y50" s="76" t="s">
        <v>11</v>
      </c>
      <c r="Z50" s="77" t="s">
        <v>11</v>
      </c>
    </row>
    <row r="51" spans="1:26">
      <c r="A51" s="5" t="s">
        <v>49</v>
      </c>
      <c r="B51" s="6">
        <v>427000</v>
      </c>
      <c r="C51" s="104">
        <f t="shared" si="0"/>
        <v>9.8025711662075299</v>
      </c>
      <c r="D51" s="104">
        <v>39.2102</v>
      </c>
      <c r="E51" s="104">
        <v>12</v>
      </c>
      <c r="F51" s="104">
        <v>12</v>
      </c>
      <c r="G51" s="104">
        <v>12</v>
      </c>
      <c r="H51" s="104">
        <v>12</v>
      </c>
      <c r="I51" s="104"/>
      <c r="J51" s="54">
        <v>90</v>
      </c>
      <c r="K51" s="54">
        <v>80</v>
      </c>
      <c r="L51" s="55">
        <v>1.5</v>
      </c>
      <c r="M51" s="118" t="s">
        <v>148</v>
      </c>
      <c r="N51" s="8"/>
      <c r="O51" s="114" t="s">
        <v>166</v>
      </c>
      <c r="P51" s="7" t="s">
        <v>164</v>
      </c>
      <c r="Q51" s="56" t="s">
        <v>155</v>
      </c>
      <c r="R51" s="7" t="s">
        <v>120</v>
      </c>
      <c r="S51" s="41" t="s">
        <v>121</v>
      </c>
      <c r="T51" s="76" t="s">
        <v>288</v>
      </c>
      <c r="U51" s="76" t="s">
        <v>289</v>
      </c>
      <c r="V51" s="76" t="s">
        <v>290</v>
      </c>
      <c r="W51" s="76" t="s">
        <v>11</v>
      </c>
      <c r="X51" s="76" t="s">
        <v>11</v>
      </c>
      <c r="Y51" s="76" t="s">
        <v>11</v>
      </c>
      <c r="Z51" s="77" t="s">
        <v>11</v>
      </c>
    </row>
    <row r="52" spans="1:26">
      <c r="A52" s="5" t="s">
        <v>512</v>
      </c>
      <c r="B52" s="6">
        <v>600000</v>
      </c>
      <c r="C52" s="104">
        <f t="shared" si="0"/>
        <v>13.774104683195592</v>
      </c>
      <c r="D52" s="104">
        <v>34.435299999999998</v>
      </c>
      <c r="E52" s="104">
        <v>3</v>
      </c>
      <c r="F52" s="104">
        <v>3</v>
      </c>
      <c r="G52" s="104">
        <v>3</v>
      </c>
      <c r="H52" s="104">
        <v>3</v>
      </c>
      <c r="I52" s="104"/>
      <c r="J52" s="54">
        <v>95</v>
      </c>
      <c r="K52" s="54">
        <v>80</v>
      </c>
      <c r="L52" s="55">
        <v>40</v>
      </c>
      <c r="M52" s="118" t="s">
        <v>152</v>
      </c>
      <c r="N52" s="8" t="s">
        <v>31</v>
      </c>
      <c r="O52" s="114" t="s">
        <v>199</v>
      </c>
      <c r="P52" s="7" t="s">
        <v>154</v>
      </c>
      <c r="Q52" s="56" t="s">
        <v>179</v>
      </c>
      <c r="R52" s="7" t="s">
        <v>118</v>
      </c>
      <c r="S52" s="41" t="s">
        <v>513</v>
      </c>
      <c r="T52" s="76" t="s">
        <v>11</v>
      </c>
      <c r="U52" s="76" t="s">
        <v>11</v>
      </c>
      <c r="V52" s="76" t="s">
        <v>11</v>
      </c>
      <c r="W52" s="76" t="s">
        <v>11</v>
      </c>
      <c r="X52" s="76" t="s">
        <v>11</v>
      </c>
      <c r="Y52" s="76" t="s">
        <v>11</v>
      </c>
      <c r="Z52" s="77" t="s">
        <v>11</v>
      </c>
    </row>
    <row r="53" spans="1:26">
      <c r="A53" s="5" t="s">
        <v>200</v>
      </c>
      <c r="B53" s="6">
        <v>600000</v>
      </c>
      <c r="C53" s="104">
        <f t="shared" si="0"/>
        <v>13.774104683195592</v>
      </c>
      <c r="D53" s="104">
        <v>34.435299999999998</v>
      </c>
      <c r="E53" s="104">
        <v>3</v>
      </c>
      <c r="F53" s="104">
        <v>3</v>
      </c>
      <c r="G53" s="104">
        <v>3</v>
      </c>
      <c r="H53" s="104">
        <v>3</v>
      </c>
      <c r="I53" s="104"/>
      <c r="J53" s="54">
        <v>95</v>
      </c>
      <c r="K53" s="54">
        <v>80</v>
      </c>
      <c r="L53" s="55">
        <v>40</v>
      </c>
      <c r="M53" s="118" t="s">
        <v>152</v>
      </c>
      <c r="N53" s="8" t="s">
        <v>31</v>
      </c>
      <c r="O53" s="114" t="s">
        <v>199</v>
      </c>
      <c r="P53" s="7" t="s">
        <v>154</v>
      </c>
      <c r="Q53" s="56" t="s">
        <v>179</v>
      </c>
      <c r="R53" s="7" t="s">
        <v>118</v>
      </c>
      <c r="S53" s="41" t="s">
        <v>119</v>
      </c>
      <c r="T53" s="76" t="s">
        <v>291</v>
      </c>
      <c r="U53" s="76" t="s">
        <v>11</v>
      </c>
      <c r="V53" s="76" t="s">
        <v>11</v>
      </c>
      <c r="W53" s="76" t="s">
        <v>11</v>
      </c>
      <c r="X53" s="76" t="s">
        <v>11</v>
      </c>
      <c r="Y53" s="76" t="s">
        <v>11</v>
      </c>
      <c r="Z53" s="77" t="s">
        <v>11</v>
      </c>
    </row>
    <row r="54" spans="1:26">
      <c r="A54" s="5" t="s">
        <v>201</v>
      </c>
      <c r="B54" s="6">
        <v>280000</v>
      </c>
      <c r="C54" s="104">
        <f t="shared" si="0"/>
        <v>6.4279155188246095</v>
      </c>
      <c r="D54" s="104">
        <v>25.7117</v>
      </c>
      <c r="E54" s="104">
        <v>4</v>
      </c>
      <c r="F54" s="104">
        <v>4</v>
      </c>
      <c r="G54" s="104">
        <v>4</v>
      </c>
      <c r="H54" s="104">
        <v>4</v>
      </c>
      <c r="I54" s="104"/>
      <c r="J54" s="54">
        <v>95</v>
      </c>
      <c r="K54" s="54">
        <v>80</v>
      </c>
      <c r="L54" s="55">
        <v>40</v>
      </c>
      <c r="M54" s="118" t="s">
        <v>152</v>
      </c>
      <c r="N54" s="8" t="s">
        <v>31</v>
      </c>
      <c r="O54" s="114" t="s">
        <v>199</v>
      </c>
      <c r="P54" s="7" t="s">
        <v>154</v>
      </c>
      <c r="Q54" s="56" t="s">
        <v>179</v>
      </c>
      <c r="R54" s="7" t="s">
        <v>118</v>
      </c>
      <c r="S54" s="41" t="s">
        <v>119</v>
      </c>
      <c r="T54" s="76" t="s">
        <v>292</v>
      </c>
      <c r="U54" s="76" t="s">
        <v>11</v>
      </c>
      <c r="V54" s="76" t="s">
        <v>11</v>
      </c>
      <c r="W54" s="76" t="s">
        <v>11</v>
      </c>
      <c r="X54" s="76" t="s">
        <v>11</v>
      </c>
      <c r="Y54" s="76" t="s">
        <v>11</v>
      </c>
      <c r="Z54" s="77" t="s">
        <v>11</v>
      </c>
    </row>
    <row r="55" spans="1:26">
      <c r="A55" s="5" t="s">
        <v>202</v>
      </c>
      <c r="B55" s="6">
        <v>756000</v>
      </c>
      <c r="C55" s="104">
        <f t="shared" si="0"/>
        <v>17.355371900826448</v>
      </c>
      <c r="D55" s="104">
        <v>34.710700000000003</v>
      </c>
      <c r="E55" s="104">
        <v>34.710700000000003</v>
      </c>
      <c r="F55" s="104">
        <v>34.710700000000003</v>
      </c>
      <c r="G55" s="104">
        <v>34.710700000000003</v>
      </c>
      <c r="H55" s="104">
        <v>34.710700000000003</v>
      </c>
      <c r="I55" s="104"/>
      <c r="J55" s="54">
        <v>15</v>
      </c>
      <c r="K55" s="54">
        <v>80</v>
      </c>
      <c r="L55" s="55">
        <v>50</v>
      </c>
      <c r="M55" s="118" t="s">
        <v>152</v>
      </c>
      <c r="N55" s="8" t="s">
        <v>31</v>
      </c>
      <c r="O55" s="114" t="s">
        <v>153</v>
      </c>
      <c r="P55" s="7" t="s">
        <v>173</v>
      </c>
      <c r="Q55" s="56" t="s">
        <v>155</v>
      </c>
      <c r="R55" s="7" t="s">
        <v>123</v>
      </c>
      <c r="S55" s="41" t="s">
        <v>121</v>
      </c>
      <c r="T55" s="76" t="s">
        <v>11</v>
      </c>
      <c r="U55" s="76" t="s">
        <v>11</v>
      </c>
      <c r="V55" s="76" t="s">
        <v>11</v>
      </c>
      <c r="W55" s="76" t="s">
        <v>11</v>
      </c>
      <c r="X55" s="76" t="s">
        <v>11</v>
      </c>
      <c r="Y55" s="76" t="s">
        <v>11</v>
      </c>
      <c r="Z55" s="77" t="s">
        <v>11</v>
      </c>
    </row>
    <row r="56" spans="1:26">
      <c r="A56" s="5" t="s">
        <v>203</v>
      </c>
      <c r="B56" s="6">
        <v>162000</v>
      </c>
      <c r="C56" s="104">
        <f t="shared" si="0"/>
        <v>3.71900826446281</v>
      </c>
      <c r="D56" s="104">
        <v>20.454499999999999</v>
      </c>
      <c r="E56" s="104">
        <v>8</v>
      </c>
      <c r="F56" s="104">
        <v>8</v>
      </c>
      <c r="G56" s="104">
        <v>8</v>
      </c>
      <c r="H56" s="104">
        <v>8</v>
      </c>
      <c r="I56" s="104"/>
      <c r="J56" s="54">
        <v>98</v>
      </c>
      <c r="K56" s="54">
        <v>90</v>
      </c>
      <c r="L56" s="55">
        <v>12</v>
      </c>
      <c r="M56" s="118" t="s">
        <v>152</v>
      </c>
      <c r="N56" s="8" t="s">
        <v>31</v>
      </c>
      <c r="O56" s="114" t="s">
        <v>153</v>
      </c>
      <c r="P56" s="7" t="s">
        <v>189</v>
      </c>
      <c r="Q56" s="56" t="s">
        <v>204</v>
      </c>
      <c r="R56" s="7" t="s">
        <v>120</v>
      </c>
      <c r="S56" s="41" t="s">
        <v>122</v>
      </c>
      <c r="T56" s="76" t="s">
        <v>293</v>
      </c>
      <c r="U56" s="76" t="s">
        <v>294</v>
      </c>
      <c r="V56" s="76" t="s">
        <v>295</v>
      </c>
      <c r="W56" s="76" t="s">
        <v>11</v>
      </c>
      <c r="X56" s="76" t="s">
        <v>11</v>
      </c>
      <c r="Y56" s="76" t="s">
        <v>11</v>
      </c>
      <c r="Z56" s="77" t="s">
        <v>11</v>
      </c>
    </row>
    <row r="57" spans="1:26">
      <c r="A57" s="5" t="s">
        <v>453</v>
      </c>
      <c r="B57" s="6">
        <v>27100</v>
      </c>
      <c r="C57" s="104">
        <f t="shared" si="0"/>
        <v>0.62213039485766763</v>
      </c>
      <c r="D57" s="104">
        <v>9.9540000000000006</v>
      </c>
      <c r="E57" s="104">
        <v>9.9540000000000006</v>
      </c>
      <c r="F57" s="104">
        <v>9.9540000000000006</v>
      </c>
      <c r="G57" s="104">
        <v>9.9540000000000006</v>
      </c>
      <c r="H57" s="104">
        <v>9.9540000000000006</v>
      </c>
      <c r="I57" s="104"/>
      <c r="J57" s="54"/>
      <c r="K57" s="54"/>
      <c r="L57" s="55"/>
      <c r="M57" s="118"/>
      <c r="N57" s="8" t="s">
        <v>31</v>
      </c>
      <c r="O57" s="114"/>
      <c r="P57" s="7"/>
      <c r="Q57" s="56"/>
      <c r="R57" s="7" t="s">
        <v>123</v>
      </c>
      <c r="S57" s="41" t="s">
        <v>121</v>
      </c>
      <c r="T57" s="76" t="s">
        <v>454</v>
      </c>
      <c r="U57" s="76" t="s">
        <v>11</v>
      </c>
      <c r="V57" s="76" t="s">
        <v>11</v>
      </c>
      <c r="W57" s="76" t="s">
        <v>11</v>
      </c>
      <c r="X57" s="76" t="s">
        <v>11</v>
      </c>
      <c r="Y57" s="76" t="s">
        <v>11</v>
      </c>
      <c r="Z57" s="77" t="s">
        <v>11</v>
      </c>
    </row>
    <row r="58" spans="1:26">
      <c r="A58" s="5" t="s">
        <v>402</v>
      </c>
      <c r="B58" s="6">
        <v>110000000</v>
      </c>
      <c r="C58" s="104">
        <f t="shared" si="0"/>
        <v>2525.2525252525252</v>
      </c>
      <c r="D58" s="104">
        <v>75.757499999999993</v>
      </c>
      <c r="E58" s="104"/>
      <c r="F58" s="104" t="s">
        <v>11</v>
      </c>
      <c r="G58" s="104"/>
      <c r="H58" s="104"/>
      <c r="I58" s="104">
        <v>1</v>
      </c>
      <c r="J58" s="54">
        <v>90</v>
      </c>
      <c r="K58" s="54">
        <v>90</v>
      </c>
      <c r="L58" s="55" t="s">
        <v>11</v>
      </c>
      <c r="M58" s="118" t="s">
        <v>11</v>
      </c>
      <c r="N58" s="8" t="s">
        <v>31</v>
      </c>
      <c r="O58" s="114"/>
      <c r="P58" s="7" t="s">
        <v>178</v>
      </c>
      <c r="Q58" s="56"/>
      <c r="R58" s="7" t="s">
        <v>124</v>
      </c>
      <c r="S58" s="41" t="s">
        <v>121</v>
      </c>
      <c r="T58" s="76" t="s">
        <v>429</v>
      </c>
      <c r="U58" s="76" t="s">
        <v>430</v>
      </c>
      <c r="V58" s="76" t="s">
        <v>385</v>
      </c>
      <c r="W58" s="76" t="s">
        <v>431</v>
      </c>
      <c r="X58" s="76" t="s">
        <v>11</v>
      </c>
      <c r="Y58" s="76" t="s">
        <v>11</v>
      </c>
      <c r="Z58" s="77" t="s">
        <v>11</v>
      </c>
    </row>
    <row r="59" spans="1:26">
      <c r="A59" s="5" t="s">
        <v>403</v>
      </c>
      <c r="B59" s="102" t="s">
        <v>404</v>
      </c>
      <c r="C59" s="104"/>
      <c r="D59" s="104"/>
      <c r="E59" s="104" t="s">
        <v>467</v>
      </c>
      <c r="F59" s="104" t="s">
        <v>11</v>
      </c>
      <c r="G59" s="104"/>
      <c r="H59" s="104"/>
      <c r="I59" s="104" t="s">
        <v>467</v>
      </c>
      <c r="J59" s="99"/>
      <c r="K59" s="99"/>
      <c r="L59" s="100">
        <v>160</v>
      </c>
      <c r="M59" s="99" t="s">
        <v>152</v>
      </c>
      <c r="N59" s="8" t="s">
        <v>31</v>
      </c>
      <c r="O59" s="113"/>
      <c r="P59" s="7" t="s">
        <v>178</v>
      </c>
      <c r="Q59" s="7"/>
      <c r="R59" s="7" t="s">
        <v>120</v>
      </c>
      <c r="S59" s="41" t="s">
        <v>121</v>
      </c>
      <c r="T59" s="76" t="s">
        <v>11</v>
      </c>
      <c r="U59" s="76" t="s">
        <v>11</v>
      </c>
      <c r="V59" s="76" t="s">
        <v>11</v>
      </c>
      <c r="W59" s="76" t="s">
        <v>11</v>
      </c>
      <c r="X59" s="76" t="s">
        <v>11</v>
      </c>
      <c r="Y59" s="76" t="s">
        <v>11</v>
      </c>
      <c r="Z59" s="77" t="s">
        <v>11</v>
      </c>
    </row>
    <row r="60" spans="1:26">
      <c r="A60" s="5" t="s">
        <v>537</v>
      </c>
      <c r="B60" s="102">
        <v>190000</v>
      </c>
      <c r="C60" s="104">
        <f>B60/43560</f>
        <v>4.3617998163452709</v>
      </c>
      <c r="D60" s="104">
        <v>19.628098999999999</v>
      </c>
      <c r="E60" s="104">
        <v>7</v>
      </c>
      <c r="F60" s="104">
        <v>7</v>
      </c>
      <c r="G60" s="104">
        <v>7</v>
      </c>
      <c r="H60" s="104">
        <v>7</v>
      </c>
      <c r="I60" s="104"/>
      <c r="J60" s="54">
        <v>98</v>
      </c>
      <c r="K60" s="54">
        <v>90</v>
      </c>
      <c r="L60" s="55">
        <v>0.45</v>
      </c>
      <c r="M60" s="54" t="s">
        <v>148</v>
      </c>
      <c r="N60" s="8"/>
      <c r="O60" s="113" t="s">
        <v>174</v>
      </c>
      <c r="P60" s="7" t="s">
        <v>159</v>
      </c>
      <c r="Q60" s="56" t="s">
        <v>542</v>
      </c>
      <c r="R60" s="7" t="s">
        <v>120</v>
      </c>
      <c r="S60" s="41" t="s">
        <v>401</v>
      </c>
      <c r="T60" s="76" t="s">
        <v>11</v>
      </c>
      <c r="U60" s="76" t="s">
        <v>11</v>
      </c>
      <c r="V60" s="76" t="s">
        <v>11</v>
      </c>
      <c r="W60" s="76" t="s">
        <v>11</v>
      </c>
      <c r="X60" s="76" t="s">
        <v>11</v>
      </c>
      <c r="Y60" s="76" t="s">
        <v>11</v>
      </c>
      <c r="Z60" s="77" t="s">
        <v>11</v>
      </c>
    </row>
    <row r="61" spans="1:26">
      <c r="A61" s="5" t="s">
        <v>205</v>
      </c>
      <c r="B61" s="6">
        <v>248000</v>
      </c>
      <c r="C61" s="104">
        <f t="shared" si="0"/>
        <v>5.6932966023875116</v>
      </c>
      <c r="D61" s="104">
        <v>25.61983</v>
      </c>
      <c r="E61" s="104">
        <v>12</v>
      </c>
      <c r="F61" s="104">
        <v>14</v>
      </c>
      <c r="G61" s="104">
        <v>14</v>
      </c>
      <c r="H61" s="104">
        <v>14</v>
      </c>
      <c r="I61" s="104"/>
      <c r="J61" s="54">
        <v>98</v>
      </c>
      <c r="K61" s="54">
        <v>90</v>
      </c>
      <c r="L61" s="55">
        <v>1.5</v>
      </c>
      <c r="M61" s="118" t="s">
        <v>148</v>
      </c>
      <c r="N61" s="8"/>
      <c r="O61" s="114" t="s">
        <v>174</v>
      </c>
      <c r="P61" s="7" t="s">
        <v>154</v>
      </c>
      <c r="Q61" s="56" t="s">
        <v>206</v>
      </c>
      <c r="R61" s="7" t="s">
        <v>120</v>
      </c>
      <c r="S61" s="41" t="s">
        <v>122</v>
      </c>
      <c r="T61" s="76" t="s">
        <v>11</v>
      </c>
      <c r="U61" s="76" t="s">
        <v>11</v>
      </c>
      <c r="V61" s="76" t="s">
        <v>11</v>
      </c>
      <c r="W61" s="76" t="s">
        <v>11</v>
      </c>
      <c r="X61" s="76" t="s">
        <v>11</v>
      </c>
      <c r="Y61" s="76" t="s">
        <v>11</v>
      </c>
      <c r="Z61" s="77" t="s">
        <v>11</v>
      </c>
    </row>
    <row r="62" spans="1:26">
      <c r="A62" s="5" t="s">
        <v>396</v>
      </c>
      <c r="B62" s="6">
        <v>1742000</v>
      </c>
      <c r="C62" s="104">
        <f t="shared" si="0"/>
        <v>39.990817263544535</v>
      </c>
      <c r="D62" s="104">
        <v>49.99</v>
      </c>
      <c r="E62" s="104">
        <v>3</v>
      </c>
      <c r="F62" s="104">
        <v>8</v>
      </c>
      <c r="G62" s="104">
        <v>8</v>
      </c>
      <c r="H62" s="104">
        <v>8</v>
      </c>
      <c r="I62" s="104"/>
      <c r="J62" s="54">
        <v>95</v>
      </c>
      <c r="K62" s="54">
        <v>90</v>
      </c>
      <c r="L62" s="55">
        <v>5.5</v>
      </c>
      <c r="M62" s="118" t="s">
        <v>148</v>
      </c>
      <c r="N62" s="8" t="s">
        <v>31</v>
      </c>
      <c r="O62" s="114" t="s">
        <v>153</v>
      </c>
      <c r="P62" s="7" t="s">
        <v>178</v>
      </c>
      <c r="Q62" s="56" t="s">
        <v>151</v>
      </c>
      <c r="R62" s="7" t="s">
        <v>120</v>
      </c>
      <c r="S62" s="41" t="s">
        <v>121</v>
      </c>
      <c r="T62" s="76" t="s">
        <v>296</v>
      </c>
      <c r="U62" s="76" t="s">
        <v>297</v>
      </c>
      <c r="V62" s="76" t="s">
        <v>11</v>
      </c>
      <c r="W62" s="76" t="s">
        <v>11</v>
      </c>
      <c r="X62" s="76" t="s">
        <v>11</v>
      </c>
      <c r="Y62" s="76" t="s">
        <v>11</v>
      </c>
      <c r="Z62" s="77" t="s">
        <v>11</v>
      </c>
    </row>
    <row r="63" spans="1:26">
      <c r="A63" s="5" t="s">
        <v>207</v>
      </c>
      <c r="B63" s="6">
        <v>2500000</v>
      </c>
      <c r="C63" s="104">
        <f t="shared" si="0"/>
        <v>57.392102846648299</v>
      </c>
      <c r="D63" s="104">
        <v>57.392099999999999</v>
      </c>
      <c r="E63" s="104"/>
      <c r="F63" s="104"/>
      <c r="G63" s="104"/>
      <c r="H63" s="104"/>
      <c r="I63" s="104"/>
      <c r="J63" s="54">
        <v>14</v>
      </c>
      <c r="K63" s="54">
        <v>80</v>
      </c>
      <c r="L63" s="55">
        <v>100</v>
      </c>
      <c r="M63" s="118" t="s">
        <v>152</v>
      </c>
      <c r="N63" s="8" t="s">
        <v>31</v>
      </c>
      <c r="O63" s="114" t="s">
        <v>163</v>
      </c>
      <c r="P63" s="7" t="s">
        <v>154</v>
      </c>
      <c r="Q63" s="56" t="s">
        <v>197</v>
      </c>
      <c r="R63" s="7" t="s">
        <v>123</v>
      </c>
      <c r="S63" s="41" t="s">
        <v>121</v>
      </c>
      <c r="T63" s="76" t="s">
        <v>298</v>
      </c>
      <c r="U63" s="76" t="s">
        <v>11</v>
      </c>
      <c r="V63" s="76" t="s">
        <v>11</v>
      </c>
      <c r="W63" s="76" t="s">
        <v>11</v>
      </c>
      <c r="X63" s="76" t="s">
        <v>11</v>
      </c>
      <c r="Y63" s="76" t="s">
        <v>11</v>
      </c>
      <c r="Z63" s="77" t="s">
        <v>11</v>
      </c>
    </row>
    <row r="64" spans="1:26">
      <c r="A64" s="5" t="s">
        <v>208</v>
      </c>
      <c r="B64" s="6">
        <v>2500000</v>
      </c>
      <c r="C64" s="104">
        <f t="shared" si="0"/>
        <v>57.392102846648299</v>
      </c>
      <c r="D64" s="104">
        <v>57.392099999999999</v>
      </c>
      <c r="E64" s="104"/>
      <c r="F64" s="104"/>
      <c r="G64" s="104"/>
      <c r="H64" s="104"/>
      <c r="I64" s="104"/>
      <c r="J64" s="54">
        <v>14</v>
      </c>
      <c r="K64" s="54">
        <v>80</v>
      </c>
      <c r="L64" s="55">
        <v>100</v>
      </c>
      <c r="M64" s="118" t="s">
        <v>152</v>
      </c>
      <c r="N64" s="8" t="s">
        <v>31</v>
      </c>
      <c r="O64" s="114" t="s">
        <v>196</v>
      </c>
      <c r="P64" s="7" t="s">
        <v>154</v>
      </c>
      <c r="Q64" s="56" t="s">
        <v>197</v>
      </c>
      <c r="R64" s="7" t="s">
        <v>123</v>
      </c>
      <c r="S64" s="41" t="s">
        <v>121</v>
      </c>
      <c r="T64" s="76" t="s">
        <v>299</v>
      </c>
      <c r="U64" s="76" t="s">
        <v>11</v>
      </c>
      <c r="V64" s="76" t="s">
        <v>11</v>
      </c>
      <c r="W64" s="76" t="s">
        <v>11</v>
      </c>
      <c r="X64" s="76" t="s">
        <v>11</v>
      </c>
      <c r="Y64" s="76" t="s">
        <v>11</v>
      </c>
      <c r="Z64" s="77" t="s">
        <v>11</v>
      </c>
    </row>
    <row r="65" spans="1:26">
      <c r="A65" s="5" t="s">
        <v>45</v>
      </c>
      <c r="B65" s="6">
        <v>19000</v>
      </c>
      <c r="C65" s="104">
        <f t="shared" si="0"/>
        <v>0.43617998163452709</v>
      </c>
      <c r="D65" s="104">
        <v>10.0321</v>
      </c>
      <c r="E65" s="104">
        <v>24</v>
      </c>
      <c r="F65" s="104">
        <v>24</v>
      </c>
      <c r="G65" s="104">
        <v>24</v>
      </c>
      <c r="H65" s="104">
        <v>24</v>
      </c>
      <c r="I65" s="104"/>
      <c r="J65" s="54">
        <v>95</v>
      </c>
      <c r="K65" s="54">
        <v>90</v>
      </c>
      <c r="L65" s="55">
        <v>1.5</v>
      </c>
      <c r="M65" s="118" t="s">
        <v>148</v>
      </c>
      <c r="N65" s="8"/>
      <c r="O65" s="114" t="s">
        <v>163</v>
      </c>
      <c r="P65" s="7" t="s">
        <v>173</v>
      </c>
      <c r="Q65" s="56" t="s">
        <v>176</v>
      </c>
      <c r="R65" s="7" t="s">
        <v>118</v>
      </c>
      <c r="S65" s="41" t="s">
        <v>119</v>
      </c>
      <c r="T65" s="76" t="s">
        <v>300</v>
      </c>
      <c r="U65" s="76" t="s">
        <v>465</v>
      </c>
      <c r="V65" s="76" t="s">
        <v>451</v>
      </c>
      <c r="W65" s="76" t="s">
        <v>301</v>
      </c>
      <c r="X65" s="76" t="s">
        <v>11</v>
      </c>
      <c r="Y65" s="76" t="s">
        <v>11</v>
      </c>
      <c r="Z65" s="77" t="s">
        <v>11</v>
      </c>
    </row>
    <row r="66" spans="1:26">
      <c r="A66" s="5" t="s">
        <v>379</v>
      </c>
      <c r="B66" s="6">
        <v>672000</v>
      </c>
      <c r="C66" s="104">
        <f t="shared" si="0"/>
        <v>15.426997245179063</v>
      </c>
      <c r="D66" s="104">
        <v>34.710700000000003</v>
      </c>
      <c r="E66" s="104">
        <v>10</v>
      </c>
      <c r="F66" s="104">
        <v>10</v>
      </c>
      <c r="G66" s="104">
        <v>10</v>
      </c>
      <c r="H66" s="104">
        <v>10</v>
      </c>
      <c r="I66" s="104">
        <v>10</v>
      </c>
      <c r="J66" s="99">
        <v>95</v>
      </c>
      <c r="K66" s="99">
        <v>95</v>
      </c>
      <c r="L66" s="100">
        <v>45</v>
      </c>
      <c r="M66" s="99" t="s">
        <v>152</v>
      </c>
      <c r="N66" s="8" t="s">
        <v>31</v>
      </c>
      <c r="O66" s="113" t="s">
        <v>149</v>
      </c>
      <c r="P66" s="7" t="s">
        <v>194</v>
      </c>
      <c r="Q66" s="7" t="s">
        <v>151</v>
      </c>
      <c r="R66" s="7" t="s">
        <v>124</v>
      </c>
      <c r="S66" s="41" t="s">
        <v>121</v>
      </c>
      <c r="T66" s="76" t="s">
        <v>11</v>
      </c>
      <c r="U66" s="76" t="s">
        <v>11</v>
      </c>
      <c r="V66" s="76" t="s">
        <v>11</v>
      </c>
      <c r="W66" s="76" t="s">
        <v>11</v>
      </c>
      <c r="X66" s="76" t="s">
        <v>11</v>
      </c>
      <c r="Y66" s="76" t="s">
        <v>11</v>
      </c>
      <c r="Z66" s="77" t="s">
        <v>11</v>
      </c>
    </row>
    <row r="67" spans="1:26">
      <c r="A67" s="5" t="s">
        <v>405</v>
      </c>
      <c r="B67" s="6">
        <v>440000</v>
      </c>
      <c r="C67" s="104">
        <f t="shared" si="0"/>
        <v>10.1010101010101</v>
      </c>
      <c r="D67" s="104">
        <v>30.3</v>
      </c>
      <c r="E67" s="104">
        <v>30.3</v>
      </c>
      <c r="F67" s="104">
        <v>30.3</v>
      </c>
      <c r="G67" s="104">
        <v>30.3</v>
      </c>
      <c r="H67" s="104">
        <v>30.3</v>
      </c>
      <c r="I67" s="104">
        <v>1</v>
      </c>
      <c r="J67" s="99">
        <v>95</v>
      </c>
      <c r="K67" s="99">
        <v>90</v>
      </c>
      <c r="L67" s="100">
        <v>120</v>
      </c>
      <c r="M67" s="99" t="s">
        <v>152</v>
      </c>
      <c r="N67" s="8" t="s">
        <v>31</v>
      </c>
      <c r="O67" s="113"/>
      <c r="P67" s="7" t="s">
        <v>178</v>
      </c>
      <c r="Q67" s="7"/>
      <c r="R67" s="7" t="s">
        <v>124</v>
      </c>
      <c r="S67" s="41" t="s">
        <v>121</v>
      </c>
      <c r="T67" s="76" t="s">
        <v>11</v>
      </c>
      <c r="U67" s="76" t="s">
        <v>11</v>
      </c>
      <c r="V67" s="76" t="s">
        <v>11</v>
      </c>
      <c r="W67" s="76" t="s">
        <v>11</v>
      </c>
      <c r="X67" s="76" t="s">
        <v>11</v>
      </c>
      <c r="Y67" s="76" t="s">
        <v>11</v>
      </c>
      <c r="Z67" s="77" t="s">
        <v>11</v>
      </c>
    </row>
    <row r="68" spans="1:26">
      <c r="A68" s="5" t="s">
        <v>406</v>
      </c>
      <c r="B68" s="6">
        <v>525000</v>
      </c>
      <c r="C68" s="104">
        <f t="shared" si="0"/>
        <v>12.052341597796143</v>
      </c>
      <c r="D68" s="104">
        <v>36.156999999999996</v>
      </c>
      <c r="E68" s="104">
        <v>36.156999999999996</v>
      </c>
      <c r="F68" s="104">
        <v>36.156999999999996</v>
      </c>
      <c r="G68" s="104">
        <v>36.156999999999996</v>
      </c>
      <c r="H68" s="104">
        <v>36.156999999999996</v>
      </c>
      <c r="I68" s="104">
        <v>1</v>
      </c>
      <c r="J68" s="99">
        <v>95</v>
      </c>
      <c r="K68" s="99">
        <v>90</v>
      </c>
      <c r="L68" s="100">
        <v>150</v>
      </c>
      <c r="M68" s="99" t="s">
        <v>152</v>
      </c>
      <c r="N68" s="8" t="s">
        <v>31</v>
      </c>
      <c r="O68" s="113"/>
      <c r="P68" s="7" t="s">
        <v>178</v>
      </c>
      <c r="Q68" s="7"/>
      <c r="R68" s="7" t="s">
        <v>124</v>
      </c>
      <c r="S68" s="41" t="s">
        <v>121</v>
      </c>
      <c r="T68" s="76" t="s">
        <v>429</v>
      </c>
      <c r="U68" s="76" t="s">
        <v>432</v>
      </c>
      <c r="V68" s="76" t="s">
        <v>433</v>
      </c>
      <c r="W68" s="76" t="s">
        <v>434</v>
      </c>
      <c r="X68" s="76" t="s">
        <v>11</v>
      </c>
      <c r="Y68" s="76" t="s">
        <v>11</v>
      </c>
      <c r="Z68" s="77" t="s">
        <v>11</v>
      </c>
    </row>
    <row r="69" spans="1:26">
      <c r="A69" s="5" t="s">
        <v>407</v>
      </c>
      <c r="B69" s="6">
        <v>500000</v>
      </c>
      <c r="C69" s="104">
        <f t="shared" si="0"/>
        <v>11.478420569329661</v>
      </c>
      <c r="D69" s="104">
        <v>34.435299999999998</v>
      </c>
      <c r="E69" s="104">
        <v>34.435299999999998</v>
      </c>
      <c r="F69" s="104">
        <v>34.435299999999998</v>
      </c>
      <c r="G69" s="104">
        <v>34.435299999999998</v>
      </c>
      <c r="H69" s="104">
        <v>34.435299999999998</v>
      </c>
      <c r="I69" s="104">
        <v>1</v>
      </c>
      <c r="J69" s="99">
        <v>95</v>
      </c>
      <c r="K69" s="99">
        <v>90</v>
      </c>
      <c r="L69" s="100">
        <v>150</v>
      </c>
      <c r="M69" s="99" t="s">
        <v>152</v>
      </c>
      <c r="N69" s="8" t="s">
        <v>31</v>
      </c>
      <c r="O69" s="113"/>
      <c r="P69" s="7" t="s">
        <v>178</v>
      </c>
      <c r="Q69" s="7"/>
      <c r="R69" s="7" t="s">
        <v>124</v>
      </c>
      <c r="S69" s="41" t="s">
        <v>121</v>
      </c>
      <c r="T69" s="76" t="s">
        <v>11</v>
      </c>
      <c r="U69" s="76" t="s">
        <v>11</v>
      </c>
      <c r="V69" s="76" t="s">
        <v>11</v>
      </c>
      <c r="W69" s="76" t="s">
        <v>11</v>
      </c>
      <c r="X69" s="76" t="s">
        <v>11</v>
      </c>
      <c r="Y69" s="76" t="s">
        <v>11</v>
      </c>
      <c r="Z69" s="77" t="s">
        <v>11</v>
      </c>
    </row>
    <row r="70" spans="1:26">
      <c r="A70" s="5" t="s">
        <v>209</v>
      </c>
      <c r="B70" s="6">
        <v>45000</v>
      </c>
      <c r="C70" s="104">
        <f t="shared" si="0"/>
        <v>1.0330578512396693</v>
      </c>
      <c r="D70" s="104">
        <v>10.331</v>
      </c>
      <c r="E70" s="104">
        <v>10.331</v>
      </c>
      <c r="F70" s="104">
        <v>10.331</v>
      </c>
      <c r="G70" s="104">
        <v>10.331</v>
      </c>
      <c r="H70" s="104">
        <v>10.331</v>
      </c>
      <c r="I70" s="104"/>
      <c r="J70" s="54">
        <v>99</v>
      </c>
      <c r="K70" s="54">
        <v>95</v>
      </c>
      <c r="L70" s="55">
        <v>65</v>
      </c>
      <c r="M70" s="118" t="s">
        <v>152</v>
      </c>
      <c r="N70" s="8" t="s">
        <v>31</v>
      </c>
      <c r="O70" s="114" t="s">
        <v>172</v>
      </c>
      <c r="P70" s="7" t="s">
        <v>150</v>
      </c>
      <c r="Q70" s="56" t="s">
        <v>155</v>
      </c>
      <c r="R70" s="7" t="s">
        <v>123</v>
      </c>
      <c r="S70" s="41" t="s">
        <v>121</v>
      </c>
      <c r="T70" s="76" t="s">
        <v>11</v>
      </c>
      <c r="U70" s="76" t="s">
        <v>11</v>
      </c>
      <c r="V70" s="76" t="s">
        <v>11</v>
      </c>
      <c r="W70" s="76" t="s">
        <v>11</v>
      </c>
      <c r="X70" s="76" t="s">
        <v>11</v>
      </c>
      <c r="Y70" s="76" t="s">
        <v>11</v>
      </c>
      <c r="Z70" s="77" t="s">
        <v>11</v>
      </c>
    </row>
    <row r="71" spans="1:26">
      <c r="A71" s="5" t="s">
        <v>55</v>
      </c>
      <c r="B71" s="6">
        <v>65000</v>
      </c>
      <c r="C71" s="104">
        <f t="shared" si="0"/>
        <v>1.4921946740128558</v>
      </c>
      <c r="D71" s="104">
        <v>10.445399999999999</v>
      </c>
      <c r="E71" s="104">
        <v>10.445399999999999</v>
      </c>
      <c r="F71" s="104">
        <v>10.445399999999999</v>
      </c>
      <c r="G71" s="104">
        <v>10.445399999999999</v>
      </c>
      <c r="H71" s="104">
        <v>10.445399999999999</v>
      </c>
      <c r="I71" s="104"/>
      <c r="J71" s="54">
        <v>95</v>
      </c>
      <c r="K71" s="54">
        <v>50</v>
      </c>
      <c r="L71" s="55">
        <v>11</v>
      </c>
      <c r="M71" s="118" t="s">
        <v>152</v>
      </c>
      <c r="N71" s="8" t="s">
        <v>31</v>
      </c>
      <c r="O71" s="114" t="s">
        <v>302</v>
      </c>
      <c r="P71" s="7"/>
      <c r="Q71" s="56"/>
      <c r="R71" s="7" t="s">
        <v>123</v>
      </c>
      <c r="S71" s="41" t="s">
        <v>121</v>
      </c>
      <c r="T71" s="76" t="s">
        <v>11</v>
      </c>
      <c r="U71" s="76" t="s">
        <v>11</v>
      </c>
      <c r="V71" s="76" t="s">
        <v>11</v>
      </c>
      <c r="W71" s="76" t="s">
        <v>11</v>
      </c>
      <c r="X71" s="76" t="s">
        <v>11</v>
      </c>
      <c r="Y71" s="76" t="s">
        <v>11</v>
      </c>
      <c r="Z71" s="77" t="s">
        <v>11</v>
      </c>
    </row>
    <row r="72" spans="1:26">
      <c r="A72" s="5" t="s">
        <v>57</v>
      </c>
      <c r="B72" s="6">
        <v>19000</v>
      </c>
      <c r="C72" s="104">
        <f t="shared" ref="C72:C104" si="1">B72/43560</f>
        <v>0.43617998163452709</v>
      </c>
      <c r="D72" s="104">
        <v>10.032</v>
      </c>
      <c r="E72" s="104">
        <v>10.032</v>
      </c>
      <c r="F72" s="104">
        <v>10.032</v>
      </c>
      <c r="G72" s="104">
        <v>10.032</v>
      </c>
      <c r="H72" s="104">
        <v>10.032</v>
      </c>
      <c r="I72" s="104"/>
      <c r="J72" s="54">
        <v>98</v>
      </c>
      <c r="K72" s="54">
        <v>90</v>
      </c>
      <c r="L72" s="55">
        <v>32</v>
      </c>
      <c r="M72" s="118" t="s">
        <v>152</v>
      </c>
      <c r="N72" s="8" t="s">
        <v>31</v>
      </c>
      <c r="O72" s="114" t="s">
        <v>163</v>
      </c>
      <c r="P72" s="7" t="s">
        <v>210</v>
      </c>
      <c r="Q72" s="56" t="s">
        <v>155</v>
      </c>
      <c r="R72" s="7" t="s">
        <v>123</v>
      </c>
      <c r="S72" s="41" t="s">
        <v>121</v>
      </c>
      <c r="T72" s="76" t="s">
        <v>303</v>
      </c>
      <c r="U72" s="76" t="s">
        <v>11</v>
      </c>
      <c r="V72" s="76" t="s">
        <v>11</v>
      </c>
      <c r="W72" s="76" t="s">
        <v>11</v>
      </c>
      <c r="X72" s="76" t="s">
        <v>11</v>
      </c>
      <c r="Y72" s="76" t="s">
        <v>11</v>
      </c>
      <c r="Z72" s="77" t="s">
        <v>11</v>
      </c>
    </row>
    <row r="73" spans="1:26">
      <c r="A73" s="5" t="s">
        <v>380</v>
      </c>
      <c r="B73" s="6">
        <v>1100000</v>
      </c>
      <c r="C73" s="104">
        <f t="shared" si="1"/>
        <v>25.252525252525253</v>
      </c>
      <c r="D73" s="104">
        <v>44.191899999999997</v>
      </c>
      <c r="E73" s="104">
        <v>44.191899999999997</v>
      </c>
      <c r="F73" s="104">
        <v>44.191899999999997</v>
      </c>
      <c r="G73" s="104">
        <v>44.191899999999997</v>
      </c>
      <c r="H73" s="104">
        <v>44.191899999999997</v>
      </c>
      <c r="I73" s="104">
        <v>19</v>
      </c>
      <c r="J73" s="99"/>
      <c r="K73" s="99"/>
      <c r="L73" s="100"/>
      <c r="M73" s="99" t="s">
        <v>11</v>
      </c>
      <c r="N73" s="8" t="s">
        <v>31</v>
      </c>
      <c r="O73" s="113" t="s">
        <v>477</v>
      </c>
      <c r="P73" s="7" t="s">
        <v>178</v>
      </c>
      <c r="Q73" s="7"/>
      <c r="R73" s="7" t="s">
        <v>118</v>
      </c>
      <c r="S73" s="41" t="s">
        <v>401</v>
      </c>
      <c r="T73" s="76" t="s">
        <v>11</v>
      </c>
      <c r="U73" s="76" t="s">
        <v>11</v>
      </c>
      <c r="V73" s="76" t="s">
        <v>11</v>
      </c>
      <c r="W73" s="76" t="s">
        <v>11</v>
      </c>
      <c r="X73" s="76" t="s">
        <v>11</v>
      </c>
      <c r="Y73" s="76" t="s">
        <v>11</v>
      </c>
      <c r="Z73" s="77" t="s">
        <v>11</v>
      </c>
    </row>
    <row r="74" spans="1:26">
      <c r="A74" s="5" t="s">
        <v>47</v>
      </c>
      <c r="B74" s="6">
        <v>55000</v>
      </c>
      <c r="C74" s="104">
        <f t="shared" si="1"/>
        <v>1.2626262626262625</v>
      </c>
      <c r="D74" s="104">
        <v>10.101000000000001</v>
      </c>
      <c r="E74" s="104">
        <v>20</v>
      </c>
      <c r="F74" s="104">
        <v>20</v>
      </c>
      <c r="G74" s="104">
        <v>20</v>
      </c>
      <c r="H74" s="104">
        <v>20</v>
      </c>
      <c r="I74" s="104"/>
      <c r="J74" s="54">
        <v>95</v>
      </c>
      <c r="K74" s="54">
        <v>90</v>
      </c>
      <c r="L74" s="55">
        <v>2.2000000000000002</v>
      </c>
      <c r="M74" s="118" t="s">
        <v>152</v>
      </c>
      <c r="N74" s="8"/>
      <c r="O74" s="114" t="s">
        <v>550</v>
      </c>
      <c r="P74" s="7" t="s">
        <v>164</v>
      </c>
      <c r="Q74" s="56" t="s">
        <v>151</v>
      </c>
      <c r="R74" s="7" t="s">
        <v>118</v>
      </c>
      <c r="S74" s="41" t="s">
        <v>119</v>
      </c>
      <c r="T74" s="76" t="s">
        <v>304</v>
      </c>
      <c r="U74" s="76" t="s">
        <v>11</v>
      </c>
      <c r="V74" s="76" t="s">
        <v>11</v>
      </c>
      <c r="W74" s="76" t="s">
        <v>11</v>
      </c>
      <c r="X74" s="76" t="s">
        <v>11</v>
      </c>
      <c r="Y74" s="76" t="s">
        <v>11</v>
      </c>
      <c r="Z74" s="77" t="s">
        <v>11</v>
      </c>
    </row>
    <row r="75" spans="1:26">
      <c r="A75" s="5" t="s">
        <v>56</v>
      </c>
      <c r="B75" s="6">
        <v>54000</v>
      </c>
      <c r="C75" s="104">
        <f t="shared" si="1"/>
        <v>1.2396694214876034</v>
      </c>
      <c r="D75" s="104">
        <v>9.9169999999999998</v>
      </c>
      <c r="E75" s="104">
        <v>9.9169999999999998</v>
      </c>
      <c r="F75" s="104">
        <v>9.9169999999999998</v>
      </c>
      <c r="G75" s="104">
        <v>9.9169999999999998</v>
      </c>
      <c r="H75" s="104">
        <v>9.9169999999999998</v>
      </c>
      <c r="I75" s="104"/>
      <c r="J75" s="54">
        <v>95</v>
      </c>
      <c r="K75" s="54">
        <v>85</v>
      </c>
      <c r="L75" s="55">
        <v>60</v>
      </c>
      <c r="M75" s="118" t="s">
        <v>152</v>
      </c>
      <c r="N75" s="8" t="s">
        <v>31</v>
      </c>
      <c r="O75" s="114" t="s">
        <v>163</v>
      </c>
      <c r="P75" s="7" t="s">
        <v>150</v>
      </c>
      <c r="Q75" s="56" t="s">
        <v>155</v>
      </c>
      <c r="R75" s="7" t="s">
        <v>123</v>
      </c>
      <c r="S75" s="41" t="s">
        <v>121</v>
      </c>
      <c r="T75" s="76" t="s">
        <v>501</v>
      </c>
      <c r="U75" s="76" t="s">
        <v>11</v>
      </c>
      <c r="V75" s="76" t="s">
        <v>11</v>
      </c>
      <c r="W75" s="76" t="s">
        <v>11</v>
      </c>
      <c r="X75" s="76" t="s">
        <v>11</v>
      </c>
      <c r="Y75" s="76" t="s">
        <v>11</v>
      </c>
      <c r="Z75" s="77" t="s">
        <v>11</v>
      </c>
    </row>
    <row r="76" spans="1:26">
      <c r="A76" s="12" t="s">
        <v>435</v>
      </c>
      <c r="B76" s="13"/>
      <c r="C76" s="105"/>
      <c r="D76" s="105"/>
      <c r="E76" s="105"/>
      <c r="F76" s="105"/>
      <c r="G76" s="105"/>
      <c r="H76" s="105"/>
      <c r="I76" s="105"/>
      <c r="J76" s="124">
        <v>98</v>
      </c>
      <c r="K76" s="124">
        <v>75</v>
      </c>
      <c r="L76" s="125"/>
      <c r="M76" s="124" t="s">
        <v>152</v>
      </c>
      <c r="N76" s="15"/>
      <c r="O76" s="126"/>
      <c r="P76" s="14" t="s">
        <v>178</v>
      </c>
      <c r="Q76" s="14"/>
      <c r="R76" s="14" t="s">
        <v>126</v>
      </c>
      <c r="S76" s="43" t="s">
        <v>121</v>
      </c>
      <c r="T76" s="78" t="s">
        <v>437</v>
      </c>
      <c r="U76" s="78" t="s">
        <v>438</v>
      </c>
      <c r="V76" s="78" t="s">
        <v>436</v>
      </c>
      <c r="W76" s="78" t="s">
        <v>433</v>
      </c>
      <c r="X76" s="78" t="s">
        <v>11</v>
      </c>
      <c r="Y76" s="78" t="s">
        <v>11</v>
      </c>
      <c r="Z76" s="79" t="s">
        <v>11</v>
      </c>
    </row>
    <row r="77" spans="1:26">
      <c r="A77" s="57" t="s">
        <v>211</v>
      </c>
      <c r="B77" s="58">
        <v>192000</v>
      </c>
      <c r="C77" s="103">
        <f t="shared" si="1"/>
        <v>4.4077134986225897</v>
      </c>
      <c r="D77" s="103">
        <v>19.834700000000002</v>
      </c>
      <c r="E77" s="103">
        <v>8</v>
      </c>
      <c r="F77" s="103">
        <v>8</v>
      </c>
      <c r="G77" s="103">
        <v>8</v>
      </c>
      <c r="H77" s="103">
        <v>8</v>
      </c>
      <c r="I77" s="103"/>
      <c r="J77" s="59">
        <v>90</v>
      </c>
      <c r="K77" s="59">
        <v>80</v>
      </c>
      <c r="L77" s="60">
        <v>23</v>
      </c>
      <c r="M77" s="117" t="s">
        <v>148</v>
      </c>
      <c r="N77" s="63" t="s">
        <v>31</v>
      </c>
      <c r="O77" s="111" t="s">
        <v>199</v>
      </c>
      <c r="P77" s="61" t="s">
        <v>154</v>
      </c>
      <c r="Q77" s="62" t="s">
        <v>155</v>
      </c>
      <c r="R77" s="61" t="s">
        <v>120</v>
      </c>
      <c r="S77" s="53" t="s">
        <v>121</v>
      </c>
      <c r="T77" s="94" t="s">
        <v>305</v>
      </c>
      <c r="U77" s="94" t="s">
        <v>11</v>
      </c>
      <c r="V77" s="94" t="s">
        <v>11</v>
      </c>
      <c r="W77" s="94" t="s">
        <v>11</v>
      </c>
      <c r="X77" s="94" t="s">
        <v>11</v>
      </c>
      <c r="Y77" s="94" t="s">
        <v>11</v>
      </c>
      <c r="Z77" s="95" t="s">
        <v>11</v>
      </c>
    </row>
    <row r="78" spans="1:26">
      <c r="A78" s="5" t="s">
        <v>376</v>
      </c>
      <c r="B78" s="6">
        <v>68000</v>
      </c>
      <c r="C78" s="103">
        <f t="shared" si="1"/>
        <v>1.5610651974288339</v>
      </c>
      <c r="D78" s="104">
        <v>31.221303948576676</v>
      </c>
      <c r="E78" s="104">
        <v>20</v>
      </c>
      <c r="F78" s="104">
        <v>25</v>
      </c>
      <c r="G78" s="104">
        <v>20</v>
      </c>
      <c r="H78" s="104">
        <v>20</v>
      </c>
      <c r="I78" s="104"/>
      <c r="J78" s="54">
        <v>95</v>
      </c>
      <c r="K78" s="54">
        <v>90</v>
      </c>
      <c r="L78" s="55">
        <v>0.79</v>
      </c>
      <c r="M78" s="118" t="s">
        <v>148</v>
      </c>
      <c r="N78" s="8"/>
      <c r="O78" s="114" t="s">
        <v>163</v>
      </c>
      <c r="P78" s="7" t="s">
        <v>159</v>
      </c>
      <c r="Q78" s="56" t="s">
        <v>155</v>
      </c>
      <c r="R78" s="7" t="s">
        <v>120</v>
      </c>
      <c r="S78" s="41" t="s">
        <v>401</v>
      </c>
      <c r="T78" s="76" t="s">
        <v>11</v>
      </c>
      <c r="U78" s="76" t="s">
        <v>11</v>
      </c>
      <c r="V78" s="76" t="s">
        <v>11</v>
      </c>
      <c r="W78" s="76" t="s">
        <v>11</v>
      </c>
      <c r="X78" s="76" t="s">
        <v>11</v>
      </c>
      <c r="Y78" s="76" t="s">
        <v>11</v>
      </c>
      <c r="Z78" s="77" t="s">
        <v>11</v>
      </c>
    </row>
    <row r="79" spans="1:26">
      <c r="A79" s="5" t="s">
        <v>212</v>
      </c>
      <c r="B79" s="6">
        <v>35000</v>
      </c>
      <c r="C79" s="104">
        <f t="shared" si="1"/>
        <v>0.80348943985307619</v>
      </c>
      <c r="D79" s="104">
        <v>10.0436</v>
      </c>
      <c r="E79" s="104">
        <v>20</v>
      </c>
      <c r="F79" s="104">
        <v>20</v>
      </c>
      <c r="G79" s="104">
        <v>20</v>
      </c>
      <c r="H79" s="104">
        <v>20</v>
      </c>
      <c r="I79" s="104"/>
      <c r="J79" s="54">
        <v>90</v>
      </c>
      <c r="K79" s="54">
        <v>90</v>
      </c>
      <c r="L79" s="55">
        <v>120</v>
      </c>
      <c r="M79" s="118" t="s">
        <v>152</v>
      </c>
      <c r="N79" s="8" t="s">
        <v>31</v>
      </c>
      <c r="O79" s="114" t="s">
        <v>153</v>
      </c>
      <c r="P79" s="7" t="s">
        <v>154</v>
      </c>
      <c r="Q79" s="56" t="s">
        <v>179</v>
      </c>
      <c r="R79" s="7" t="s">
        <v>118</v>
      </c>
      <c r="S79" s="41" t="s">
        <v>119</v>
      </c>
      <c r="T79" s="76" t="s">
        <v>306</v>
      </c>
      <c r="U79" s="76" t="s">
        <v>11</v>
      </c>
      <c r="V79" s="76" t="s">
        <v>11</v>
      </c>
      <c r="W79" s="76" t="s">
        <v>11</v>
      </c>
      <c r="X79" s="76" t="s">
        <v>11</v>
      </c>
      <c r="Y79" s="76" t="s">
        <v>11</v>
      </c>
      <c r="Z79" s="77" t="s">
        <v>11</v>
      </c>
    </row>
    <row r="80" spans="1:26">
      <c r="A80" s="5" t="s">
        <v>50</v>
      </c>
      <c r="B80" s="6">
        <v>1630000</v>
      </c>
      <c r="C80" s="104">
        <f t="shared" si="1"/>
        <v>37.419651056014693</v>
      </c>
      <c r="D80" s="104">
        <v>46.7746</v>
      </c>
      <c r="E80" s="104">
        <v>3</v>
      </c>
      <c r="F80" s="104">
        <v>3</v>
      </c>
      <c r="G80" s="104">
        <v>3</v>
      </c>
      <c r="H80" s="104">
        <v>3</v>
      </c>
      <c r="I80" s="104">
        <v>4</v>
      </c>
      <c r="J80" s="54">
        <v>98</v>
      </c>
      <c r="K80" s="54">
        <v>85</v>
      </c>
      <c r="L80" s="55">
        <v>1.2</v>
      </c>
      <c r="M80" s="118" t="s">
        <v>148</v>
      </c>
      <c r="N80" s="8"/>
      <c r="O80" s="114" t="s">
        <v>158</v>
      </c>
      <c r="P80" s="7" t="s">
        <v>164</v>
      </c>
      <c r="Q80" s="56" t="s">
        <v>155</v>
      </c>
      <c r="R80" s="7" t="s">
        <v>120</v>
      </c>
      <c r="S80" s="41" t="s">
        <v>121</v>
      </c>
      <c r="T80" s="76" t="s">
        <v>307</v>
      </c>
      <c r="U80" s="76" t="s">
        <v>308</v>
      </c>
      <c r="V80" s="76" t="s">
        <v>11</v>
      </c>
      <c r="W80" s="76" t="s">
        <v>11</v>
      </c>
      <c r="X80" s="76" t="s">
        <v>11</v>
      </c>
      <c r="Y80" s="76" t="s">
        <v>11</v>
      </c>
      <c r="Z80" s="77" t="s">
        <v>11</v>
      </c>
    </row>
    <row r="81" spans="1:26">
      <c r="A81" s="5" t="s">
        <v>481</v>
      </c>
      <c r="B81" s="6">
        <v>14000</v>
      </c>
      <c r="C81" s="104">
        <f t="shared" si="1"/>
        <v>0.32139577594123048</v>
      </c>
      <c r="D81" s="104">
        <v>11.248852157943066</v>
      </c>
      <c r="E81" s="104">
        <v>35</v>
      </c>
      <c r="F81" s="104">
        <v>40</v>
      </c>
      <c r="G81" s="104">
        <v>40</v>
      </c>
      <c r="H81" s="104">
        <v>40</v>
      </c>
      <c r="I81" s="104">
        <v>40</v>
      </c>
      <c r="J81" s="54">
        <v>95</v>
      </c>
      <c r="K81" s="54">
        <v>90</v>
      </c>
      <c r="L81" s="55">
        <v>0.24</v>
      </c>
      <c r="M81" s="118" t="s">
        <v>148</v>
      </c>
      <c r="N81" s="8"/>
      <c r="O81" s="114" t="s">
        <v>172</v>
      </c>
      <c r="P81" s="7" t="s">
        <v>159</v>
      </c>
      <c r="Q81" s="56" t="s">
        <v>408</v>
      </c>
      <c r="R81" s="7" t="s">
        <v>120</v>
      </c>
      <c r="S81" s="41" t="s">
        <v>401</v>
      </c>
      <c r="T81" s="76" t="s">
        <v>11</v>
      </c>
      <c r="U81" s="76" t="s">
        <v>11</v>
      </c>
      <c r="V81" s="76" t="s">
        <v>11</v>
      </c>
      <c r="W81" s="76" t="s">
        <v>11</v>
      </c>
      <c r="X81" s="76" t="s">
        <v>11</v>
      </c>
      <c r="Y81" s="76" t="s">
        <v>11</v>
      </c>
      <c r="Z81" s="77" t="s">
        <v>11</v>
      </c>
    </row>
    <row r="82" spans="1:26">
      <c r="A82" s="5" t="s">
        <v>53</v>
      </c>
      <c r="B82" s="6">
        <v>4124000</v>
      </c>
      <c r="C82" s="104">
        <f t="shared" si="1"/>
        <v>94.674012855831037</v>
      </c>
      <c r="D82" s="104">
        <v>63.590400000000002</v>
      </c>
      <c r="E82" s="104">
        <v>1</v>
      </c>
      <c r="F82" s="104">
        <v>1</v>
      </c>
      <c r="G82" s="104">
        <v>1</v>
      </c>
      <c r="H82" s="104">
        <v>1</v>
      </c>
      <c r="I82" s="104"/>
      <c r="J82" s="54">
        <v>98</v>
      </c>
      <c r="K82" s="54">
        <v>95</v>
      </c>
      <c r="L82" s="55">
        <v>12</v>
      </c>
      <c r="M82" s="118" t="s">
        <v>152</v>
      </c>
      <c r="N82" s="8" t="s">
        <v>31</v>
      </c>
      <c r="O82" s="114" t="s">
        <v>153</v>
      </c>
      <c r="P82" s="7" t="s">
        <v>154</v>
      </c>
      <c r="Q82" s="56" t="s">
        <v>195</v>
      </c>
      <c r="R82" s="7" t="s">
        <v>126</v>
      </c>
      <c r="S82" s="41" t="s">
        <v>119</v>
      </c>
      <c r="T82" s="76" t="s">
        <v>11</v>
      </c>
      <c r="U82" s="76" t="s">
        <v>11</v>
      </c>
      <c r="V82" s="76" t="s">
        <v>11</v>
      </c>
      <c r="W82" s="76" t="s">
        <v>11</v>
      </c>
      <c r="X82" s="76" t="s">
        <v>11</v>
      </c>
      <c r="Y82" s="76" t="s">
        <v>11</v>
      </c>
      <c r="Z82" s="77" t="s">
        <v>11</v>
      </c>
    </row>
    <row r="83" spans="1:26">
      <c r="A83" s="5" t="s">
        <v>373</v>
      </c>
      <c r="B83" s="6">
        <v>12000</v>
      </c>
      <c r="C83" s="104">
        <f t="shared" si="1"/>
        <v>0.27548209366391185</v>
      </c>
      <c r="D83" s="104">
        <v>12.396694214876035</v>
      </c>
      <c r="E83" s="104">
        <v>45</v>
      </c>
      <c r="F83" s="104">
        <v>45</v>
      </c>
      <c r="G83" s="104">
        <v>45</v>
      </c>
      <c r="H83" s="104">
        <v>45</v>
      </c>
      <c r="I83" s="104"/>
      <c r="J83" s="54">
        <v>95</v>
      </c>
      <c r="K83" s="54">
        <v>90</v>
      </c>
      <c r="L83" s="55">
        <v>0.15</v>
      </c>
      <c r="M83" s="118" t="s">
        <v>148</v>
      </c>
      <c r="N83" s="8"/>
      <c r="O83" s="114" t="s">
        <v>172</v>
      </c>
      <c r="P83" s="7" t="s">
        <v>159</v>
      </c>
      <c r="Q83" s="56" t="s">
        <v>408</v>
      </c>
      <c r="R83" s="7" t="s">
        <v>120</v>
      </c>
      <c r="S83" s="41" t="s">
        <v>401</v>
      </c>
      <c r="T83" s="76" t="s">
        <v>419</v>
      </c>
      <c r="U83" s="76" t="s">
        <v>420</v>
      </c>
      <c r="V83" s="76" t="s">
        <v>421</v>
      </c>
      <c r="W83" s="76" t="s">
        <v>11</v>
      </c>
      <c r="X83" s="76" t="s">
        <v>11</v>
      </c>
      <c r="Y83" s="76" t="s">
        <v>11</v>
      </c>
      <c r="Z83" s="77" t="s">
        <v>11</v>
      </c>
    </row>
    <row r="84" spans="1:26">
      <c r="A84" s="5" t="s">
        <v>374</v>
      </c>
      <c r="B84" s="6">
        <v>12000</v>
      </c>
      <c r="C84" s="104">
        <f t="shared" si="1"/>
        <v>0.27548209366391185</v>
      </c>
      <c r="D84" s="104">
        <v>12.396694214876037</v>
      </c>
      <c r="E84" s="104">
        <v>45</v>
      </c>
      <c r="F84" s="104">
        <v>45</v>
      </c>
      <c r="G84" s="104">
        <v>45</v>
      </c>
      <c r="H84" s="104">
        <v>45</v>
      </c>
      <c r="I84" s="104"/>
      <c r="J84" s="54">
        <v>95</v>
      </c>
      <c r="K84" s="54">
        <v>90</v>
      </c>
      <c r="L84" s="55">
        <v>0.16</v>
      </c>
      <c r="M84" s="118" t="s">
        <v>148</v>
      </c>
      <c r="N84" s="8"/>
      <c r="O84" s="114" t="s">
        <v>172</v>
      </c>
      <c r="P84" s="7" t="s">
        <v>159</v>
      </c>
      <c r="Q84" s="56" t="s">
        <v>408</v>
      </c>
      <c r="R84" s="7" t="s">
        <v>120</v>
      </c>
      <c r="S84" s="41" t="s">
        <v>401</v>
      </c>
      <c r="T84" s="76" t="s">
        <v>422</v>
      </c>
      <c r="U84" s="76" t="s">
        <v>423</v>
      </c>
      <c r="V84" s="76" t="s">
        <v>424</v>
      </c>
      <c r="W84" s="76" t="s">
        <v>425</v>
      </c>
      <c r="X84" s="76" t="s">
        <v>426</v>
      </c>
      <c r="Y84" s="76" t="s">
        <v>427</v>
      </c>
      <c r="Z84" s="77" t="s">
        <v>428</v>
      </c>
    </row>
    <row r="85" spans="1:26">
      <c r="A85" s="5" t="s">
        <v>213</v>
      </c>
      <c r="B85" s="6">
        <v>126000</v>
      </c>
      <c r="C85" s="104">
        <f t="shared" ref="C85:C90" si="2">B85/43560</f>
        <v>2.8925619834710745</v>
      </c>
      <c r="D85" s="104">
        <v>20.247900000000001</v>
      </c>
      <c r="E85" s="104">
        <v>8</v>
      </c>
      <c r="F85" s="104">
        <v>8</v>
      </c>
      <c r="G85" s="104">
        <v>8</v>
      </c>
      <c r="H85" s="104">
        <v>8</v>
      </c>
      <c r="I85" s="104"/>
      <c r="J85" s="54">
        <v>90</v>
      </c>
      <c r="K85" s="54">
        <v>85</v>
      </c>
      <c r="L85" s="55">
        <v>14</v>
      </c>
      <c r="M85" s="118" t="s">
        <v>148</v>
      </c>
      <c r="N85" s="8" t="s">
        <v>31</v>
      </c>
      <c r="O85" s="114" t="s">
        <v>149</v>
      </c>
      <c r="P85" s="7" t="s">
        <v>154</v>
      </c>
      <c r="Q85" s="56" t="s">
        <v>155</v>
      </c>
      <c r="R85" s="7" t="s">
        <v>120</v>
      </c>
      <c r="S85" s="41" t="s">
        <v>121</v>
      </c>
      <c r="T85" s="76" t="s">
        <v>503</v>
      </c>
      <c r="U85" s="76" t="s">
        <v>309</v>
      </c>
      <c r="V85" s="76" t="s">
        <v>502</v>
      </c>
      <c r="W85" s="76" t="s">
        <v>11</v>
      </c>
      <c r="X85" s="76" t="s">
        <v>11</v>
      </c>
      <c r="Y85" s="76" t="s">
        <v>11</v>
      </c>
      <c r="Z85" s="77" t="s">
        <v>11</v>
      </c>
    </row>
    <row r="86" spans="1:26">
      <c r="A86" s="5" t="s">
        <v>214</v>
      </c>
      <c r="B86" s="6">
        <v>311000</v>
      </c>
      <c r="C86" s="104">
        <f t="shared" si="2"/>
        <v>7.1395775941230486</v>
      </c>
      <c r="D86" s="104">
        <v>35.700000000000003</v>
      </c>
      <c r="E86" s="104">
        <v>5</v>
      </c>
      <c r="F86" s="104">
        <v>5</v>
      </c>
      <c r="G86" s="104">
        <v>5</v>
      </c>
      <c r="H86" s="104">
        <v>6</v>
      </c>
      <c r="I86" s="104"/>
      <c r="J86" s="54">
        <v>95</v>
      </c>
      <c r="K86" s="54">
        <v>85</v>
      </c>
      <c r="L86" s="55">
        <v>2</v>
      </c>
      <c r="M86" s="118" t="s">
        <v>148</v>
      </c>
      <c r="N86" s="8"/>
      <c r="O86" s="114" t="s">
        <v>149</v>
      </c>
      <c r="P86" s="7" t="s">
        <v>164</v>
      </c>
      <c r="Q86" s="56" t="s">
        <v>155</v>
      </c>
      <c r="R86" s="7" t="s">
        <v>120</v>
      </c>
      <c r="S86" s="41" t="s">
        <v>121</v>
      </c>
      <c r="T86" s="76" t="s">
        <v>310</v>
      </c>
      <c r="U86" s="76" t="s">
        <v>505</v>
      </c>
      <c r="V86" s="76" t="s">
        <v>506</v>
      </c>
      <c r="W86" s="76" t="s">
        <v>507</v>
      </c>
      <c r="X86" s="76" t="s">
        <v>508</v>
      </c>
      <c r="Y86" s="76" t="s">
        <v>11</v>
      </c>
      <c r="Z86" s="77" t="s">
        <v>11</v>
      </c>
    </row>
    <row r="87" spans="1:26">
      <c r="A87" s="5" t="s">
        <v>551</v>
      </c>
      <c r="B87" s="6">
        <v>165000</v>
      </c>
      <c r="C87" s="104">
        <f t="shared" si="2"/>
        <v>3.7878787878787881</v>
      </c>
      <c r="D87" s="104">
        <v>20.833300000000001</v>
      </c>
      <c r="E87" s="104">
        <v>5</v>
      </c>
      <c r="F87" s="104">
        <v>5</v>
      </c>
      <c r="G87" s="104">
        <v>5</v>
      </c>
      <c r="H87" s="104">
        <v>6</v>
      </c>
      <c r="I87" s="104"/>
      <c r="J87" s="54">
        <v>95</v>
      </c>
      <c r="K87" s="54">
        <v>85</v>
      </c>
      <c r="L87" s="64">
        <v>2</v>
      </c>
      <c r="M87" s="118" t="s">
        <v>148</v>
      </c>
      <c r="N87" s="8"/>
      <c r="O87" s="114" t="s">
        <v>149</v>
      </c>
      <c r="P87" s="42" t="s">
        <v>164</v>
      </c>
      <c r="Q87" s="56" t="s">
        <v>155</v>
      </c>
      <c r="R87" s="42" t="s">
        <v>120</v>
      </c>
      <c r="S87" s="109" t="s">
        <v>121</v>
      </c>
      <c r="T87" s="76" t="s">
        <v>311</v>
      </c>
      <c r="U87" s="76" t="s">
        <v>504</v>
      </c>
      <c r="V87" s="76" t="s">
        <v>11</v>
      </c>
      <c r="W87" s="76" t="s">
        <v>11</v>
      </c>
      <c r="X87" s="76" t="s">
        <v>11</v>
      </c>
      <c r="Y87" s="76" t="s">
        <v>11</v>
      </c>
      <c r="Z87" s="77" t="s">
        <v>11</v>
      </c>
    </row>
    <row r="88" spans="1:26">
      <c r="A88" s="5" t="s">
        <v>552</v>
      </c>
      <c r="B88" s="6">
        <v>175000</v>
      </c>
      <c r="C88" s="104">
        <f t="shared" si="2"/>
        <v>4.0174471992653809</v>
      </c>
      <c r="D88" s="104">
        <v>22.0959</v>
      </c>
      <c r="E88" s="104">
        <v>5</v>
      </c>
      <c r="F88" s="104">
        <v>5</v>
      </c>
      <c r="G88" s="104">
        <v>5</v>
      </c>
      <c r="H88" s="104">
        <v>6</v>
      </c>
      <c r="I88" s="104"/>
      <c r="J88" s="54">
        <v>95</v>
      </c>
      <c r="K88" s="54">
        <v>85</v>
      </c>
      <c r="L88" s="55">
        <v>1.9</v>
      </c>
      <c r="M88" s="118" t="s">
        <v>148</v>
      </c>
      <c r="N88" s="8"/>
      <c r="O88" s="114" t="s">
        <v>149</v>
      </c>
      <c r="P88" s="42" t="s">
        <v>164</v>
      </c>
      <c r="Q88" s="56" t="s">
        <v>155</v>
      </c>
      <c r="R88" s="7" t="s">
        <v>120</v>
      </c>
      <c r="S88" s="41" t="s">
        <v>121</v>
      </c>
      <c r="T88" s="76" t="s">
        <v>312</v>
      </c>
      <c r="U88" s="76" t="s">
        <v>448</v>
      </c>
      <c r="V88" s="76" t="s">
        <v>447</v>
      </c>
      <c r="W88" s="76" t="s">
        <v>11</v>
      </c>
      <c r="X88" s="76" t="s">
        <v>11</v>
      </c>
      <c r="Y88" s="76" t="s">
        <v>11</v>
      </c>
      <c r="Z88" s="77" t="s">
        <v>11</v>
      </c>
    </row>
    <row r="89" spans="1:26">
      <c r="A89" s="5" t="s">
        <v>215</v>
      </c>
      <c r="B89" s="6">
        <v>85000</v>
      </c>
      <c r="C89" s="104">
        <f t="shared" si="2"/>
        <v>1.9513314967860422</v>
      </c>
      <c r="D89" s="104">
        <v>19.513300000000001</v>
      </c>
      <c r="E89" s="104">
        <v>10</v>
      </c>
      <c r="F89" s="104">
        <v>14</v>
      </c>
      <c r="G89" s="104">
        <v>14</v>
      </c>
      <c r="H89" s="104">
        <v>14</v>
      </c>
      <c r="I89" s="104"/>
      <c r="J89" s="54">
        <v>90</v>
      </c>
      <c r="K89" s="54">
        <v>85</v>
      </c>
      <c r="L89" s="55">
        <v>2</v>
      </c>
      <c r="M89" s="118" t="s">
        <v>148</v>
      </c>
      <c r="N89" s="8"/>
      <c r="O89" s="114" t="s">
        <v>172</v>
      </c>
      <c r="P89" s="42" t="s">
        <v>154</v>
      </c>
      <c r="Q89" s="56" t="s">
        <v>155</v>
      </c>
      <c r="R89" s="7" t="s">
        <v>124</v>
      </c>
      <c r="S89" s="41" t="s">
        <v>121</v>
      </c>
      <c r="T89" s="76" t="s">
        <v>509</v>
      </c>
      <c r="U89" s="76" t="s">
        <v>313</v>
      </c>
      <c r="V89" s="76" t="s">
        <v>314</v>
      </c>
      <c r="W89" s="76" t="s">
        <v>315</v>
      </c>
      <c r="X89" s="76" t="s">
        <v>317</v>
      </c>
      <c r="Y89" s="76" t="s">
        <v>11</v>
      </c>
      <c r="Z89" s="77" t="s">
        <v>11</v>
      </c>
    </row>
    <row r="90" spans="1:26">
      <c r="A90" s="5" t="s">
        <v>216</v>
      </c>
      <c r="B90" s="6">
        <v>131000</v>
      </c>
      <c r="C90" s="104">
        <f t="shared" si="2"/>
        <v>3.0073461891643709</v>
      </c>
      <c r="D90" s="104">
        <v>19.547799999999999</v>
      </c>
      <c r="E90" s="104">
        <v>10</v>
      </c>
      <c r="F90" s="104">
        <v>18</v>
      </c>
      <c r="G90" s="104">
        <v>15</v>
      </c>
      <c r="H90" s="104">
        <v>15</v>
      </c>
      <c r="I90" s="104">
        <v>15</v>
      </c>
      <c r="J90" s="54">
        <v>95</v>
      </c>
      <c r="K90" s="54">
        <v>90</v>
      </c>
      <c r="L90" s="55">
        <v>5</v>
      </c>
      <c r="M90" s="118" t="s">
        <v>148</v>
      </c>
      <c r="N90" s="8"/>
      <c r="O90" s="114" t="s">
        <v>163</v>
      </c>
      <c r="P90" s="42" t="s">
        <v>154</v>
      </c>
      <c r="Q90" s="56" t="s">
        <v>155</v>
      </c>
      <c r="R90" s="7" t="s">
        <v>124</v>
      </c>
      <c r="S90" s="41" t="s">
        <v>121</v>
      </c>
      <c r="T90" s="76" t="s">
        <v>318</v>
      </c>
      <c r="U90" s="76" t="s">
        <v>11</v>
      </c>
      <c r="V90" s="76" t="s">
        <v>11</v>
      </c>
      <c r="W90" s="76" t="s">
        <v>11</v>
      </c>
      <c r="X90" s="76" t="s">
        <v>11</v>
      </c>
      <c r="Y90" s="76" t="s">
        <v>11</v>
      </c>
      <c r="Z90" s="77" t="s">
        <v>11</v>
      </c>
    </row>
    <row r="91" spans="1:26">
      <c r="A91" s="5" t="s">
        <v>217</v>
      </c>
      <c r="B91" s="6">
        <v>85000</v>
      </c>
      <c r="C91" s="104">
        <f t="shared" si="1"/>
        <v>1.9513314967860422</v>
      </c>
      <c r="D91" s="104">
        <v>19.513300000000001</v>
      </c>
      <c r="E91" s="104">
        <v>10</v>
      </c>
      <c r="F91" s="104">
        <v>12</v>
      </c>
      <c r="G91" s="104">
        <v>12</v>
      </c>
      <c r="H91" s="104">
        <v>12</v>
      </c>
      <c r="I91" s="104"/>
      <c r="J91" s="54">
        <v>90</v>
      </c>
      <c r="K91" s="54">
        <v>85</v>
      </c>
      <c r="L91" s="55">
        <v>1.3</v>
      </c>
      <c r="M91" s="118" t="s">
        <v>148</v>
      </c>
      <c r="N91" s="8"/>
      <c r="O91" s="114" t="s">
        <v>218</v>
      </c>
      <c r="P91" s="7" t="s">
        <v>189</v>
      </c>
      <c r="Q91" s="56" t="s">
        <v>155</v>
      </c>
      <c r="R91" s="7" t="s">
        <v>124</v>
      </c>
      <c r="S91" s="41" t="s">
        <v>121</v>
      </c>
      <c r="T91" s="76" t="s">
        <v>319</v>
      </c>
      <c r="U91" s="76" t="s">
        <v>510</v>
      </c>
      <c r="V91" s="76" t="s">
        <v>316</v>
      </c>
      <c r="W91" s="76" t="s">
        <v>11</v>
      </c>
      <c r="X91" s="76" t="s">
        <v>11</v>
      </c>
      <c r="Y91" s="76" t="s">
        <v>11</v>
      </c>
      <c r="Z91" s="77" t="s">
        <v>11</v>
      </c>
    </row>
    <row r="92" spans="1:26">
      <c r="A92" s="5" t="s">
        <v>320</v>
      </c>
      <c r="B92" s="6">
        <v>183000</v>
      </c>
      <c r="C92" s="104">
        <f t="shared" si="1"/>
        <v>4.2011019283746558</v>
      </c>
      <c r="D92" s="104">
        <v>26</v>
      </c>
      <c r="E92" s="104">
        <v>6</v>
      </c>
      <c r="F92" s="104">
        <v>6</v>
      </c>
      <c r="G92" s="104">
        <v>6</v>
      </c>
      <c r="H92" s="104">
        <v>6</v>
      </c>
      <c r="I92" s="104"/>
      <c r="J92" s="54">
        <v>95</v>
      </c>
      <c r="K92" s="54">
        <v>85</v>
      </c>
      <c r="L92" s="55">
        <v>1.8</v>
      </c>
      <c r="M92" s="118" t="s">
        <v>148</v>
      </c>
      <c r="N92" s="8"/>
      <c r="O92" s="114" t="s">
        <v>149</v>
      </c>
      <c r="P92" s="7" t="s">
        <v>164</v>
      </c>
      <c r="Q92" s="56" t="s">
        <v>155</v>
      </c>
      <c r="R92" s="7" t="s">
        <v>120</v>
      </c>
      <c r="S92" s="41" t="s">
        <v>121</v>
      </c>
      <c r="T92" s="76" t="s">
        <v>321</v>
      </c>
      <c r="U92" s="76" t="s">
        <v>322</v>
      </c>
      <c r="V92" s="76" t="s">
        <v>11</v>
      </c>
      <c r="W92" s="76" t="s">
        <v>11</v>
      </c>
      <c r="X92" s="76" t="s">
        <v>11</v>
      </c>
      <c r="Y92" s="76" t="s">
        <v>11</v>
      </c>
      <c r="Z92" s="77" t="s">
        <v>11</v>
      </c>
    </row>
    <row r="93" spans="1:26">
      <c r="A93" s="5" t="s">
        <v>219</v>
      </c>
      <c r="B93" s="6">
        <v>133000</v>
      </c>
      <c r="C93" s="104">
        <f t="shared" si="1"/>
        <v>3.0532598714416896</v>
      </c>
      <c r="D93" s="104">
        <v>19.8462</v>
      </c>
      <c r="E93" s="104">
        <v>6</v>
      </c>
      <c r="F93" s="104">
        <v>10</v>
      </c>
      <c r="G93" s="104">
        <v>10</v>
      </c>
      <c r="H93" s="104">
        <v>10</v>
      </c>
      <c r="I93" s="104"/>
      <c r="J93" s="54">
        <v>90</v>
      </c>
      <c r="K93" s="54">
        <v>85</v>
      </c>
      <c r="L93" s="55">
        <v>1.4</v>
      </c>
      <c r="M93" s="118" t="s">
        <v>148</v>
      </c>
      <c r="N93" s="8" t="s">
        <v>31</v>
      </c>
      <c r="O93" s="114" t="s">
        <v>153</v>
      </c>
      <c r="P93" s="7" t="s">
        <v>164</v>
      </c>
      <c r="Q93" s="56" t="s">
        <v>155</v>
      </c>
      <c r="R93" s="7" t="s">
        <v>120</v>
      </c>
      <c r="S93" s="41" t="s">
        <v>122</v>
      </c>
      <c r="T93" s="76" t="s">
        <v>324</v>
      </c>
      <c r="U93" s="76" t="s">
        <v>323</v>
      </c>
      <c r="V93" s="76" t="s">
        <v>325</v>
      </c>
      <c r="W93" s="76" t="s">
        <v>11</v>
      </c>
      <c r="X93" s="76" t="s">
        <v>11</v>
      </c>
      <c r="Y93" s="76" t="s">
        <v>11</v>
      </c>
      <c r="Z93" s="77" t="s">
        <v>11</v>
      </c>
    </row>
    <row r="94" spans="1:26">
      <c r="A94" s="5" t="s">
        <v>220</v>
      </c>
      <c r="B94" s="6">
        <v>140000</v>
      </c>
      <c r="C94" s="104">
        <f t="shared" si="1"/>
        <v>3.2139577594123048</v>
      </c>
      <c r="D94" s="104">
        <v>19.2837</v>
      </c>
      <c r="E94" s="104">
        <v>8</v>
      </c>
      <c r="F94" s="104">
        <v>8</v>
      </c>
      <c r="G94" s="104">
        <v>8</v>
      </c>
      <c r="H94" s="104">
        <v>8</v>
      </c>
      <c r="I94" s="104"/>
      <c r="J94" s="54">
        <v>90</v>
      </c>
      <c r="K94" s="54">
        <v>80</v>
      </c>
      <c r="L94" s="55">
        <v>4</v>
      </c>
      <c r="M94" s="118" t="s">
        <v>148</v>
      </c>
      <c r="N94" s="8"/>
      <c r="O94" s="114" t="s">
        <v>172</v>
      </c>
      <c r="P94" s="7" t="s">
        <v>175</v>
      </c>
      <c r="Q94" s="56" t="s">
        <v>155</v>
      </c>
      <c r="R94" s="7" t="s">
        <v>124</v>
      </c>
      <c r="S94" s="41" t="s">
        <v>121</v>
      </c>
      <c r="T94" s="76" t="s">
        <v>449</v>
      </c>
      <c r="U94" s="76" t="s">
        <v>11</v>
      </c>
      <c r="V94" s="76" t="s">
        <v>11</v>
      </c>
      <c r="W94" s="76" t="s">
        <v>11</v>
      </c>
      <c r="X94" s="76" t="s">
        <v>11</v>
      </c>
      <c r="Y94" s="76" t="s">
        <v>11</v>
      </c>
      <c r="Z94" s="77" t="s">
        <v>11</v>
      </c>
    </row>
    <row r="95" spans="1:26">
      <c r="A95" s="5" t="s">
        <v>221</v>
      </c>
      <c r="B95" s="6">
        <v>79000</v>
      </c>
      <c r="C95" s="104">
        <f t="shared" si="1"/>
        <v>1.8135904499540862</v>
      </c>
      <c r="D95" s="104">
        <v>19.9495</v>
      </c>
      <c r="E95" s="104">
        <v>12</v>
      </c>
      <c r="F95" s="104">
        <v>14</v>
      </c>
      <c r="G95" s="104">
        <v>12</v>
      </c>
      <c r="H95" s="104">
        <v>12</v>
      </c>
      <c r="I95" s="104">
        <v>14</v>
      </c>
      <c r="J95" s="54">
        <v>95</v>
      </c>
      <c r="K95" s="54">
        <v>85</v>
      </c>
      <c r="L95" s="55">
        <v>1.5</v>
      </c>
      <c r="M95" s="118" t="s">
        <v>148</v>
      </c>
      <c r="N95" s="8"/>
      <c r="O95" s="114" t="s">
        <v>163</v>
      </c>
      <c r="P95" s="7" t="s">
        <v>194</v>
      </c>
      <c r="Q95" s="56" t="s">
        <v>176</v>
      </c>
      <c r="R95" s="7" t="s">
        <v>120</v>
      </c>
      <c r="S95" s="41" t="s">
        <v>121</v>
      </c>
      <c r="T95" s="76" t="s">
        <v>326</v>
      </c>
      <c r="U95" s="76" t="s">
        <v>327</v>
      </c>
      <c r="V95" s="76" t="s">
        <v>328</v>
      </c>
      <c r="W95" s="76" t="s">
        <v>329</v>
      </c>
      <c r="X95" s="76" t="s">
        <v>11</v>
      </c>
      <c r="Y95" s="76" t="s">
        <v>11</v>
      </c>
      <c r="Z95" s="77" t="s">
        <v>11</v>
      </c>
    </row>
    <row r="96" spans="1:26">
      <c r="A96" s="5" t="s">
        <v>222</v>
      </c>
      <c r="B96" s="6">
        <v>144000</v>
      </c>
      <c r="C96" s="104">
        <f t="shared" si="1"/>
        <v>3.3057851239669422</v>
      </c>
      <c r="D96" s="104">
        <v>19.834700000000002</v>
      </c>
      <c r="E96" s="104">
        <v>8</v>
      </c>
      <c r="F96" s="104">
        <v>8</v>
      </c>
      <c r="G96" s="104">
        <v>8</v>
      </c>
      <c r="H96" s="104">
        <v>8</v>
      </c>
      <c r="I96" s="104"/>
      <c r="J96" s="54">
        <v>85</v>
      </c>
      <c r="K96" s="54">
        <v>88</v>
      </c>
      <c r="L96" s="55">
        <v>4</v>
      </c>
      <c r="M96" s="118" t="s">
        <v>148</v>
      </c>
      <c r="N96" s="8" t="s">
        <v>31</v>
      </c>
      <c r="O96" s="114" t="s">
        <v>149</v>
      </c>
      <c r="P96" s="7" t="s">
        <v>189</v>
      </c>
      <c r="Q96" s="56" t="s">
        <v>155</v>
      </c>
      <c r="R96" s="7" t="s">
        <v>124</v>
      </c>
      <c r="S96" s="41" t="s">
        <v>121</v>
      </c>
      <c r="T96" s="76" t="s">
        <v>330</v>
      </c>
      <c r="U96" s="76" t="s">
        <v>331</v>
      </c>
      <c r="V96" s="76" t="s">
        <v>332</v>
      </c>
      <c r="W96" s="76" t="s">
        <v>333</v>
      </c>
      <c r="X96" s="76" t="s">
        <v>11</v>
      </c>
      <c r="Y96" s="76" t="s">
        <v>11</v>
      </c>
      <c r="Z96" s="77" t="s">
        <v>11</v>
      </c>
    </row>
    <row r="97" spans="1:26">
      <c r="A97" s="5" t="s">
        <v>223</v>
      </c>
      <c r="B97" s="6">
        <v>114000</v>
      </c>
      <c r="C97" s="104">
        <f t="shared" si="1"/>
        <v>2.6170798898071626</v>
      </c>
      <c r="D97" s="104">
        <v>19.6281</v>
      </c>
      <c r="E97" s="104">
        <v>6</v>
      </c>
      <c r="F97" s="104">
        <v>8</v>
      </c>
      <c r="G97" s="104">
        <v>8</v>
      </c>
      <c r="H97" s="104">
        <v>8</v>
      </c>
      <c r="I97" s="104">
        <v>6</v>
      </c>
      <c r="J97" s="54">
        <v>85</v>
      </c>
      <c r="K97" s="54">
        <v>60</v>
      </c>
      <c r="L97" s="55">
        <v>3</v>
      </c>
      <c r="M97" s="118" t="s">
        <v>148</v>
      </c>
      <c r="N97" s="8" t="s">
        <v>31</v>
      </c>
      <c r="O97" s="114" t="s">
        <v>172</v>
      </c>
      <c r="P97" s="7" t="s">
        <v>154</v>
      </c>
      <c r="Q97" s="56" t="s">
        <v>155</v>
      </c>
      <c r="R97" s="7" t="s">
        <v>124</v>
      </c>
      <c r="S97" s="41" t="s">
        <v>121</v>
      </c>
      <c r="T97" s="76" t="s">
        <v>334</v>
      </c>
      <c r="U97" s="76" t="s">
        <v>335</v>
      </c>
      <c r="V97" s="76" t="s">
        <v>336</v>
      </c>
      <c r="W97" s="76" t="s">
        <v>337</v>
      </c>
      <c r="X97" s="76" t="s">
        <v>338</v>
      </c>
      <c r="Y97" s="76" t="s">
        <v>339</v>
      </c>
      <c r="Z97" s="77" t="s">
        <v>11</v>
      </c>
    </row>
    <row r="98" spans="1:26">
      <c r="A98" s="5" t="s">
        <v>224</v>
      </c>
      <c r="B98" s="6">
        <v>87000</v>
      </c>
      <c r="C98" s="104">
        <f t="shared" si="1"/>
        <v>1.997245179063361</v>
      </c>
      <c r="D98" s="104">
        <v>19.9724</v>
      </c>
      <c r="E98" s="104">
        <v>12</v>
      </c>
      <c r="F98" s="104">
        <v>14</v>
      </c>
      <c r="G98" s="104">
        <v>14</v>
      </c>
      <c r="H98" s="104">
        <v>14</v>
      </c>
      <c r="I98" s="104"/>
      <c r="J98" s="54">
        <v>80</v>
      </c>
      <c r="K98" s="54">
        <v>85</v>
      </c>
      <c r="L98" s="55">
        <v>5.5</v>
      </c>
      <c r="M98" s="118" t="s">
        <v>148</v>
      </c>
      <c r="N98" s="8"/>
      <c r="O98" s="114" t="s">
        <v>163</v>
      </c>
      <c r="P98" s="7" t="s">
        <v>194</v>
      </c>
      <c r="Q98" s="56" t="s">
        <v>155</v>
      </c>
      <c r="R98" s="7" t="s">
        <v>120</v>
      </c>
      <c r="S98" s="41" t="s">
        <v>121</v>
      </c>
      <c r="T98" s="76" t="s">
        <v>340</v>
      </c>
      <c r="U98" s="76" t="s">
        <v>341</v>
      </c>
      <c r="V98" s="76" t="s">
        <v>342</v>
      </c>
      <c r="W98" s="76" t="s">
        <v>11</v>
      </c>
      <c r="X98" s="76" t="s">
        <v>11</v>
      </c>
      <c r="Y98" s="76" t="s">
        <v>11</v>
      </c>
      <c r="Z98" s="77" t="s">
        <v>11</v>
      </c>
    </row>
    <row r="99" spans="1:26">
      <c r="A99" s="5" t="s">
        <v>458</v>
      </c>
      <c r="B99" s="6">
        <v>51000</v>
      </c>
      <c r="C99" s="104">
        <f t="shared" si="1"/>
        <v>1.1707988980716253</v>
      </c>
      <c r="D99" s="104">
        <v>9.9517000000000007</v>
      </c>
      <c r="E99" s="104">
        <v>15</v>
      </c>
      <c r="F99" s="104">
        <v>15</v>
      </c>
      <c r="G99" s="104">
        <v>15</v>
      </c>
      <c r="H99" s="104">
        <v>15</v>
      </c>
      <c r="I99" s="104">
        <v>16</v>
      </c>
      <c r="J99" s="54">
        <v>97</v>
      </c>
      <c r="K99" s="54">
        <v>95</v>
      </c>
      <c r="L99" s="55">
        <v>10</v>
      </c>
      <c r="M99" s="118" t="s">
        <v>148</v>
      </c>
      <c r="N99" s="8" t="s">
        <v>31</v>
      </c>
      <c r="O99" s="114" t="s">
        <v>163</v>
      </c>
      <c r="P99" s="7" t="s">
        <v>183</v>
      </c>
      <c r="Q99" s="56" t="s">
        <v>155</v>
      </c>
      <c r="R99" s="7" t="s">
        <v>124</v>
      </c>
      <c r="S99" s="41" t="s">
        <v>121</v>
      </c>
      <c r="T99" s="76" t="s">
        <v>460</v>
      </c>
      <c r="U99" s="76" t="s">
        <v>11</v>
      </c>
      <c r="V99" s="76" t="s">
        <v>11</v>
      </c>
      <c r="W99" s="76" t="s">
        <v>11</v>
      </c>
      <c r="X99" s="76" t="s">
        <v>11</v>
      </c>
      <c r="Y99" s="76" t="s">
        <v>11</v>
      </c>
      <c r="Z99" s="77" t="s">
        <v>11</v>
      </c>
    </row>
    <row r="100" spans="1:26">
      <c r="A100" s="5" t="s">
        <v>225</v>
      </c>
      <c r="B100" s="6">
        <v>144000</v>
      </c>
      <c r="C100" s="104">
        <f t="shared" si="1"/>
        <v>3.3057851239669422</v>
      </c>
      <c r="D100" s="104">
        <v>19.834700000000002</v>
      </c>
      <c r="E100" s="104">
        <v>8</v>
      </c>
      <c r="F100" s="104">
        <v>14</v>
      </c>
      <c r="G100" s="104">
        <v>14</v>
      </c>
      <c r="H100" s="104">
        <v>14</v>
      </c>
      <c r="I100" s="104">
        <v>14</v>
      </c>
      <c r="J100" s="54">
        <v>80</v>
      </c>
      <c r="K100" s="54">
        <v>85</v>
      </c>
      <c r="L100" s="55">
        <v>14</v>
      </c>
      <c r="M100" s="118" t="s">
        <v>148</v>
      </c>
      <c r="N100" s="8" t="s">
        <v>31</v>
      </c>
      <c r="O100" s="114" t="s">
        <v>172</v>
      </c>
      <c r="P100" s="7" t="s">
        <v>150</v>
      </c>
      <c r="Q100" s="56" t="s">
        <v>155</v>
      </c>
      <c r="R100" s="7" t="s">
        <v>120</v>
      </c>
      <c r="S100" s="41" t="s">
        <v>121</v>
      </c>
      <c r="T100" s="76" t="s">
        <v>343</v>
      </c>
      <c r="U100" s="76" t="s">
        <v>344</v>
      </c>
      <c r="V100" s="76" t="s">
        <v>11</v>
      </c>
      <c r="W100" s="76" t="s">
        <v>11</v>
      </c>
      <c r="X100" s="76" t="s">
        <v>11</v>
      </c>
      <c r="Y100" s="76" t="s">
        <v>11</v>
      </c>
      <c r="Z100" s="77" t="s">
        <v>11</v>
      </c>
    </row>
    <row r="101" spans="1:26">
      <c r="A101" s="5" t="s">
        <v>459</v>
      </c>
      <c r="B101" s="6">
        <v>55000</v>
      </c>
      <c r="C101" s="104">
        <f t="shared" si="1"/>
        <v>1.2626262626262625</v>
      </c>
      <c r="D101" s="104">
        <v>10.101000000000001</v>
      </c>
      <c r="E101" s="104">
        <v>10</v>
      </c>
      <c r="F101" s="104">
        <v>10</v>
      </c>
      <c r="G101" s="104">
        <v>10</v>
      </c>
      <c r="H101" s="104">
        <v>10</v>
      </c>
      <c r="I101" s="104"/>
      <c r="J101" s="54">
        <v>80</v>
      </c>
      <c r="K101" s="54">
        <v>80</v>
      </c>
      <c r="L101" s="55">
        <v>7</v>
      </c>
      <c r="M101" s="118" t="s">
        <v>148</v>
      </c>
      <c r="N101" s="8"/>
      <c r="O101" s="114" t="s">
        <v>172</v>
      </c>
      <c r="P101" s="7" t="s">
        <v>462</v>
      </c>
      <c r="Q101" s="56" t="s">
        <v>155</v>
      </c>
      <c r="R101" s="7" t="s">
        <v>124</v>
      </c>
      <c r="S101" s="41" t="s">
        <v>121</v>
      </c>
      <c r="T101" s="76" t="s">
        <v>461</v>
      </c>
      <c r="U101" s="76" t="s">
        <v>11</v>
      </c>
      <c r="V101" s="76" t="s">
        <v>11</v>
      </c>
      <c r="W101" s="76" t="s">
        <v>11</v>
      </c>
      <c r="X101" s="76" t="s">
        <v>11</v>
      </c>
      <c r="Y101" s="76" t="s">
        <v>11</v>
      </c>
      <c r="Z101" s="77" t="s">
        <v>11</v>
      </c>
    </row>
    <row r="102" spans="1:26">
      <c r="A102" s="5" t="s">
        <v>226</v>
      </c>
      <c r="B102" s="6">
        <v>162000</v>
      </c>
      <c r="C102" s="104">
        <f t="shared" si="1"/>
        <v>3.71900826446281</v>
      </c>
      <c r="D102" s="104">
        <v>22.314</v>
      </c>
      <c r="E102" s="104">
        <v>7</v>
      </c>
      <c r="F102" s="104">
        <v>9</v>
      </c>
      <c r="G102" s="104">
        <v>7</v>
      </c>
      <c r="H102" s="104">
        <v>7</v>
      </c>
      <c r="I102" s="104"/>
      <c r="J102" s="54">
        <v>90</v>
      </c>
      <c r="K102" s="54">
        <v>85</v>
      </c>
      <c r="L102" s="55">
        <v>5</v>
      </c>
      <c r="M102" s="118" t="s">
        <v>148</v>
      </c>
      <c r="N102" s="8"/>
      <c r="O102" s="114" t="s">
        <v>172</v>
      </c>
      <c r="P102" s="7" t="s">
        <v>164</v>
      </c>
      <c r="Q102" s="56" t="s">
        <v>155</v>
      </c>
      <c r="R102" s="7" t="s">
        <v>120</v>
      </c>
      <c r="S102" s="41" t="s">
        <v>121</v>
      </c>
      <c r="T102" s="76" t="s">
        <v>345</v>
      </c>
      <c r="U102" s="76" t="s">
        <v>346</v>
      </c>
      <c r="V102" s="76" t="s">
        <v>463</v>
      </c>
      <c r="W102" s="76" t="s">
        <v>11</v>
      </c>
      <c r="X102" s="76" t="s">
        <v>11</v>
      </c>
      <c r="Y102" s="76" t="s">
        <v>11</v>
      </c>
      <c r="Z102" s="77" t="s">
        <v>11</v>
      </c>
    </row>
    <row r="103" spans="1:26">
      <c r="A103" s="5" t="s">
        <v>35</v>
      </c>
      <c r="B103" s="6">
        <v>112000</v>
      </c>
      <c r="C103" s="104">
        <f t="shared" si="1"/>
        <v>2.5711662075298438</v>
      </c>
      <c r="D103" s="104">
        <v>20.569299999999998</v>
      </c>
      <c r="E103" s="104">
        <v>12</v>
      </c>
      <c r="F103" s="104">
        <v>12</v>
      </c>
      <c r="G103" s="104">
        <v>12</v>
      </c>
      <c r="H103" s="104">
        <v>12</v>
      </c>
      <c r="I103" s="104"/>
      <c r="J103" s="54">
        <v>70</v>
      </c>
      <c r="K103" s="54">
        <v>80</v>
      </c>
      <c r="L103" s="55">
        <v>35</v>
      </c>
      <c r="M103" s="118" t="s">
        <v>152</v>
      </c>
      <c r="N103" s="8" t="s">
        <v>31</v>
      </c>
      <c r="O103" s="114" t="s">
        <v>149</v>
      </c>
      <c r="P103" s="7" t="s">
        <v>515</v>
      </c>
      <c r="Q103" s="56" t="s">
        <v>179</v>
      </c>
      <c r="R103" s="7" t="s">
        <v>127</v>
      </c>
      <c r="S103" s="41" t="s">
        <v>121</v>
      </c>
      <c r="T103" s="76" t="s">
        <v>347</v>
      </c>
      <c r="U103" s="76" t="s">
        <v>511</v>
      </c>
      <c r="V103" s="76" t="s">
        <v>11</v>
      </c>
      <c r="W103" s="76" t="s">
        <v>11</v>
      </c>
      <c r="X103" s="76" t="s">
        <v>11</v>
      </c>
      <c r="Y103" s="76" t="s">
        <v>11</v>
      </c>
      <c r="Z103" s="77" t="s">
        <v>11</v>
      </c>
    </row>
    <row r="104" spans="1:26">
      <c r="A104" s="12" t="s">
        <v>44</v>
      </c>
      <c r="B104" s="13">
        <v>230000</v>
      </c>
      <c r="C104" s="105">
        <f t="shared" si="1"/>
        <v>5.2800734618916438</v>
      </c>
      <c r="D104" s="105">
        <v>26.400400000000001</v>
      </c>
      <c r="E104" s="105">
        <v>4</v>
      </c>
      <c r="F104" s="105">
        <v>4</v>
      </c>
      <c r="G104" s="105">
        <v>4</v>
      </c>
      <c r="H104" s="105">
        <v>4</v>
      </c>
      <c r="I104" s="105"/>
      <c r="J104" s="65">
        <v>99</v>
      </c>
      <c r="K104" s="65">
        <v>90</v>
      </c>
      <c r="L104" s="66">
        <v>0.65</v>
      </c>
      <c r="M104" s="119" t="s">
        <v>148</v>
      </c>
      <c r="N104" s="15"/>
      <c r="O104" s="120" t="s">
        <v>163</v>
      </c>
      <c r="P104" s="42" t="s">
        <v>164</v>
      </c>
      <c r="Q104" s="121" t="s">
        <v>151</v>
      </c>
      <c r="R104" s="42" t="s">
        <v>118</v>
      </c>
      <c r="S104" s="109" t="s">
        <v>122</v>
      </c>
      <c r="T104" s="122" t="s">
        <v>466</v>
      </c>
      <c r="U104" s="122" t="s">
        <v>11</v>
      </c>
      <c r="V104" s="122" t="s">
        <v>11</v>
      </c>
      <c r="W104" s="122" t="s">
        <v>11</v>
      </c>
      <c r="X104" s="122" t="s">
        <v>11</v>
      </c>
      <c r="Y104" s="122" t="s">
        <v>11</v>
      </c>
      <c r="Z104" s="123" t="s">
        <v>11</v>
      </c>
    </row>
    <row r="105" spans="1:26">
      <c r="A105" s="253" t="s">
        <v>227</v>
      </c>
      <c r="B105" s="254"/>
      <c r="C105" s="254"/>
      <c r="D105" s="254"/>
      <c r="E105" s="254"/>
      <c r="F105" s="254"/>
      <c r="G105" s="254"/>
      <c r="H105" s="254"/>
      <c r="I105" s="254"/>
      <c r="J105" s="254"/>
      <c r="K105" s="254"/>
      <c r="L105" s="254"/>
      <c r="M105" s="254"/>
      <c r="N105" s="255"/>
      <c r="O105" s="259" t="s">
        <v>11</v>
      </c>
      <c r="P105" s="260"/>
      <c r="Q105" s="260"/>
      <c r="R105" s="260"/>
      <c r="S105" s="260"/>
      <c r="T105" s="260"/>
      <c r="U105" s="260"/>
      <c r="V105" s="260"/>
      <c r="W105" s="260"/>
      <c r="X105" s="260"/>
      <c r="Y105" s="260"/>
      <c r="Z105" s="261"/>
    </row>
    <row r="106" spans="1:26">
      <c r="A106" s="256" t="s">
        <v>228</v>
      </c>
      <c r="B106" s="257"/>
      <c r="C106" s="257"/>
      <c r="D106" s="257"/>
      <c r="E106" s="257"/>
      <c r="F106" s="257"/>
      <c r="G106" s="257"/>
      <c r="H106" s="257"/>
      <c r="I106" s="257"/>
      <c r="J106" s="257"/>
      <c r="K106" s="257"/>
      <c r="L106" s="257"/>
      <c r="M106" s="257"/>
      <c r="N106" s="258"/>
      <c r="O106" s="256"/>
      <c r="P106" s="257"/>
      <c r="Q106" s="257"/>
      <c r="R106" s="257"/>
      <c r="S106" s="257"/>
      <c r="T106" s="257"/>
      <c r="U106" s="257"/>
      <c r="V106" s="257"/>
      <c r="W106" s="257"/>
      <c r="X106" s="257"/>
      <c r="Y106" s="257"/>
      <c r="Z106" s="258"/>
    </row>
    <row r="107" spans="1:26">
      <c r="A107" s="9"/>
      <c r="B107" s="10"/>
      <c r="C107" s="10"/>
      <c r="D107" s="10"/>
      <c r="E107" s="10"/>
      <c r="F107" s="10"/>
      <c r="G107" s="10"/>
      <c r="H107" s="10"/>
      <c r="I107" s="10"/>
      <c r="J107" s="11"/>
      <c r="K107" s="11"/>
      <c r="L107" s="11"/>
      <c r="M107" s="11"/>
      <c r="N107" s="11"/>
      <c r="O107" s="11"/>
      <c r="P107" s="11"/>
      <c r="Q107" s="11"/>
    </row>
    <row r="108" spans="1:26">
      <c r="A108" s="9"/>
      <c r="B108" s="10"/>
      <c r="C108" s="10"/>
      <c r="D108" s="10"/>
      <c r="E108" s="10"/>
      <c r="F108" s="10"/>
      <c r="G108" s="10"/>
      <c r="H108" s="10"/>
      <c r="I108" s="10"/>
      <c r="J108" s="11"/>
      <c r="K108" s="11"/>
      <c r="L108" s="11"/>
      <c r="M108" s="11"/>
      <c r="N108" s="11"/>
      <c r="O108" s="11"/>
      <c r="P108" s="11"/>
      <c r="Q108" s="11"/>
    </row>
    <row r="109" spans="1:26">
      <c r="A109" s="9"/>
      <c r="B109" s="10"/>
      <c r="C109" s="10"/>
      <c r="D109" s="10"/>
      <c r="E109" s="10"/>
      <c r="F109" s="10"/>
      <c r="G109" s="10"/>
      <c r="H109" s="10"/>
      <c r="I109" s="10"/>
      <c r="J109" s="11"/>
      <c r="K109" s="11"/>
      <c r="L109" s="11"/>
      <c r="M109" s="11"/>
      <c r="N109" s="11"/>
      <c r="O109" s="11"/>
      <c r="P109" s="11"/>
      <c r="Q109" s="11"/>
    </row>
    <row r="110" spans="1:26">
      <c r="A110" s="9"/>
      <c r="B110" s="10"/>
      <c r="C110" s="10"/>
      <c r="D110" s="10"/>
      <c r="E110" s="10"/>
      <c r="F110" s="10"/>
      <c r="G110" s="10"/>
      <c r="H110" s="10"/>
      <c r="I110" s="10"/>
      <c r="J110" s="11"/>
      <c r="K110" s="11"/>
      <c r="L110" s="11"/>
      <c r="M110" s="11"/>
      <c r="N110" s="11"/>
      <c r="O110" s="11"/>
      <c r="P110" s="11"/>
      <c r="Q110" s="11"/>
    </row>
  </sheetData>
  <sheetProtection password="E96A" sheet="1" objects="1" scenarios="1"/>
  <mergeCells count="26">
    <mergeCell ref="A2:A3"/>
    <mergeCell ref="B2:B3"/>
    <mergeCell ref="C2:C3"/>
    <mergeCell ref="D2:D3"/>
    <mergeCell ref="S2:S3"/>
    <mergeCell ref="T2:Z3"/>
    <mergeCell ref="N2:N3"/>
    <mergeCell ref="Q2:Q3"/>
    <mergeCell ref="O2:O3"/>
    <mergeCell ref="P2:P3"/>
    <mergeCell ref="F2:F3"/>
    <mergeCell ref="J2:J3"/>
    <mergeCell ref="K2:K3"/>
    <mergeCell ref="R2:R3"/>
    <mergeCell ref="L2:L3"/>
    <mergeCell ref="M2:M3"/>
    <mergeCell ref="A1:N1"/>
    <mergeCell ref="O1:Z1"/>
    <mergeCell ref="A105:N105"/>
    <mergeCell ref="A106:N106"/>
    <mergeCell ref="O105:Z105"/>
    <mergeCell ref="O106:Z106"/>
    <mergeCell ref="E2:E3"/>
    <mergeCell ref="G2:G3"/>
    <mergeCell ref="H2:H3"/>
    <mergeCell ref="I2:I3"/>
  </mergeCells>
  <phoneticPr fontId="17" type="noConversion"/>
  <pageMargins left="0.6" right="0.5" top="0.65" bottom="0.85" header="0.5" footer="0.5"/>
  <pageSetup orientation="landscape" horizontalDpi="4294967292" r:id="rId1"/>
  <headerFooter alignWithMargins="0">
    <oddFooter>&amp;RNRCS, UT
June 2002</oddFooter>
  </headerFooter>
  <colBreaks count="1" manualBreakCount="1">
    <brk id="14" max="10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340 Spec. Sheet</vt:lpstr>
      <vt:lpstr>Seed Calculator</vt:lpstr>
      <vt:lpstr>Seed  List</vt:lpstr>
      <vt:lpstr>'340 Spec. Sheet'!Print_Area</vt:lpstr>
      <vt:lpstr>'Seed  List'!Print_Area</vt:lpstr>
      <vt:lpstr>'Seed Calculator'!Print_Area</vt:lpstr>
      <vt:lpstr>'Seed  List'!Print_Titles</vt:lpstr>
    </vt:vector>
  </TitlesOfParts>
  <Company>USDA-NRCS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 Crop (340) Specification Sheet</dc:title>
  <dc:subject>Specification Sheet, Excel Spreadsheet</dc:subject>
  <dc:creator>Kerry Goodrich</dc:creator>
  <cp:lastModifiedBy>niels.hansen</cp:lastModifiedBy>
  <cp:lastPrinted>2003-08-23T21:38:54Z</cp:lastPrinted>
  <dcterms:created xsi:type="dcterms:W3CDTF">2002-01-03T15:48:22Z</dcterms:created>
  <dcterms:modified xsi:type="dcterms:W3CDTF">2011-12-22T18:47:02Z</dcterms:modified>
</cp:coreProperties>
</file>